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'REGINFO'!$A$1:$E$69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<sst xmlns="http://schemas.openxmlformats.org/spreadsheetml/2006/main" count="875" uniqueCount="502">
  <si>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</si>
  <si>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</si>
  <si>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</si>
  <si>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</si>
  <si>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</si>
  <si>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</si>
  <si>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</si>
  <si>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</si>
  <si>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</si>
  <si>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</si>
  <si>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</si>
  <si>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</si>
  <si>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</si>
  <si>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</si>
  <si>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</si>
  <si>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</si>
  <si>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</si>
  <si>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</si>
  <si>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</si>
  <si>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</si>
  <si>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</si>
  <si>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</si>
  <si>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</si>
  <si>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</si>
  <si>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</si>
  <si>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</si>
  <si>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</si>
  <si>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</si>
  <si>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</si>
  <si>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</si>
  <si>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</si>
  <si>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</si>
  <si>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</si>
  <si>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</si>
  <si>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</si>
  <si>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</si>
  <si>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</si>
  <si>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</si>
  <si>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</si>
  <si>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</si>
  <si>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</si>
  <si>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</si>
  <si>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</si>
  <si>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</si>
  <si>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</si>
  <si>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</si>
  <si>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</si>
  <si>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</si>
  <si>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</si>
  <si>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</si>
  <si>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</si>
  <si>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</si>
  <si>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</si>
  <si>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</si>
  <si>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</si>
  <si>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</si>
  <si>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</si>
  <si>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</si>
  <si>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</si>
  <si>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</si>
  <si>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</si>
  <si>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</si>
  <si>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</si>
  <si>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</si>
  <si>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</si>
  <si>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</si>
  <si>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</si>
  <si>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</si>
  <si>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</si>
  <si>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</si>
  <si>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</si>
  <si>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</si>
  <si>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</si>
  <si>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</si>
  <si>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</si>
  <si>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</si>
  <si>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</si>
  <si>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</si>
  <si>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</si>
  <si>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</si>
  <si>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</si>
  <si>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</si>
  <si>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</si>
  <si>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</si>
  <si>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</si>
  <si>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</si>
  <si>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</si>
  <si>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</si>
  <si>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</si>
  <si>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</si>
  <si>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</si>
  <si>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</si>
  <si>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</si>
  <si>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</si>
  <si>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</si>
  <si>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</si>
  <si>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</si>
  <si>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</si>
  <si>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</si>
  <si>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</si>
  <si>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</si>
  <si>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</si>
  <si>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</si>
  <si>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</si>
  <si>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</si>
  <si>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</si>
  <si>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</si>
  <si>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</si>
  <si>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</si>
  <si>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</si>
  <si>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</si>
  <si>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</si>
  <si>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</si>
  <si>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</si>
  <si>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</si>
  <si>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</si>
  <si>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</si>
  <si>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</si>
  <si>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</si>
  <si>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</si>
  <si>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</si>
  <si>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</si>
  <si>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</si>
  <si>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</si>
  <si>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</si>
  <si>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</si>
  <si>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</si>
  <si>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</si>
  <si>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</si>
  <si>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</si>
  <si>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</si>
  <si>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</si>
  <si>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</si>
  <si>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</si>
  <si>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</si>
  <si>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</si>
  <si>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</si>
  <si>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</si>
  <si>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</si>
  <si>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</si>
  <si>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</si>
  <si>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</si>
  <si>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</si>
  <si>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</si>
  <si>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</si>
  <si>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</si>
  <si>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</si>
  <si>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</si>
  <si>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</si>
  <si>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</si>
  <si>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</si>
  <si>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</si>
  <si>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</si>
  <si>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</si>
  <si>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</si>
  <si>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</si>
  <si>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</si>
  <si>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</si>
  <si>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</si>
  <si>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</si>
  <si>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</si>
  <si>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</si>
  <si>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</si>
  <si>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</si>
  <si>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</si>
  <si>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</si>
  <si>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</si>
  <si>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</si>
  <si>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</si>
  <si>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</si>
  <si>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</si>
  <si>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</si>
  <si>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</si>
  <si>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</si>
  <si>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</si>
  <si>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</si>
  <si>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</si>
  <si>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</si>
  <si>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</si>
  <si>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</si>
  <si>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</si>
  <si>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</si>
  <si>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</si>
  <si>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</si>
  <si>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</si>
  <si>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</si>
  <si>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</si>
  <si>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</si>
  <si>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</si>
  <si>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</si>
  <si>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</si>
  <si>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</si>
  <si>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</si>
  <si>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</si>
  <si>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</si>
  <si>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</si>
  <si>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</si>
  <si>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</si>
  <si>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</si>
  <si>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</si>
  <si>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</si>
  <si>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</si>
  <si>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</si>
  <si>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</si>
  <si>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</si>
  <si>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</si>
  <si>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</si>
  <si>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</si>
  <si>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</si>
  <si>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</si>
  <si>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</si>
  <si>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</si>
  <si>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</si>
  <si>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</si>
  <si>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</si>
  <si>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</si>
  <si>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</si>
  <si>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</si>
  <si>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</si>
  <si>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</si>
  <si>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</si>
  <si>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</si>
  <si>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</si>
  <si>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</si>
  <si>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</si>
  <si>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</si>
  <si>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</si>
  <si>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</si>
  <si>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</si>
  <si>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</si>
  <si>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</si>
  <si>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</si>
  <si>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</si>
  <si>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</si>
  <si>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</si>
  <si>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</si>
  <si>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</si>
  <si>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</si>
  <si>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</si>
  <si>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</si>
  <si>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</si>
  <si>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</si>
  <si>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</si>
  <si>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</si>
  <si>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</si>
  <si>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</si>
  <si>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</si>
  <si>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</si>
  <si>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</si>
  <si>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</si>
  <si>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</si>
  <si>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</si>
  <si>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</si>
  <si>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</si>
  <si>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</si>
  <si>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</si>
  <si>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</si>
  <si>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</si>
  <si>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</si>
  <si>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</si>
  <si>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</si>
  <si>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</si>
  <si>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</si>
  <si>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</si>
  <si>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</si>
  <si>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</si>
  <si>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</si>
  <si>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</si>
  <si>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</si>
  <si>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</si>
  <si>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</si>
  <si>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</si>
  <si>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</si>
  <si>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</si>
  <si>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</si>
  <si>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</si>
  <si>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</si>
  <si>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</si>
  <si>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</si>
  <si>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</si>
  <si>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</si>
  <si>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</si>
  <si>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</si>
  <si>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</si>
  <si>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</si>
  <si>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</si>
  <si>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</si>
  <si>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</si>
  <si>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</si>
  <si>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</si>
  <si>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</si>
  <si>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</si>
  <si>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</si>
  <si>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</si>
  <si>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</si>
  <si>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</si>
  <si>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</si>
  <si>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</si>
  <si>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</si>
  <si>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</si>
  <si>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</si>
  <si>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</si>
  <si>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</si>
  <si>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</si>
  <si>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</si>
  <si>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</si>
  <si>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</si>
  <si>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</si>
  <si>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</si>
  <si>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</si>
  <si>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</si>
  <si>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</si>
  <si>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</si>
  <si>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</si>
  <si>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</si>
  <si>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</si>
  <si>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</si>
  <si>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</si>
  <si>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</si>
  <si>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</si>
  <si>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</si>
  <si>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</si>
  <si>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</si>
  <si>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</si>
  <si>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</si>
  <si>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</si>
  <si>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</si>
  <si>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</si>
  <si>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</si>
  <si>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</si>
  <si>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</si>
  <si>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</si>
  <si>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</si>
  <si>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</si>
  <si>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</si>
  <si>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</si>
  <si>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</si>
  <si>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</si>
  <si>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</si>
  <si>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</si>
  <si>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</si>
  <si>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</si>
  <si>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</si>
  <si>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</si>
  <si>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</si>
  <si>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</si>
  <si>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</si>
  <si>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</si>
  <si>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</si>
  <si>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</si>
  <si>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</si>
  <si>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</si>
  <si>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</si>
  <si>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</si>
  <si>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</si>
  <si>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</si>
  <si>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</si>
  <si>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</si>
  <si>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</si>
  <si>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</si>
  <si>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</si>
  <si>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</si>
  <si>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</si>
  <si>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</si>
  <si>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</si>
  <si>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</si>
  <si>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</si>
  <si>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</si>
  <si>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</si>
  <si>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</si>
  <si>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</si>
  <si>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</si>
  <si>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</si>
  <si>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</si>
  <si>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</si>
  <si>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</si>
  <si>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</si>
  <si>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</si>
  <si>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</si>
  <si>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</si>
  <si>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</si>
  <si>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</si>
  <si>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</si>
  <si>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</si>
  <si>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</si>
  <si>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</si>
  <si>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</si>
  <si>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</si>
  <si>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</si>
  <si>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</si>
  <si>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</si>
  <si>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</si>
  <si>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</si>
  <si>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</si>
  <si>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</si>
  <si>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</si>
  <si>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</si>
  <si>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</si>
  <si>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</si>
  <si>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</si>
  <si>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</si>
  <si>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</si>
  <si>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</si>
  <si>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</si>
  <si>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</si>
  <si>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</si>
  <si>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</si>
  <si>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</si>
  <si>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</si>
  <si>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</si>
  <si>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</si>
  <si>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</si>
  <si>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</si>
  <si>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</si>
  <si>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</si>
  <si>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</si>
  <si>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</si>
  <si>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</si>
  <si>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</si>
  <si>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</si>
  <si>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</si>
  <si>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</si>
  <si>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</si>
  <si>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</si>
  <si>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</si>
  <si>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</si>
  <si>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</si>
  <si>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</si>
  <si>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</si>
  <si>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</si>
  <si>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</si>
  <si>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</si>
  <si>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</si>
  <si>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</si>
  <si>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</si>
  <si>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</si>
  <si>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</si>
  <si>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</si>
  <si>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</si>
  <si>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</si>
  <si>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</si>
  <si>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</si>
  <si>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</si>
  <si>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</si>
  <si>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</si>
  <si>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</si>
  <si>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</si>
  <si>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</si>
  <si>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</si>
  <si>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</si>
  <si>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</si>
  <si>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</si>
  <si>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</si>
  <si>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</si>
  <si>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</si>
  <si>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</si>
  <si>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</si>
  <si>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</si>
  <si>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</si>
  <si>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</si>
  <si>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</si>
  <si>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</si>
  <si>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</si>
  <si>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</si>
  <si>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</si>
  <si>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</si>
  <si>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</si>
  <si>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</si>
  <si>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</si>
  <si>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</si>
  <si>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</si>
  <si>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</si>
  <si>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</si>
  <si>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</si>
  <si>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</si>
  <si>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</si>
  <si>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</si>
  <si>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</si>
  <si>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</si>
  <si>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</si>
  <si>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</si>
  <si>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</si>
  <si>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</si>
  <si>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</si>
  <si>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</si>
  <si>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</si>
  <si>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</si>
  <si>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</si>
  <si>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</si>
  <si>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</si>
  <si>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</si>
  <si>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 xml:space="preserve">     Reg Asset movement</t>
  </si>
  <si>
    <t>Bad debts - pre-October 1, 2001 Denied</t>
  </si>
  <si>
    <t>Utility Name: HALDIMAND COUNTY HYDRO INC.</t>
  </si>
  <si>
    <t>Reporting period:  January 1, 2003 to December 31, 2003</t>
  </si>
  <si>
    <t>Y</t>
  </si>
  <si>
    <t>N</t>
  </si>
  <si>
    <t>Total deemed interest  (REGINFO CELL D60)</t>
  </si>
  <si>
    <t>Ontario Specified Tax Credits</t>
  </si>
  <si>
    <t>Regulatory Assets - opening "debit" balances</t>
  </si>
  <si>
    <t>Regulatory Assets - closing "credit" balances</t>
  </si>
  <si>
    <t>Loss for tax purposes - joint ventures or partnerships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</si>
</sst>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3" xfId="0" applyFont="1" applyFill="1" applyBorder="1" applyAlignment="1">
      <alignment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3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5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6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5" borderId="43" xfId="0" applyNumberFormat="1" applyFill="1" applyBorder="1" applyAlignment="1" applyProtection="1">
      <alignment horizontal="center" vertical="top"/>
      <protection locked="0"/>
    </xf>
    <xf numFmtId="10" fontId="0" fillId="35" borderId="50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39" xfId="0" applyNumberFormat="1" applyFill="1" applyBorder="1" applyAlignment="1" applyProtection="1">
      <alignment horizontal="center" vertical="top"/>
      <protection locked="0"/>
    </xf>
    <xf numFmtId="10" fontId="0" fillId="35" borderId="41" xfId="0" applyNumberFormat="1" applyFill="1" applyBorder="1" applyAlignment="1" applyProtection="1">
      <alignment horizontal="center" vertical="top"/>
      <protection locked="0"/>
    </xf>
    <xf numFmtId="178" fontId="0" fillId="35" borderId="43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5" xfId="0" applyFill="1" applyBorder="1" applyAlignment="1" applyProtection="1">
      <alignment horizontal="center" vertical="top"/>
      <protection locked="0"/>
    </xf>
    <xf numFmtId="0" fontId="0" fillId="35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0" fontId="0" fillId="40" borderId="50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3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5" xfId="0" applyNumberFormat="1" applyFill="1" applyBorder="1" applyAlignment="1" applyProtection="1">
      <alignment horizontal="center" vertical="center"/>
      <protection locked="0"/>
    </xf>
    <xf numFmtId="0" fontId="0" fillId="40" borderId="45" xfId="0" applyFill="1" applyBorder="1" applyAlignment="1" applyProtection="1">
      <alignment horizontal="center" vertical="top"/>
      <protection locked="0"/>
    </xf>
    <xf numFmtId="0" fontId="0" fillId="40" borderId="51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7" xfId="42" applyNumberFormat="1" applyFont="1" applyFill="1" applyBorder="1" applyAlignment="1" applyProtection="1">
      <alignment horizontal="center" vertical="top"/>
      <protection locked="0"/>
    </xf>
    <xf numFmtId="4" fontId="9" fillId="39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8" xfId="0" applyFont="1" applyFill="1" applyBorder="1" applyAlignment="1" applyProtection="1">
      <alignment horizontal="center" vertical="top"/>
      <protection locked="0"/>
    </xf>
    <xf numFmtId="3" fontId="3" fillId="39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0" fontId="9" fillId="39" borderId="54" xfId="0" applyFont="1" applyFill="1" applyBorder="1" applyAlignment="1" applyProtection="1">
      <alignment horizontal="center" vertical="center" wrapText="1"/>
      <protection locked="0"/>
    </xf>
    <xf numFmtId="3" fontId="3" fillId="36" borderId="47" xfId="42" applyNumberFormat="1" applyFont="1" applyFill="1" applyBorder="1" applyAlignment="1" applyProtection="1">
      <alignment horizontal="center" vertical="top"/>
      <protection locked="0"/>
    </xf>
    <xf numFmtId="4" fontId="9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top"/>
      <protection locked="0"/>
    </xf>
    <xf numFmtId="3" fontId="3" fillId="36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9" fillId="36" borderId="54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5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0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7" xfId="0" applyFont="1" applyFill="1" applyBorder="1" applyAlignment="1">
      <alignment horizontal="center" vertical="top"/>
    </xf>
    <xf numFmtId="0" fontId="3" fillId="35" borderId="48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4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24" xfId="0" applyFont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ldimand_2002_PILs%20Model_20110921_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1">
          <cell r="A1" t="str">
            <v>SIMPIL MODEL 
(Halton Hills Version per Board Decision in EB-2008-0381)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3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26.25">
      <c r="A1" s="487" t="str">
        <f>'[2]REGINFO'!A1</f>
        <v>SIMPIL MODEL 
(Halton Hills Version per Board Decision in EB-2008-0381)</v>
      </c>
      <c r="B1" s="486"/>
      <c r="C1" s="486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5">
      <c r="A3" s="496" t="s">
        <v>493</v>
      </c>
      <c r="C3" s="8"/>
      <c r="D3" s="452" t="s">
        <v>445</v>
      </c>
      <c r="E3" s="8"/>
      <c r="F3" s="8"/>
      <c r="G3" s="8"/>
      <c r="H3" s="8"/>
    </row>
    <row r="4" spans="1:8" ht="15">
      <c r="A4" s="496" t="s">
        <v>494</v>
      </c>
      <c r="C4" s="8"/>
      <c r="D4" s="451" t="s">
        <v>440</v>
      </c>
      <c r="E4" s="425"/>
      <c r="H4" s="8"/>
    </row>
    <row r="5" spans="1:8" ht="12.75">
      <c r="A5" s="51"/>
      <c r="C5" s="8"/>
      <c r="D5" s="450" t="s">
        <v>441</v>
      </c>
      <c r="E5" s="395"/>
      <c r="H5" s="8"/>
    </row>
    <row r="6" spans="1:8" ht="12.75">
      <c r="A6" s="2" t="s">
        <v>126</v>
      </c>
      <c r="B6" s="385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8" t="s">
        <v>495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8" t="s">
        <v>496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488" t="s">
        <v>496</v>
      </c>
    </row>
    <row r="18" spans="1:4" ht="15" customHeight="1">
      <c r="A18" s="386" t="s">
        <v>314</v>
      </c>
      <c r="C18" s="8"/>
      <c r="D18" s="8"/>
    </row>
    <row r="19" spans="1:4" ht="15" customHeight="1">
      <c r="A19" s="500" t="s">
        <v>315</v>
      </c>
      <c r="B19" s="8" t="s">
        <v>312</v>
      </c>
      <c r="C19" s="8" t="s">
        <v>64</v>
      </c>
      <c r="D19" s="489" t="s">
        <v>496</v>
      </c>
    </row>
    <row r="20" spans="1:4" ht="13.5" thickBot="1">
      <c r="A20" s="501"/>
      <c r="B20" s="8" t="s">
        <v>313</v>
      </c>
      <c r="C20" s="8" t="s">
        <v>64</v>
      </c>
      <c r="D20" s="488" t="s">
        <v>496</v>
      </c>
    </row>
    <row r="21" spans="1:4" ht="12.75">
      <c r="A21" s="500" t="s">
        <v>311</v>
      </c>
      <c r="B21" s="8" t="s">
        <v>312</v>
      </c>
      <c r="C21" s="8"/>
      <c r="D21" s="420">
        <v>1</v>
      </c>
    </row>
    <row r="22" spans="1:4" ht="12.75">
      <c r="A22" s="500"/>
      <c r="B22" s="8" t="s">
        <v>313</v>
      </c>
      <c r="C22" s="8"/>
      <c r="D22" s="420">
        <v>1</v>
      </c>
    </row>
    <row r="23" spans="1:4" ht="7.5" customHeight="1">
      <c r="A23" s="45"/>
      <c r="C23" s="8"/>
      <c r="D23" s="385"/>
    </row>
    <row r="24" spans="1:4" ht="12.75">
      <c r="A24" s="45" t="s">
        <v>211</v>
      </c>
      <c r="C24" s="8" t="s">
        <v>212</v>
      </c>
      <c r="D24" s="421" t="s">
        <v>475</v>
      </c>
    </row>
    <row r="25" ht="6.75" customHeight="1" thickBot="1">
      <c r="A25" s="12"/>
    </row>
    <row r="26" spans="1:5" ht="12.75">
      <c r="A26" s="253" t="s">
        <v>67</v>
      </c>
      <c r="C26" s="8"/>
      <c r="E26" s="440" t="s">
        <v>296</v>
      </c>
    </row>
    <row r="27" spans="1:5" ht="12.75">
      <c r="A27" s="254" t="s">
        <v>68</v>
      </c>
      <c r="C27" s="8"/>
      <c r="E27" s="441" t="s">
        <v>297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286</v>
      </c>
      <c r="D31" s="418">
        <v>33509753</v>
      </c>
      <c r="H31" s="5"/>
    </row>
    <row r="32" ht="6" customHeight="1"/>
    <row r="33" spans="1:8" ht="12.75">
      <c r="A33" t="s">
        <v>71</v>
      </c>
      <c r="D33" s="419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9">
        <v>0.0988</v>
      </c>
      <c r="H37" s="41"/>
    </row>
    <row r="38" ht="4.5" customHeight="1">
      <c r="H38" s="34"/>
    </row>
    <row r="39" spans="1:8" ht="12.75">
      <c r="A39" t="s">
        <v>74</v>
      </c>
      <c r="D39" s="419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2870110.34445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1557675</v>
      </c>
      <c r="E43" s="384">
        <f>D43</f>
        <v>1557675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1312435.3444500002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3">
        <v>437478</v>
      </c>
      <c r="E47" s="384">
        <f>D47</f>
        <v>437478</v>
      </c>
      <c r="H47" s="40"/>
      <c r="J47" s="5"/>
      <c r="K47" s="5"/>
    </row>
    <row r="48" spans="1:11" ht="12.75">
      <c r="A48" t="s">
        <v>289</v>
      </c>
      <c r="D48" s="423">
        <v>437478</v>
      </c>
      <c r="E48" s="384">
        <f>D48</f>
        <v>437478</v>
      </c>
      <c r="F48" s="22"/>
      <c r="H48" s="40"/>
      <c r="J48" s="5"/>
      <c r="K48" s="5"/>
    </row>
    <row r="49" spans="1:11" ht="12.75">
      <c r="A49" t="s">
        <v>290</v>
      </c>
      <c r="D49" s="424">
        <v>0</v>
      </c>
      <c r="E49" s="384">
        <v>0</v>
      </c>
      <c r="F49" s="22"/>
      <c r="H49" s="40"/>
      <c r="J49" s="5"/>
      <c r="K49" s="5"/>
    </row>
    <row r="50" spans="1:11" ht="12.75">
      <c r="A50" t="s">
        <v>291</v>
      </c>
      <c r="D50" s="425"/>
      <c r="E50" s="384">
        <f>D50</f>
        <v>0</v>
      </c>
      <c r="H50" s="40"/>
      <c r="J50" s="5"/>
      <c r="K50" s="5"/>
    </row>
    <row r="51" spans="4:11" ht="12.75">
      <c r="D51" s="425"/>
      <c r="E51" s="384">
        <f>D51</f>
        <v>0</v>
      </c>
      <c r="H51" s="40"/>
      <c r="J51" s="5"/>
      <c r="K51" s="5"/>
    </row>
    <row r="52" spans="1:11" ht="12.75">
      <c r="A52" s="2" t="s">
        <v>292</v>
      </c>
      <c r="E52" s="252">
        <f>SUM(E43:E51)</f>
        <v>2432631</v>
      </c>
      <c r="H52" s="40"/>
      <c r="J52" s="5"/>
      <c r="K52" s="5"/>
    </row>
    <row r="53" spans="4:11" ht="12.75">
      <c r="D53" s="30"/>
      <c r="H53" s="40"/>
      <c r="J53" s="5"/>
      <c r="K53" s="5"/>
    </row>
    <row r="54" spans="1:11" ht="12.75">
      <c r="A54" t="s">
        <v>78</v>
      </c>
      <c r="B54" s="5"/>
      <c r="C54" s="5"/>
      <c r="D54" s="250">
        <f>D31*D33</f>
        <v>16754876.5</v>
      </c>
      <c r="H54" s="32"/>
      <c r="J54" s="5"/>
      <c r="K54" s="5"/>
    </row>
    <row r="55" spans="1:11" ht="12.75">
      <c r="A55" s="14"/>
      <c r="B55" s="5"/>
      <c r="C55" s="5"/>
      <c r="D55" s="5"/>
      <c r="F55" s="5"/>
      <c r="H55" s="32"/>
      <c r="J55" s="5"/>
      <c r="K55" s="5"/>
    </row>
    <row r="56" spans="1:11" ht="12.75">
      <c r="A56" t="s">
        <v>79</v>
      </c>
      <c r="B56" s="5"/>
      <c r="C56" s="5"/>
      <c r="D56" s="250">
        <f>D54*D37</f>
        <v>1655381.7982</v>
      </c>
      <c r="F56" s="5"/>
      <c r="H56" s="32"/>
      <c r="J56" s="5"/>
      <c r="K56" s="5"/>
    </row>
    <row r="57" spans="2:11" ht="12.75">
      <c r="B57" s="5"/>
      <c r="C57" s="5"/>
      <c r="D57" s="5"/>
      <c r="F57" s="5"/>
      <c r="H57" s="32"/>
      <c r="J57" s="5"/>
      <c r="K57" s="5"/>
    </row>
    <row r="58" spans="1:11" ht="12.75">
      <c r="A58" t="s">
        <v>80</v>
      </c>
      <c r="B58" s="5"/>
      <c r="C58" s="5"/>
      <c r="D58" s="250">
        <f>D31*D35</f>
        <v>16754876.5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310</v>
      </c>
      <c r="B60" s="5"/>
      <c r="C60" s="5"/>
      <c r="D60" s="250">
        <f>D58*D39</f>
        <v>1214728.54625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293</v>
      </c>
      <c r="B62" s="5"/>
      <c r="C62" s="5"/>
      <c r="D62" s="251">
        <f>IF(D41&gt;0,(((D43+D47)/D41)*D60),0)</f>
        <v>844416.7688266197</v>
      </c>
      <c r="F62" s="5"/>
      <c r="H62" s="32"/>
      <c r="J62" s="5"/>
      <c r="K62" s="5"/>
    </row>
    <row r="63" spans="1:11" ht="12.75">
      <c r="A63" s="33" t="s">
        <v>377</v>
      </c>
      <c r="B63" s="5"/>
      <c r="C63" s="5"/>
      <c r="D63" s="32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1">
        <f>IF(D41&gt;0,(((D43+D47+D48)/D41)*D60),0)</f>
        <v>1029572.3730297722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0" ht="12.75">
      <c r="A66" s="45" t="s">
        <v>295</v>
      </c>
      <c r="B66" s="5"/>
      <c r="C66" s="5"/>
      <c r="D66" s="251">
        <f>IF(D41&gt;0,(((D43+D47+D48)/D41)*D60),0)</f>
        <v>1029572.3730297722</v>
      </c>
      <c r="F66" s="5"/>
      <c r="H66" s="32"/>
      <c r="J66" s="5"/>
    </row>
    <row r="67" spans="1:10" ht="12.75">
      <c r="A67" s="33" t="s">
        <v>379</v>
      </c>
      <c r="B67" s="5"/>
      <c r="C67" s="5"/>
      <c r="D67" s="5"/>
      <c r="F67" s="5"/>
      <c r="H67" s="32"/>
      <c r="J67" s="5"/>
    </row>
    <row r="68" spans="1:8" ht="12.75">
      <c r="A68" s="88"/>
      <c r="B68" s="5"/>
      <c r="C68" s="5"/>
      <c r="D68" s="5"/>
      <c r="H68" s="34"/>
    </row>
    <row r="69" spans="2:8" ht="12.75">
      <c r="B69" s="5"/>
      <c r="C69" s="5"/>
      <c r="D69" s="5"/>
      <c r="H69" s="34"/>
    </row>
    <row r="70" spans="2:8" ht="12.75">
      <c r="B70" s="5"/>
      <c r="C70" s="5"/>
      <c r="D70" s="5"/>
      <c r="H70" s="34"/>
    </row>
    <row r="71" spans="2:8" ht="12.75"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ht="12.75">
      <c r="H73" s="34"/>
    </row>
  </sheetData>
  <sheetProtection/>
  <mergeCells count="2">
    <mergeCell ref="A21:A22"/>
    <mergeCell ref="A19:A20"/>
  </mergeCells>
  <printOptions gridLines="1" headings="1" horizontalCentered="1"/>
  <pageMargins left="0.35433070866141736" right="0.03937007874015748" top="0.7086614173228347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80" zoomScaleNormal="80" zoomScalePageLayoutView="0" workbookViewId="0" topLeftCell="A148">
      <selection activeCell="E175" sqref="E175"/>
    </sheetView>
  </sheetViews>
  <sheetFormatPr defaultColWidth="9.140625" defaultRowHeight="12.75"/>
  <cols>
    <col min="1" max="1" width="62.710937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26.25">
      <c r="A1" s="490" t="str">
        <f>REGINFO!A1</f>
        <v>SIMPIL MODEL 
(Halton Hills Version per Board Decision in EB-2008-0381)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460</v>
      </c>
      <c r="H1" s="208"/>
    </row>
    <row r="2" spans="1:8" ht="12.75">
      <c r="A2" s="209" t="s">
        <v>459</v>
      </c>
      <c r="B2" s="210"/>
      <c r="C2" s="211" t="s">
        <v>35</v>
      </c>
      <c r="D2" s="212"/>
      <c r="E2" s="213" t="s">
        <v>24</v>
      </c>
      <c r="F2" s="214" t="s">
        <v>24</v>
      </c>
      <c r="G2" s="182" t="s">
        <v>461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249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2" t="str">
        <f>REGINFO!E1</f>
        <v>Version 2009.1</v>
      </c>
      <c r="H5" s="215"/>
    </row>
    <row r="6" spans="1:8" ht="15">
      <c r="A6" s="497" t="str">
        <f>REGINFO!A3</f>
        <v>Utility Name: HALDIMAND COUNTY HYDRO INC.</v>
      </c>
      <c r="B6" s="114"/>
      <c r="D6" s="136"/>
      <c r="E6" s="114"/>
      <c r="G6" s="114"/>
      <c r="H6" s="462"/>
    </row>
    <row r="7" spans="1:8" ht="15">
      <c r="A7" s="497" t="str">
        <f>REGINFO!A4</f>
        <v>Reporting period:  January 1, 2003 to December 31, 2003</v>
      </c>
      <c r="B7" s="114"/>
      <c r="D7" s="136"/>
      <c r="E7" s="114"/>
      <c r="G7" s="114"/>
      <c r="H7" s="462"/>
    </row>
    <row r="8" spans="2:12" ht="12.75">
      <c r="B8" s="220"/>
      <c r="C8" s="228"/>
      <c r="D8" s="212"/>
      <c r="E8" s="136"/>
      <c r="F8" s="218"/>
      <c r="G8" s="182" t="s">
        <v>87</v>
      </c>
      <c r="H8" s="215"/>
      <c r="J8" s="34"/>
      <c r="K8" s="34"/>
      <c r="L8" s="34"/>
    </row>
    <row r="9" spans="1:8" ht="12.75">
      <c r="A9" s="209" t="s">
        <v>126</v>
      </c>
      <c r="B9" s="426">
        <f>REGINFO!B6</f>
        <v>365</v>
      </c>
      <c r="C9" s="229" t="s">
        <v>127</v>
      </c>
      <c r="D9" s="212"/>
      <c r="E9" s="136"/>
      <c r="F9" s="218"/>
      <c r="G9" s="182" t="s">
        <v>90</v>
      </c>
      <c r="H9" s="215"/>
    </row>
    <row r="10" spans="1:8" ht="12.75">
      <c r="A10" s="209" t="s">
        <v>255</v>
      </c>
      <c r="B10" s="426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340</v>
      </c>
      <c r="B16" s="124">
        <v>1</v>
      </c>
      <c r="C16" s="257">
        <f>REGINFO!E52</f>
        <v>2432631</v>
      </c>
      <c r="D16" s="17"/>
      <c r="E16" s="265">
        <f>G16-C16</f>
        <v>-536240</v>
      </c>
      <c r="F16" s="3"/>
      <c r="G16" s="265">
        <f>TAXREC!E50</f>
        <v>1896391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1863832</v>
      </c>
      <c r="D20" s="18"/>
      <c r="E20" s="265">
        <f>G20-C20</f>
        <v>290276</v>
      </c>
      <c r="F20" s="6"/>
      <c r="G20" s="265">
        <f>TAXREC!E61</f>
        <v>2154108</v>
      </c>
      <c r="H20" s="150"/>
    </row>
    <row r="21" spans="1:8" ht="12.75">
      <c r="A21" s="157" t="s">
        <v>56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263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262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264</v>
      </c>
      <c r="B24" s="126">
        <v>5</v>
      </c>
      <c r="C24" s="259">
        <v>214577</v>
      </c>
      <c r="D24" s="18"/>
      <c r="E24" s="265">
        <f>G24-C24</f>
        <v>3019891</v>
      </c>
      <c r="F24" s="6"/>
      <c r="G24" s="265">
        <f>TAXREC!E65</f>
        <v>3234468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36327</v>
      </c>
      <c r="F28" s="6"/>
      <c r="G28" s="265">
        <f>TAXREC!E67</f>
        <v>36327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78" t="s">
        <v>394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341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9">
        <v>1903327</v>
      </c>
      <c r="D33" s="131"/>
      <c r="E33" s="265">
        <f aca="true" t="shared" si="0" ref="E33:E42">G33-C33</f>
        <v>-319819</v>
      </c>
      <c r="F33" s="6"/>
      <c r="G33" s="265">
        <f>TAXREC!E97+TAXREC!E98</f>
        <v>1583508</v>
      </c>
      <c r="H33" s="150"/>
    </row>
    <row r="34" spans="1:8" ht="12.75">
      <c r="A34" s="157" t="s">
        <v>57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265</v>
      </c>
      <c r="B36" s="126">
        <v>10</v>
      </c>
      <c r="C36" s="259">
        <v>34503</v>
      </c>
      <c r="D36" s="131"/>
      <c r="E36" s="265">
        <f t="shared" si="0"/>
        <v>2310075</v>
      </c>
      <c r="F36" s="6"/>
      <c r="G36" s="265">
        <f>TAXREC!E102+TAXREC!E103</f>
        <v>2344578</v>
      </c>
      <c r="H36" s="150"/>
    </row>
    <row r="37" spans="1:8" ht="12.75">
      <c r="A37" s="154" t="s">
        <v>86</v>
      </c>
      <c r="B37" s="124">
        <v>11</v>
      </c>
      <c r="C37" s="258">
        <f>REGINFO!D64</f>
        <v>1029572.3730297722</v>
      </c>
      <c r="D37" s="131"/>
      <c r="E37" s="265">
        <f t="shared" si="0"/>
        <v>40669.62697022781</v>
      </c>
      <c r="F37" s="6"/>
      <c r="G37" s="265">
        <f>TAXREC!E51</f>
        <v>1070242</v>
      </c>
      <c r="H37" s="150"/>
    </row>
    <row r="38" spans="1:8" ht="12.75">
      <c r="A38" s="154" t="s">
        <v>261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260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59"/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259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58400</v>
      </c>
      <c r="F46" s="6"/>
      <c r="G46" s="249">
        <f>TAXREC!E110</f>
        <v>58400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5">
      <c r="A48" s="478" t="s">
        <v>394</v>
      </c>
      <c r="B48" s="126"/>
      <c r="C48" s="257"/>
      <c r="D48" s="131"/>
      <c r="E48" s="265">
        <f>G48-C48</f>
        <v>0</v>
      </c>
      <c r="F48" s="6"/>
      <c r="G48" s="249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327</v>
      </c>
      <c r="B50" s="124"/>
      <c r="C50" s="261">
        <f>C16+SUM(C20:C30)-SUM(C33:C48)</f>
        <v>1543637.6269702278</v>
      </c>
      <c r="D50" s="101"/>
      <c r="E50" s="261">
        <f>E16+SUM(E20:E30)-SUM(E33:E48)</f>
        <v>720928.3730297722</v>
      </c>
      <c r="F50" s="428" t="s">
        <v>366</v>
      </c>
      <c r="G50" s="261">
        <f>G16+SUM(G20:G30)-SUM(G33:G48)</f>
        <v>2264566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335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339</v>
      </c>
      <c r="B53" s="126">
        <v>13</v>
      </c>
      <c r="C53" s="260">
        <f>IF($C$50&gt;'Tax Rates'!$E$11,'Tax Rates'!$F$16,IF($C$50&gt;'Tax Rates'!$C$11,'Tax Rates'!$E$16,'Tax Rates'!$C$16))</f>
        <v>0.3862</v>
      </c>
      <c r="D53" s="101"/>
      <c r="E53" s="266">
        <f>+G53-C53</f>
        <v>-0.020000000000000018</v>
      </c>
      <c r="F53" s="113"/>
      <c r="G53" s="470">
        <f>TAXREC!E151</f>
        <v>0.36619999999999997</v>
      </c>
      <c r="H53" s="150"/>
      <c r="I53" s="467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596152.851535902</v>
      </c>
      <c r="D55" s="101"/>
      <c r="E55" s="265">
        <f>G55-C55</f>
        <v>70066.14846409799</v>
      </c>
      <c r="F55" s="428" t="s">
        <v>367</v>
      </c>
      <c r="G55" s="262">
        <f>TAXREC!E144</f>
        <v>666219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5361</v>
      </c>
      <c r="F58" s="428" t="s">
        <v>367</v>
      </c>
      <c r="G58" s="268">
        <f>TAXREC!E145</f>
        <v>5361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4">
        <f>+C55-C58</f>
        <v>596152.851535902</v>
      </c>
      <c r="D60" s="132"/>
      <c r="E60" s="267">
        <f>+E55-E58</f>
        <v>64705.14846409799</v>
      </c>
      <c r="F60" s="428" t="s">
        <v>367</v>
      </c>
      <c r="G60" s="267">
        <f>+G55-G58</f>
        <v>660858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33509753</v>
      </c>
      <c r="D66" s="101"/>
      <c r="E66" s="265">
        <f>G66-C66</f>
        <v>4006160</v>
      </c>
      <c r="F66" s="6"/>
      <c r="G66" s="472">
        <v>37515913</v>
      </c>
      <c r="H66" s="150"/>
      <c r="I66" s="473" t="s">
        <v>471</v>
      </c>
    </row>
    <row r="67" spans="1:10" ht="12.75">
      <c r="A67" s="151" t="s">
        <v>359</v>
      </c>
      <c r="B67" s="124">
        <v>16</v>
      </c>
      <c r="C67" s="258">
        <f>IF(C66&gt;0,'Tax Rates'!C21,0)</f>
        <v>5000000</v>
      </c>
      <c r="D67" s="101"/>
      <c r="E67" s="265">
        <f>G67-C67</f>
        <v>-51035</v>
      </c>
      <c r="F67" s="6"/>
      <c r="G67" s="265">
        <f>'Tax Rates'!C57</f>
        <v>4948965</v>
      </c>
      <c r="H67" s="150"/>
      <c r="I67" s="473" t="s">
        <v>471</v>
      </c>
      <c r="J67" s="492"/>
    </row>
    <row r="68" spans="1:8" ht="12.75">
      <c r="A68" s="151" t="s">
        <v>42</v>
      </c>
      <c r="B68" s="124"/>
      <c r="C68" s="262">
        <f>IF((C66-C67)&gt;0,C66-C67,0)</f>
        <v>28509753</v>
      </c>
      <c r="D68" s="101"/>
      <c r="E68" s="265">
        <f>SUM(E66:E67)</f>
        <v>3955125</v>
      </c>
      <c r="F68" s="113"/>
      <c r="G68" s="262">
        <f>G66-G67</f>
        <v>32566948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360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316</v>
      </c>
      <c r="B72" s="124"/>
      <c r="C72" s="262">
        <f>IF(C68&gt;0,C68*C70,0)*REGINFO!$B$6/REGINFO!$B$7</f>
        <v>85529.259</v>
      </c>
      <c r="D72" s="100"/>
      <c r="E72" s="265">
        <f>+G72-C72</f>
        <v>12171.585000000006</v>
      </c>
      <c r="F72" s="474"/>
      <c r="G72" s="262">
        <f>IF(G68&gt;0,G68*G70,0)*REGINFO!$B$6/REGINFO!$B$7</f>
        <v>97700.84400000001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33509753</v>
      </c>
      <c r="D75" s="101"/>
      <c r="E75" s="265">
        <f>+G75-C75</f>
        <v>5458103</v>
      </c>
      <c r="F75" s="6"/>
      <c r="G75" s="472">
        <v>38967856</v>
      </c>
      <c r="H75" s="150"/>
      <c r="I75" s="473" t="s">
        <v>471</v>
      </c>
    </row>
    <row r="76" spans="1:9" ht="12.75">
      <c r="A76" s="151" t="s">
        <v>359</v>
      </c>
      <c r="B76" s="124">
        <v>19</v>
      </c>
      <c r="C76" s="258">
        <f>IF(C75&gt;0,'Tax Rates'!C22,0)</f>
        <v>10000000</v>
      </c>
      <c r="D76" s="18"/>
      <c r="E76" s="265">
        <f>+G76-C76</f>
        <v>0</v>
      </c>
      <c r="F76" s="6"/>
      <c r="G76" s="265">
        <f>'Tax Rates'!C58</f>
        <v>10000000</v>
      </c>
      <c r="H76" s="150"/>
      <c r="I76" s="473" t="s">
        <v>471</v>
      </c>
    </row>
    <row r="77" spans="1:8" ht="12.75">
      <c r="A77" s="151" t="s">
        <v>42</v>
      </c>
      <c r="B77" s="124"/>
      <c r="C77" s="262">
        <f>IF((C75-C76)&gt;0,C75-C76,0)</f>
        <v>23509753</v>
      </c>
      <c r="D77" s="19"/>
      <c r="E77" s="265">
        <f>SUM(E75:E76)</f>
        <v>5458103</v>
      </c>
      <c r="F77" s="113"/>
      <c r="G77" s="262">
        <f>G75-G76</f>
        <v>28967856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360</v>
      </c>
      <c r="B79" s="124">
        <v>20</v>
      </c>
      <c r="C79" s="299">
        <f>'Tax Rates'!C19</f>
        <v>0.00225</v>
      </c>
      <c r="D79" s="101"/>
      <c r="E79" s="266">
        <f>G79-C79</f>
        <v>0</v>
      </c>
      <c r="F79" s="6"/>
      <c r="G79" s="266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317</v>
      </c>
      <c r="B81" s="124"/>
      <c r="C81" s="262">
        <f>IF(C77&gt;0,C77*C79,0)*REGINFO!$B$6/REGINFO!$B$7</f>
        <v>52896.94424999999</v>
      </c>
      <c r="D81" s="101"/>
      <c r="E81" s="265">
        <f>+G81-C81</f>
        <v>12280.731749999999</v>
      </c>
      <c r="F81" s="6"/>
      <c r="G81" s="262">
        <f>G77*G79*B9/B10</f>
        <v>65177.67599999999</v>
      </c>
      <c r="H81" s="150"/>
    </row>
    <row r="82" spans="1:8" ht="12.75">
      <c r="A82" s="151" t="s">
        <v>318</v>
      </c>
      <c r="B82" s="124">
        <v>21</v>
      </c>
      <c r="C82" s="298">
        <f>IF(C77&gt;0,IF(C60&gt;0,C50*'Tax Rates'!C20,0),0)</f>
        <v>17288.741422066552</v>
      </c>
      <c r="D82" s="101"/>
      <c r="E82" s="265">
        <f>+G82-C82</f>
        <v>-17288.741422066552</v>
      </c>
      <c r="F82" s="6"/>
      <c r="G82" s="298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f>C81-C82</f>
        <v>35608.20282793344</v>
      </c>
      <c r="D84" s="16"/>
      <c r="E84" s="265">
        <f>E81-E82</f>
        <v>29569.47317206655</v>
      </c>
      <c r="F84" s="102"/>
      <c r="G84" s="262">
        <f>G81-G82</f>
        <v>65177.67599999999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0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368</v>
      </c>
      <c r="B90" s="126">
        <v>22</v>
      </c>
      <c r="C90" s="262">
        <f>C60/(1-C88)</f>
        <v>953844.5624574432</v>
      </c>
      <c r="D90" s="20"/>
      <c r="E90" s="138"/>
      <c r="F90" s="427" t="s">
        <v>476</v>
      </c>
      <c r="G90" s="268">
        <f>TAXREC!E156</f>
        <v>660858</v>
      </c>
      <c r="H90" s="150"/>
    </row>
    <row r="91" spans="1:8" ht="12.75">
      <c r="A91" s="157" t="s">
        <v>369</v>
      </c>
      <c r="B91" s="126">
        <v>23</v>
      </c>
      <c r="C91" s="262">
        <f>C84/(1-C88)</f>
        <v>56973.12452469351</v>
      </c>
      <c r="D91" s="20"/>
      <c r="E91" s="138"/>
      <c r="F91" s="427" t="s">
        <v>476</v>
      </c>
      <c r="G91" s="268">
        <f>TAXREC!E158</f>
        <v>41396</v>
      </c>
      <c r="H91" s="150"/>
    </row>
    <row r="92" spans="1:8" ht="12.75">
      <c r="A92" s="157" t="s">
        <v>347</v>
      </c>
      <c r="B92" s="126">
        <v>24</v>
      </c>
      <c r="C92" s="262">
        <f>C72</f>
        <v>85529.259</v>
      </c>
      <c r="D92" s="20"/>
      <c r="E92" s="138"/>
      <c r="F92" s="427" t="s">
        <v>476</v>
      </c>
      <c r="G92" s="268">
        <f>TAXREC!E157</f>
        <v>97701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477</v>
      </c>
      <c r="B95" s="124">
        <v>25</v>
      </c>
      <c r="C95" s="267">
        <f>SUM(C90:C93)</f>
        <v>1096346.9459821368</v>
      </c>
      <c r="D95" s="6"/>
      <c r="E95" s="138"/>
      <c r="F95" s="427" t="s">
        <v>476</v>
      </c>
      <c r="G95" s="410">
        <f>SUM(G90:G94)</f>
        <v>799955</v>
      </c>
      <c r="H95" s="163"/>
    </row>
    <row r="96" spans="1:8" ht="12.75">
      <c r="A96" s="400" t="s">
        <v>307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304</v>
      </c>
      <c r="B99" s="122"/>
      <c r="C99" s="111"/>
      <c r="D99" s="3"/>
      <c r="E99" s="111"/>
      <c r="F99" s="3"/>
      <c r="G99" s="199"/>
      <c r="H99" s="163"/>
    </row>
    <row r="100" spans="1:8" ht="13.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345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3019891</v>
      </c>
      <c r="F105" s="37"/>
      <c r="G105" s="200"/>
      <c r="H105" s="163"/>
    </row>
    <row r="106" spans="1:8" ht="12.75">
      <c r="A106" s="157" t="s">
        <v>362</v>
      </c>
      <c r="B106" s="126">
        <v>6</v>
      </c>
      <c r="C106" s="111"/>
      <c r="D106" s="3"/>
      <c r="E106" s="249">
        <f>E26</f>
        <v>0</v>
      </c>
      <c r="F106" s="37"/>
      <c r="G106" s="200"/>
      <c r="H106" s="163"/>
    </row>
    <row r="107" spans="1:8" ht="12.75">
      <c r="A107" s="157" t="s">
        <v>363</v>
      </c>
      <c r="B107" s="126">
        <v>6</v>
      </c>
      <c r="C107" s="111"/>
      <c r="D107" s="3"/>
      <c r="E107" s="249">
        <f>E28</f>
        <v>36327</v>
      </c>
      <c r="F107" s="37"/>
      <c r="G107" s="200"/>
      <c r="H107" s="163"/>
    </row>
    <row r="108" spans="1:8" ht="12.75">
      <c r="A108" s="155" t="s">
        <v>361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2310075</v>
      </c>
      <c r="F111" s="37"/>
      <c r="G111" s="200"/>
      <c r="H111" s="163"/>
    </row>
    <row r="112" spans="1:8" ht="12.75">
      <c r="A112" s="154" t="s">
        <v>486</v>
      </c>
      <c r="B112" s="126">
        <v>11</v>
      </c>
      <c r="C112" s="111"/>
      <c r="D112" s="3"/>
      <c r="E112" s="469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200"/>
      <c r="H116" s="163"/>
    </row>
    <row r="117" spans="1:8" ht="12.75">
      <c r="A117" s="157" t="s">
        <v>364</v>
      </c>
      <c r="B117" s="126">
        <v>12</v>
      </c>
      <c r="C117" s="111"/>
      <c r="D117" s="3"/>
      <c r="E117" s="249">
        <f>E44</f>
        <v>0</v>
      </c>
      <c r="F117" s="37"/>
      <c r="G117" s="200"/>
      <c r="H117" s="163"/>
    </row>
    <row r="118" spans="1:8" ht="12.75">
      <c r="A118" s="157" t="s">
        <v>365</v>
      </c>
      <c r="B118" s="126">
        <v>12</v>
      </c>
      <c r="C118" s="111"/>
      <c r="D118" s="3"/>
      <c r="E118" s="249">
        <f>E46</f>
        <v>58400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2">
        <f>SUM(E102:E107)-SUM(E109:E118)</f>
        <v>687743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478</v>
      </c>
      <c r="B122" s="126"/>
      <c r="C122" s="111"/>
      <c r="D122" s="3" t="s">
        <v>230</v>
      </c>
      <c r="E122" s="466">
        <f>'Tax Rates'!F52-0.0112</f>
        <v>0.355</v>
      </c>
      <c r="F122" s="467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188</v>
      </c>
      <c r="E124" s="262">
        <f>E120*E122</f>
        <v>244148.76499999998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2">
        <f>E58</f>
        <v>5361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2">
        <f>E124-E126</f>
        <v>238787.76499999998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0">
        <f>E122</f>
        <v>0.355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351</v>
      </c>
      <c r="B132" s="129"/>
      <c r="C132" s="111"/>
      <c r="D132" s="3"/>
      <c r="E132" s="482">
        <f>E128/(1-E130)</f>
        <v>370213.5891472868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27">
      <c r="A134" s="168" t="s">
        <v>354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6.25">
      <c r="A136" s="170" t="s">
        <v>234</v>
      </c>
      <c r="B136" s="129"/>
      <c r="C136" s="111"/>
      <c r="D136" s="117" t="s">
        <v>188</v>
      </c>
      <c r="E136" s="300">
        <f>C50</f>
        <v>1543637.6269702278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0">
        <f>IF((E120+E136)&gt;'Tax Rates'!E47,'Tax Rates'!F52,IF((E120+E136)&gt;'Tax Rates'!D47,'Tax Rates'!E52,IF((E120+E136)&gt;'Tax Rates'!C47,'Tax Rates'!D52,'Tax Rates'!C52)))</f>
        <v>0.36619999999999997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1">
        <f>IF(E136&gt;0,E136*E138,0)</f>
        <v>565280.0989964973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2">
        <f>TAXREC!E145</f>
        <v>5361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0">
        <f>E140-E142</f>
        <v>559919.0989964973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6.25">
      <c r="A146" s="170" t="s">
        <v>238</v>
      </c>
      <c r="B146" s="129"/>
      <c r="C146" s="111"/>
      <c r="D146" s="117" t="s">
        <v>187</v>
      </c>
      <c r="E146" s="300">
        <f>C60</f>
        <v>596152.851535902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0">
        <f>E144-E146</f>
        <v>-36233.75253940467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3" t="s">
        <v>20</v>
      </c>
      <c r="B150" s="129"/>
      <c r="C150" s="111"/>
      <c r="D150" s="118"/>
      <c r="E150" s="477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0">
        <f>C66</f>
        <v>33509753</v>
      </c>
      <c r="F151" s="37"/>
      <c r="G151" s="200"/>
      <c r="H151" s="163"/>
    </row>
    <row r="152" spans="1:8" ht="12.75">
      <c r="A152" s="170" t="s">
        <v>357</v>
      </c>
      <c r="B152" s="129"/>
      <c r="C152" s="111"/>
      <c r="D152" s="117" t="s">
        <v>187</v>
      </c>
      <c r="E152" s="303">
        <f>IF(E151&gt;0,'Tax Rates'!C39,0)</f>
        <v>5000000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0">
        <f>E151-E152</f>
        <v>28509753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358</v>
      </c>
      <c r="B155" s="129"/>
      <c r="C155" s="111"/>
      <c r="D155" s="118" t="s">
        <v>230</v>
      </c>
      <c r="E155" s="304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0">
        <f>IF(E153&gt;0,E153*E155*B9/B10,0)</f>
        <v>85529.259</v>
      </c>
      <c r="F157" s="37"/>
      <c r="G157" s="200"/>
      <c r="H157" s="163"/>
    </row>
    <row r="158" spans="1:8" ht="12.75">
      <c r="A158" s="170" t="s">
        <v>308</v>
      </c>
      <c r="B158" s="129"/>
      <c r="C158" s="111"/>
      <c r="D158" s="117" t="s">
        <v>187</v>
      </c>
      <c r="E158" s="303">
        <f>C72</f>
        <v>85529.259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188</v>
      </c>
      <c r="E159" s="471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3" t="s">
        <v>235</v>
      </c>
      <c r="B161" s="129"/>
      <c r="C161" s="111"/>
      <c r="D161" s="118"/>
      <c r="E161" s="302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33509753</v>
      </c>
      <c r="F162" s="37"/>
      <c r="G162" s="200"/>
      <c r="H162" s="163"/>
    </row>
    <row r="163" spans="1:8" ht="12.75">
      <c r="A163" s="170" t="s">
        <v>356</v>
      </c>
      <c r="B163" s="129"/>
      <c r="C163" s="111"/>
      <c r="D163" s="117" t="s">
        <v>187</v>
      </c>
      <c r="E163" s="303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0">
        <f>E162-E163</f>
        <v>23509753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309</v>
      </c>
      <c r="B166" s="129"/>
      <c r="C166" s="111"/>
      <c r="D166" s="118"/>
      <c r="E166" s="304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0">
        <f>IF(E164&gt;0,E164*E166*B9/B10,0)</f>
        <v>52896.94424999999</v>
      </c>
      <c r="F168" s="37"/>
      <c r="G168" s="200"/>
      <c r="H168" s="163"/>
    </row>
    <row r="169" spans="1:8" ht="12.75">
      <c r="A169" s="170" t="s">
        <v>319</v>
      </c>
      <c r="B169" s="129"/>
      <c r="C169" s="111"/>
      <c r="D169" s="117" t="s">
        <v>187</v>
      </c>
      <c r="E169" s="305">
        <f>IF(E164&gt;0,IF(E144&gt;0,E136*'Tax Rates'!C56,0),0)</f>
        <v>17288.741422066552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188</v>
      </c>
      <c r="E170" s="300">
        <f>E168-E169</f>
        <v>35608.20282793344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39"/>
      <c r="F171" s="37"/>
      <c r="G171" s="200"/>
      <c r="H171" s="163"/>
    </row>
    <row r="172" spans="1:8" ht="12.75">
      <c r="A172" s="411" t="s">
        <v>346</v>
      </c>
      <c r="B172" s="129"/>
      <c r="C172" s="111"/>
      <c r="D172" s="117" t="s">
        <v>187</v>
      </c>
      <c r="E172" s="303">
        <f>C84</f>
        <v>35608.20282793344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71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344</v>
      </c>
      <c r="B175" s="129"/>
      <c r="C175" s="111"/>
      <c r="D175" s="118"/>
      <c r="E175" s="466">
        <f>IF((E120+G50)&gt;'Tax Rates'!E47,'Tax Rates'!F52-1.12%,IF((E120+G50)&gt;'Tax Rates'!D47,'Tax Rates'!E52-1.12%,IF((E120+G50)&gt;'Tax Rates'!C47,'Tax Rates'!D52,'Tax Rates'!C52-1.12%)))</f>
        <v>0.355</v>
      </c>
      <c r="F175" s="467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0">
        <f>E148/(1-E175)</f>
        <v>-56176.36052620879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0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0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352</v>
      </c>
      <c r="B181" s="129"/>
      <c r="C181" s="111"/>
      <c r="D181" s="118" t="s">
        <v>188</v>
      </c>
      <c r="E181" s="481">
        <f>SUM(E177:E179)</f>
        <v>-56176.36052620879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485</v>
      </c>
      <c r="B183" s="129"/>
      <c r="C183" s="111"/>
      <c r="D183" s="118" t="s">
        <v>186</v>
      </c>
      <c r="E183" s="481">
        <f>E132</f>
        <v>370213.5891472868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3.5">
      <c r="A185" s="172" t="s">
        <v>353</v>
      </c>
      <c r="B185" s="129"/>
      <c r="C185" s="111"/>
      <c r="D185" s="118" t="s">
        <v>188</v>
      </c>
      <c r="E185" s="481">
        <f>E181+E183</f>
        <v>314037.228621078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6">
        <f>REGINFO!D60</f>
        <v>1214728.54625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6">
        <f>REGINFO!D64</f>
        <v>1029572.3730297722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342</v>
      </c>
      <c r="B196" s="126"/>
      <c r="C196" s="111"/>
      <c r="D196" s="119"/>
      <c r="E196" s="306">
        <f>E193-E194</f>
        <v>185156.1732202277</v>
      </c>
      <c r="F196" s="3"/>
      <c r="G196" s="122"/>
      <c r="H196" s="163"/>
    </row>
    <row r="197" spans="1:8" ht="12.75">
      <c r="A197" s="154" t="s">
        <v>343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83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154" t="s">
        <v>251</v>
      </c>
      <c r="B201" s="126"/>
      <c r="C201" s="111"/>
      <c r="D201" s="119"/>
      <c r="E201" s="306">
        <f>G37+G42</f>
        <v>1070242</v>
      </c>
      <c r="F201" s="3"/>
      <c r="G201" s="483"/>
      <c r="H201" s="163"/>
    </row>
    <row r="202" spans="1:8" ht="12.75">
      <c r="A202" s="493" t="s">
        <v>497</v>
      </c>
      <c r="B202" s="126"/>
      <c r="C202" s="111"/>
      <c r="D202" s="119"/>
      <c r="E202" s="306">
        <f>REGINFO!D60</f>
        <v>1214728.54625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1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487</v>
      </c>
      <c r="B206" s="126"/>
      <c r="C206" s="111"/>
      <c r="D206" s="119"/>
      <c r="E206" s="468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7">
        <f>+E196-E204</f>
        <v>185156.1732202277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 horizontalCentered="1"/>
  <pageMargins left="0.35433070866141736" right="0.03937007874015748" top="0.7086614173228347" bottom="0.5511811023622047" header="0.196850393700787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80" zoomScaleNormal="80" zoomScalePageLayoutView="0" workbookViewId="0" topLeftCell="A132">
      <selection activeCell="A17" sqref="A17"/>
    </sheetView>
  </sheetViews>
  <sheetFormatPr defaultColWidth="9.140625" defaultRowHeight="12.75"/>
  <cols>
    <col min="1" max="1" width="62.710937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26.25">
      <c r="A1" s="491" t="str">
        <f>REGINFO!A1</f>
        <v>SIMPIL MODEL 
(Halton Hills Version per Board Decision in EB-2008-0381)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5">
      <c r="A7" s="496" t="str">
        <f>REGINFO!A3</f>
        <v>Utility Name: HALDIMAND COUNTY HYDRO INC.</v>
      </c>
      <c r="B7" s="20"/>
      <c r="C7" s="25"/>
      <c r="D7" s="25"/>
      <c r="E7" s="25"/>
      <c r="F7" s="20"/>
      <c r="G7" s="3"/>
      <c r="H7" s="3"/>
      <c r="I7" s="3"/>
    </row>
    <row r="8" spans="1:9" ht="15">
      <c r="A8" s="496" t="str">
        <f>REGINFO!A4</f>
        <v>Reporting period:  January 1, 2003 to December 31,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6">
        <v>0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7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325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258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222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323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324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273</v>
      </c>
      <c r="B31" s="23" t="s">
        <v>186</v>
      </c>
      <c r="C31" s="283">
        <f>9773851+8237779+99604-1445347+390599</f>
        <v>17056486</v>
      </c>
      <c r="D31" s="284"/>
      <c r="E31" s="282">
        <f>C31-D31</f>
        <v>17056486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3">
        <f>7617483-390599</f>
        <v>7226884</v>
      </c>
      <c r="D32" s="284"/>
      <c r="E32" s="282">
        <f>C32-D32</f>
        <v>7226884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3">
        <v>1463463</v>
      </c>
      <c r="D33" s="284"/>
      <c r="E33" s="282">
        <f>C33-D33</f>
        <v>1463463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3">
        <v>17056486</v>
      </c>
      <c r="D39" s="284"/>
      <c r="E39" s="282">
        <f>C39-D39</f>
        <v>17056486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3">
        <f>1242061+71944</f>
        <v>1314005</v>
      </c>
      <c r="D40" s="284"/>
      <c r="E40" s="282">
        <f aca="true" t="shared" si="0" ref="E40:E48">C40-D40</f>
        <v>1314005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3">
        <v>1008436</v>
      </c>
      <c r="D41" s="284"/>
      <c r="E41" s="282">
        <f t="shared" si="0"/>
        <v>1008436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3">
        <f>2399606+34919-117118</f>
        <v>2317407</v>
      </c>
      <c r="D42" s="284"/>
      <c r="E42" s="282">
        <f t="shared" si="0"/>
        <v>2317407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3">
        <f>2036990+117118</f>
        <v>2154108</v>
      </c>
      <c r="D43" s="284"/>
      <c r="E43" s="282">
        <f t="shared" si="0"/>
        <v>2154108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3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12" t="s">
        <v>491</v>
      </c>
      <c r="B45" s="23" t="s">
        <v>187</v>
      </c>
      <c r="C45" s="283">
        <v>0</v>
      </c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79">
        <f>SUM(C31:C36)-SUM(C39:C49)</f>
        <v>1896391</v>
      </c>
      <c r="D50" s="279">
        <f>SUM(D31:D36)-SUM(D39:D49)</f>
        <v>0</v>
      </c>
      <c r="E50" s="279">
        <f>SUM(E31:E35)-SUM(E39:E48)</f>
        <v>1896391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3">
        <v>1070242</v>
      </c>
      <c r="D51" s="283"/>
      <c r="E51" s="280">
        <f>+C51-D51</f>
        <v>1070242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3">
        <v>735000</v>
      </c>
      <c r="D52" s="283"/>
      <c r="E52" s="281">
        <f>+C52-D52</f>
        <v>735000</v>
      </c>
      <c r="F52" s="8"/>
      <c r="G52" s="412" t="s">
        <v>489</v>
      </c>
    </row>
    <row r="53" spans="1:6" ht="12.75">
      <c r="A53" s="2" t="s">
        <v>130</v>
      </c>
      <c r="B53" s="8" t="s">
        <v>188</v>
      </c>
      <c r="C53" s="279">
        <f>C50-C51-C52</f>
        <v>91149</v>
      </c>
      <c r="D53" s="279">
        <f>D50-D51-D52</f>
        <v>0</v>
      </c>
      <c r="E53" s="279">
        <f>E50-E51-E52</f>
        <v>91149</v>
      </c>
      <c r="F53" s="8"/>
    </row>
    <row r="54" spans="1:6" ht="22.5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5">
        <f>C52</f>
        <v>735000</v>
      </c>
      <c r="D59" s="285">
        <f>D52</f>
        <v>0</v>
      </c>
      <c r="E59" s="270">
        <f>+C59-D59</f>
        <v>735000</v>
      </c>
      <c r="F59" s="8"/>
      <c r="G59" s="412" t="s">
        <v>490</v>
      </c>
    </row>
    <row r="60" spans="1:6" ht="12.75">
      <c r="A60" s="4" t="s">
        <v>326</v>
      </c>
      <c r="B60" s="8" t="s">
        <v>186</v>
      </c>
      <c r="C60" s="316"/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C43</f>
        <v>2154108</v>
      </c>
      <c r="D61" s="285">
        <f>D43</f>
        <v>0</v>
      </c>
      <c r="E61" s="270">
        <f>+C61-D61</f>
        <v>2154108</v>
      </c>
      <c r="F61" s="8"/>
      <c r="G61" s="412"/>
    </row>
    <row r="62" spans="1:6" ht="12.75">
      <c r="A62" t="s">
        <v>6</v>
      </c>
      <c r="B62" s="8" t="s">
        <v>186</v>
      </c>
      <c r="C62" s="316"/>
      <c r="D62" s="285">
        <v>0</v>
      </c>
      <c r="E62" s="270">
        <f>+C62-D62</f>
        <v>0</v>
      </c>
      <c r="F62" s="8"/>
    </row>
    <row r="63" spans="1:6" ht="12.75">
      <c r="A63" s="31" t="s">
        <v>278</v>
      </c>
      <c r="B63" s="8" t="s">
        <v>186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52</v>
      </c>
      <c r="B64" s="8" t="s">
        <v>186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7" ht="12.75">
      <c r="A65" t="s">
        <v>442</v>
      </c>
      <c r="B65" s="8" t="s">
        <v>186</v>
      </c>
      <c r="C65" s="284">
        <f>552748+597652+1123563+900027+60478</f>
        <v>3234468</v>
      </c>
      <c r="D65" s="284"/>
      <c r="E65" s="270">
        <f>+C65-D65</f>
        <v>3234468</v>
      </c>
      <c r="F65" s="8"/>
      <c r="G65" s="495" t="s">
        <v>499</v>
      </c>
    </row>
    <row r="66" spans="1:6" ht="15">
      <c r="A66" s="464" t="s">
        <v>394</v>
      </c>
      <c r="B66" s="8"/>
      <c r="C66" s="443">
        <f>'TAXREC 3 No True-up'!C47</f>
        <v>0</v>
      </c>
      <c r="D66" s="443">
        <f>'TAXREC 3 No True-up'!D47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>
        <f>'TAXREC 2'!C77</f>
        <v>36327</v>
      </c>
      <c r="D67" s="249">
        <f>'TAXREC 2'!D77</f>
        <v>0</v>
      </c>
      <c r="E67" s="270">
        <f>+C67-D67</f>
        <v>36327</v>
      </c>
      <c r="F67" s="8"/>
    </row>
    <row r="68" spans="1:11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0">
        <f>SUM(C59:C68)</f>
        <v>6159903</v>
      </c>
      <c r="D70" s="270">
        <f>SUM(D59:D68)</f>
        <v>0</v>
      </c>
      <c r="E70" s="270">
        <f>SUM(E59:E68)</f>
        <v>6159903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79">
        <v>0</v>
      </c>
      <c r="D76" s="292"/>
      <c r="E76" s="475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49">
        <f>C70+C80</f>
        <v>6159903</v>
      </c>
      <c r="D82" s="249">
        <f>D70+D80</f>
        <v>0</v>
      </c>
      <c r="E82" s="249">
        <f>E70+E80</f>
        <v>6159903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431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2">
        <v>1551409</v>
      </c>
      <c r="D97" s="292"/>
      <c r="E97" s="270">
        <f>+C97-D97</f>
        <v>1551409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2">
        <v>32099</v>
      </c>
      <c r="D98" s="292"/>
      <c r="E98" s="270">
        <f>+C98-D98</f>
        <v>32099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2">
        <f>519562+640629+57116+1127271</f>
        <v>2344578</v>
      </c>
      <c r="D103" s="292"/>
      <c r="E103" s="281">
        <f t="shared" si="5"/>
        <v>2344578</v>
      </c>
      <c r="F103" s="8"/>
      <c r="G103" s="495" t="s">
        <v>500</v>
      </c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4" t="s">
        <v>394</v>
      </c>
      <c r="B108" s="8"/>
      <c r="C108" s="252">
        <f>'TAXREC 3 No True-up'!C73</f>
        <v>0</v>
      </c>
      <c r="D108" s="252">
        <f>'TAXREC 3 No True-up'!D73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58400</v>
      </c>
      <c r="D110" s="249">
        <f>'TAXREC 2'!D119</f>
        <v>0</v>
      </c>
      <c r="E110" s="249">
        <f>'TAXREC 2'!E119</f>
        <v>58400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3986486</v>
      </c>
      <c r="D113" s="249">
        <f>SUM(D97:D111)</f>
        <v>0</v>
      </c>
      <c r="E113" s="249">
        <f>SUM(E97:E111)</f>
        <v>3986486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221</v>
      </c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9">
        <f>C113+C120</f>
        <v>3986486</v>
      </c>
      <c r="D122" s="249">
        <f>D113+D120</f>
        <v>0</v>
      </c>
      <c r="E122" s="249">
        <f>+E113+E120</f>
        <v>3986486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49">
        <f>+C53+C82-C122</f>
        <v>2264566</v>
      </c>
      <c r="D134" s="249">
        <f>D53+D82-D122</f>
        <v>0</v>
      </c>
      <c r="E134" s="249">
        <f>E53+E82-E122</f>
        <v>2264566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374</v>
      </c>
      <c r="B136" s="8" t="s">
        <v>187</v>
      </c>
      <c r="C136" s="292">
        <v>141243</v>
      </c>
      <c r="D136" s="292"/>
      <c r="E136" s="262">
        <f>C136-D136</f>
        <v>141243</v>
      </c>
      <c r="F136" s="8"/>
      <c r="G136" s="45"/>
      <c r="H136" s="45"/>
      <c r="I136" s="30"/>
      <c r="J136" s="45"/>
      <c r="K136" s="45"/>
    </row>
    <row r="137" spans="1:11" ht="12.75">
      <c r="A137" s="46" t="s">
        <v>375</v>
      </c>
      <c r="B137" s="8" t="s">
        <v>187</v>
      </c>
      <c r="C137" s="308"/>
      <c r="D137" s="308"/>
      <c r="E137" s="390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90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0">
        <f>C134-C136-C137-C138</f>
        <v>2123323</v>
      </c>
      <c r="D139" s="250">
        <f>D134-D136-D137-D138</f>
        <v>0</v>
      </c>
      <c r="E139" s="250">
        <f>E134-E136-E137-E138</f>
        <v>2123323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322</v>
      </c>
      <c r="B142" s="8" t="s">
        <v>186</v>
      </c>
      <c r="C142" s="296">
        <v>512497</v>
      </c>
      <c r="D142" s="296"/>
      <c r="E142" s="250">
        <f>C142-D142</f>
        <v>512497</v>
      </c>
      <c r="F142" s="8"/>
      <c r="G142" s="45"/>
      <c r="H142" s="45"/>
      <c r="I142" s="45"/>
      <c r="J142" s="45"/>
      <c r="K142" s="45"/>
    </row>
    <row r="143" spans="1:11" ht="12.75">
      <c r="A143" s="46" t="s">
        <v>321</v>
      </c>
      <c r="B143" s="8" t="s">
        <v>186</v>
      </c>
      <c r="C143" s="296">
        <v>153722</v>
      </c>
      <c r="D143" s="296"/>
      <c r="E143" s="290">
        <f>C143-D143</f>
        <v>153722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666219</v>
      </c>
      <c r="D144" s="250">
        <f>D142+D143</f>
        <v>0</v>
      </c>
      <c r="E144" s="250">
        <f>E142+E143</f>
        <v>666219</v>
      </c>
      <c r="F144" s="8"/>
      <c r="G144" s="45"/>
      <c r="H144" s="45"/>
      <c r="I144" s="45"/>
      <c r="J144" s="45"/>
      <c r="K144" s="45"/>
    </row>
    <row r="145" spans="1:11" ht="12.75">
      <c r="A145" s="46" t="s">
        <v>333</v>
      </c>
      <c r="B145" s="8" t="s">
        <v>187</v>
      </c>
      <c r="C145" s="296">
        <v>5361</v>
      </c>
      <c r="D145" s="296"/>
      <c r="E145" s="291">
        <f>C145-D145</f>
        <v>5361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188</v>
      </c>
      <c r="C146" s="250">
        <f>C144-C145</f>
        <v>660858</v>
      </c>
      <c r="D146" s="250">
        <f>D144-D145</f>
        <v>0</v>
      </c>
      <c r="E146" s="250">
        <f>E144-E145</f>
        <v>660858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328</v>
      </c>
      <c r="B149" s="8"/>
      <c r="C149" s="401">
        <f>'Tax Rates'!F50</f>
        <v>0.2412</v>
      </c>
      <c r="D149" s="5"/>
      <c r="E149" s="402">
        <f>C149</f>
        <v>0.2412</v>
      </c>
      <c r="F149" s="8"/>
      <c r="G149" s="480" t="s">
        <v>465</v>
      </c>
      <c r="H149" s="45"/>
      <c r="I149" s="45"/>
      <c r="J149" s="45"/>
      <c r="K149" s="45"/>
    </row>
    <row r="150" spans="1:11" ht="12.75">
      <c r="A150" s="46" t="s">
        <v>329</v>
      </c>
      <c r="B150" s="8"/>
      <c r="C150" s="401">
        <f>'Tax Rates'!F51</f>
        <v>0.125</v>
      </c>
      <c r="D150" s="485"/>
      <c r="E150" s="402">
        <f>C150</f>
        <v>0.125</v>
      </c>
      <c r="F150" s="8"/>
      <c r="G150" s="480" t="s">
        <v>466</v>
      </c>
      <c r="H150" s="45"/>
      <c r="I150" s="45"/>
      <c r="J150" s="45"/>
      <c r="K150" s="45"/>
    </row>
    <row r="151" spans="1:11" ht="12.75">
      <c r="A151" t="s">
        <v>330</v>
      </c>
      <c r="B151" s="8"/>
      <c r="C151" s="402">
        <f>SUM(C149:C150)</f>
        <v>0.36619999999999997</v>
      </c>
      <c r="D151" s="5"/>
      <c r="E151" s="402">
        <f>SUM(E149:E150)</f>
        <v>0.36619999999999997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474</v>
      </c>
      <c r="B155" s="8"/>
    </row>
    <row r="156" spans="1:5" ht="12.75">
      <c r="A156" t="s">
        <v>218</v>
      </c>
      <c r="B156" s="85" t="s">
        <v>186</v>
      </c>
      <c r="C156" s="249">
        <f>C146</f>
        <v>660858</v>
      </c>
      <c r="D156" s="249">
        <f>D146</f>
        <v>0</v>
      </c>
      <c r="E156" s="249">
        <f>E146</f>
        <v>660858</v>
      </c>
    </row>
    <row r="157" spans="1:5" ht="12.75">
      <c r="A157" t="s">
        <v>20</v>
      </c>
      <c r="B157" s="85" t="s">
        <v>186</v>
      </c>
      <c r="C157" s="476">
        <v>97701</v>
      </c>
      <c r="D157" s="249"/>
      <c r="E157" s="249">
        <f>C157+D157</f>
        <v>97701</v>
      </c>
    </row>
    <row r="158" spans="1:5" ht="12.75">
      <c r="A158" t="s">
        <v>217</v>
      </c>
      <c r="B158" s="85" t="s">
        <v>186</v>
      </c>
      <c r="C158" s="476">
        <v>41396</v>
      </c>
      <c r="D158" s="249"/>
      <c r="E158" s="249">
        <f>C158+D158</f>
        <v>41396</v>
      </c>
    </row>
    <row r="159" ht="12.75">
      <c r="B159" s="8"/>
    </row>
    <row r="160" spans="1:5" ht="12.75">
      <c r="A160" s="2" t="s">
        <v>302</v>
      </c>
      <c r="B160" s="65" t="s">
        <v>188</v>
      </c>
      <c r="C160" s="249">
        <f>C156+C157+C158</f>
        <v>799955</v>
      </c>
      <c r="D160" s="249">
        <f>D156+D157+D158</f>
        <v>0</v>
      </c>
      <c r="E160" s="249">
        <f>E156+E157+E158</f>
        <v>799955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35433070866141736" right="0.03937007874015748" top="0.7086614173228347" bottom="0.5511811023622047" header="0.196850393700787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MODEL 
(Halton Hills Version per Board Decision in EB-2008-0381)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5">
      <c r="A7" s="496" t="str">
        <f>REGINFO!A3</f>
        <v>Utility Name: HALDIMAND COUNTY HYDRO INC.</v>
      </c>
      <c r="B7" s="20"/>
      <c r="C7" s="25"/>
      <c r="D7" s="25"/>
      <c r="E7" s="25"/>
      <c r="F7" s="20"/>
    </row>
    <row r="8" spans="1:6" ht="15">
      <c r="A8" s="496" t="str">
        <f>REGINFO!A4</f>
        <v>Reporting period:  January 1, 2003 to December 31,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272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280</v>
      </c>
      <c r="B14" s="60"/>
      <c r="C14" s="292"/>
      <c r="D14" s="292"/>
      <c r="E14" s="249">
        <f aca="true" t="shared" si="0" ref="E14:E21">C14-D14</f>
        <v>0</v>
      </c>
    </row>
    <row r="15" spans="1:5" ht="12.75">
      <c r="A15" s="60" t="s">
        <v>281</v>
      </c>
      <c r="B15" s="60"/>
      <c r="C15" s="292"/>
      <c r="D15" s="292"/>
      <c r="E15" s="249">
        <f t="shared" si="0"/>
        <v>0</v>
      </c>
    </row>
    <row r="16" spans="1:5" ht="12.75">
      <c r="A16" s="60" t="s">
        <v>282</v>
      </c>
      <c r="B16" s="60"/>
      <c r="C16" s="292"/>
      <c r="D16" s="292"/>
      <c r="E16" s="249">
        <f t="shared" si="0"/>
        <v>0</v>
      </c>
    </row>
    <row r="17" spans="1:5" ht="12.75">
      <c r="A17" s="60" t="s">
        <v>283</v>
      </c>
      <c r="B17" s="60"/>
      <c r="C17" s="292"/>
      <c r="D17" s="292"/>
      <c r="E17" s="249">
        <f t="shared" si="0"/>
        <v>0</v>
      </c>
    </row>
    <row r="18" spans="1:5" ht="12.75">
      <c r="A18" s="60" t="s">
        <v>446</v>
      </c>
      <c r="B18" s="60"/>
      <c r="C18" s="292"/>
      <c r="D18" s="292"/>
      <c r="E18" s="249">
        <f t="shared" si="0"/>
        <v>0</v>
      </c>
    </row>
    <row r="19" spans="1:5" ht="12.75">
      <c r="A19" s="60" t="s">
        <v>446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271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280</v>
      </c>
      <c r="B26" s="60"/>
      <c r="C26" s="292"/>
      <c r="D26" s="292"/>
      <c r="E26" s="249">
        <f aca="true" t="shared" si="1" ref="E26:E33">C26-D26</f>
        <v>0</v>
      </c>
    </row>
    <row r="27" spans="1:5" ht="12.75">
      <c r="A27" s="60" t="s">
        <v>281</v>
      </c>
      <c r="B27" s="60"/>
      <c r="C27" s="292"/>
      <c r="D27" s="292"/>
      <c r="E27" s="249">
        <f t="shared" si="1"/>
        <v>0</v>
      </c>
    </row>
    <row r="28" spans="1:5" ht="12.75">
      <c r="A28" s="60" t="s">
        <v>282</v>
      </c>
      <c r="B28" s="60"/>
      <c r="C28" s="292"/>
      <c r="D28" s="292"/>
      <c r="E28" s="249">
        <f t="shared" si="1"/>
        <v>0</v>
      </c>
    </row>
    <row r="29" spans="1:5" ht="12.75">
      <c r="A29" s="60" t="s">
        <v>283</v>
      </c>
      <c r="B29" s="60"/>
      <c r="C29" s="292"/>
      <c r="D29" s="292"/>
      <c r="E29" s="249">
        <f t="shared" si="1"/>
        <v>0</v>
      </c>
    </row>
    <row r="30" spans="1:5" ht="12.75">
      <c r="A30" s="60" t="s">
        <v>446</v>
      </c>
      <c r="B30" s="60"/>
      <c r="C30" s="292"/>
      <c r="D30" s="292"/>
      <c r="E30" s="249">
        <f t="shared" si="1"/>
        <v>0</v>
      </c>
    </row>
    <row r="31" spans="1:5" ht="12.75">
      <c r="A31" s="60" t="s">
        <v>446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272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266</v>
      </c>
      <c r="B43" s="60"/>
      <c r="C43" s="292"/>
      <c r="D43" s="292"/>
      <c r="E43" s="249">
        <f t="shared" si="2"/>
        <v>0</v>
      </c>
    </row>
    <row r="44" spans="1:5" ht="12.75">
      <c r="A44" s="60" t="s">
        <v>267</v>
      </c>
      <c r="B44" s="60"/>
      <c r="C44" s="292"/>
      <c r="D44" s="292"/>
      <c r="E44" s="249">
        <f t="shared" si="2"/>
        <v>0</v>
      </c>
    </row>
    <row r="45" spans="1:5" ht="12.75">
      <c r="A45" s="60" t="s">
        <v>268</v>
      </c>
      <c r="B45" s="60"/>
      <c r="C45" s="292"/>
      <c r="D45" s="292"/>
      <c r="E45" s="249">
        <f t="shared" si="2"/>
        <v>0</v>
      </c>
    </row>
    <row r="46" spans="1:5" ht="12.75">
      <c r="A46" s="60" t="s">
        <v>269</v>
      </c>
      <c r="B46" s="60"/>
      <c r="C46" s="292"/>
      <c r="D46" s="292"/>
      <c r="E46" s="249">
        <f t="shared" si="2"/>
        <v>0</v>
      </c>
    </row>
    <row r="47" spans="1:5" ht="12.75">
      <c r="A47" s="60" t="s">
        <v>446</v>
      </c>
      <c r="B47" s="60"/>
      <c r="C47" s="292"/>
      <c r="D47" s="292"/>
      <c r="E47" s="249">
        <f t="shared" si="2"/>
        <v>0</v>
      </c>
    </row>
    <row r="48" spans="1:5" ht="12.75">
      <c r="A48" s="60" t="s">
        <v>446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271</v>
      </c>
      <c r="B52" s="60"/>
      <c r="C52" s="90"/>
      <c r="D52" s="90"/>
      <c r="E52" s="90"/>
    </row>
    <row r="53" spans="1:5" ht="12.75">
      <c r="A53" s="60"/>
      <c r="B53" s="60"/>
      <c r="C53" s="292"/>
      <c r="D53" s="292"/>
      <c r="E53" s="249">
        <f>C53-D53</f>
        <v>0</v>
      </c>
    </row>
    <row r="54" spans="1:5" ht="12.75">
      <c r="A54" s="244"/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266</v>
      </c>
      <c r="B55" s="60"/>
      <c r="C55" s="292"/>
      <c r="D55" s="292"/>
      <c r="E55" s="249">
        <f t="shared" si="3"/>
        <v>0</v>
      </c>
    </row>
    <row r="56" spans="1:5" ht="12.75">
      <c r="A56" s="244" t="s">
        <v>267</v>
      </c>
      <c r="B56" s="60"/>
      <c r="C56" s="292"/>
      <c r="D56" s="292"/>
      <c r="E56" s="249">
        <f t="shared" si="3"/>
        <v>0</v>
      </c>
    </row>
    <row r="57" spans="1:5" ht="12.75">
      <c r="A57" s="244" t="s">
        <v>268</v>
      </c>
      <c r="B57" s="60"/>
      <c r="C57" s="292"/>
      <c r="D57" s="292"/>
      <c r="E57" s="249">
        <f t="shared" si="3"/>
        <v>0</v>
      </c>
    </row>
    <row r="58" spans="1:5" ht="12.75">
      <c r="A58" s="244" t="s">
        <v>269</v>
      </c>
      <c r="B58" s="60"/>
      <c r="C58" s="292"/>
      <c r="D58" s="292"/>
      <c r="E58" s="249">
        <f t="shared" si="3"/>
        <v>0</v>
      </c>
    </row>
    <row r="59" spans="1:5" ht="12.75">
      <c r="A59" s="60" t="s">
        <v>446</v>
      </c>
      <c r="B59" s="60"/>
      <c r="C59" s="292"/>
      <c r="D59" s="292"/>
      <c r="E59" s="249">
        <f t="shared" si="3"/>
        <v>0</v>
      </c>
    </row>
    <row r="60" spans="1:5" ht="12.75">
      <c r="A60" s="60" t="s">
        <v>446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 horizontalCentered="1"/>
  <pageMargins left="0.35433070866141736" right="0.03937007874015748" top="0.7086614173228347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15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23" sqref="A2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26.25">
      <c r="A2" s="491" t="str">
        <f>REGINFO!A1</f>
        <v>SIMPIL MODEL 
(Halton Hills Version per Board Decision in EB-2008-0381)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462</v>
      </c>
      <c r="B5" s="8"/>
      <c r="C5" s="8" t="s">
        <v>2</v>
      </c>
      <c r="D5" s="8"/>
      <c r="E5" s="8"/>
      <c r="F5" s="8"/>
    </row>
    <row r="6" spans="1:6" ht="12.75">
      <c r="A6" s="412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5">
      <c r="A8" s="498" t="str">
        <f>REGINFO!A3</f>
        <v>Utility Name: HALDIMAND COUNTY HYDRO INC.</v>
      </c>
      <c r="B8" s="20"/>
      <c r="C8" s="25"/>
      <c r="D8" s="25"/>
      <c r="E8" s="25"/>
      <c r="F8" s="20"/>
    </row>
    <row r="9" spans="1:6" ht="15">
      <c r="A9" s="498" t="str">
        <f>REGINFO!A4</f>
        <v>Reporting period:  January 1, 2003 to December 31,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252</v>
      </c>
      <c r="B18" t="s">
        <v>186</v>
      </c>
      <c r="C18" s="293"/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447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>
        <v>28367</v>
      </c>
      <c r="D21" s="293"/>
      <c r="E21" s="311">
        <f t="shared" si="0"/>
        <v>28367</v>
      </c>
    </row>
    <row r="22" spans="1:5" ht="12.75">
      <c r="A22" s="494" t="s">
        <v>501</v>
      </c>
      <c r="B22" t="s">
        <v>186</v>
      </c>
      <c r="C22" s="293">
        <v>6960</v>
      </c>
      <c r="D22" s="293"/>
      <c r="E22" s="311">
        <f t="shared" si="0"/>
        <v>6960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124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253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472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494" t="s">
        <v>498</v>
      </c>
      <c r="B41" t="s">
        <v>186</v>
      </c>
      <c r="C41" s="292">
        <v>1000</v>
      </c>
      <c r="D41" s="292"/>
      <c r="E41" s="249">
        <f t="shared" si="0"/>
        <v>1000</v>
      </c>
    </row>
    <row r="42" spans="1:5" ht="12.75">
      <c r="A42" s="66"/>
      <c r="B42" t="s">
        <v>186</v>
      </c>
      <c r="C42" s="292"/>
      <c r="D42" s="292"/>
      <c r="E42" s="249">
        <f t="shared" si="0"/>
        <v>0</v>
      </c>
    </row>
    <row r="43" spans="1:5" ht="12.75">
      <c r="A43" s="66"/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36327</v>
      </c>
      <c r="D46" s="249">
        <f>SUM(D17:D45)</f>
        <v>0</v>
      </c>
      <c r="E46" s="249">
        <f>SUM(E17:E45)</f>
        <v>36327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>A21</f>
        <v>Taxable capital gains</v>
      </c>
      <c r="B53" s="271"/>
      <c r="C53" s="249">
        <f t="shared" si="1"/>
        <v>28367</v>
      </c>
      <c r="D53" s="249">
        <f t="shared" si="1"/>
        <v>0</v>
      </c>
      <c r="E53" s="249">
        <f t="shared" si="1"/>
        <v>28367</v>
      </c>
    </row>
    <row r="54" spans="1:5" ht="12.75">
      <c r="A54" s="273" t="str">
        <f>A22</f>
        <v>Loss for tax purposes - joint ventures or partnerships</v>
      </c>
      <c r="B54" s="271"/>
      <c r="C54" s="249">
        <f t="shared" si="1"/>
        <v>6960</v>
      </c>
      <c r="D54" s="249">
        <f t="shared" si="1"/>
        <v>0</v>
      </c>
      <c r="E54" s="249">
        <f t="shared" si="1"/>
        <v>6960</v>
      </c>
    </row>
    <row r="55" spans="1:5" ht="12.75">
      <c r="A55" s="273" t="str">
        <f>IF($E23&gt;$C$11,A21," ")</f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>IF($E24&gt;$C$11,A22," ")</f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>IF($E25&gt;$C$11,A23," ")</f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>IF($E26&gt;$C$11,A24," ")</f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>IF($E27&gt;$C$11,A25," ")</f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2" ref="C64:E76">IF($E33&gt;$C$11,C33,)</f>
        <v>0</v>
      </c>
      <c r="D64" s="249">
        <f t="shared" si="2"/>
        <v>0</v>
      </c>
      <c r="E64" s="249">
        <f t="shared" si="2"/>
        <v>0</v>
      </c>
    </row>
    <row r="65" spans="1:5" ht="12.75">
      <c r="A65" s="273" t="str">
        <f>IF($E34&gt;$C$11,#REF!," ")</f>
        <v> </v>
      </c>
      <c r="B65" s="271"/>
      <c r="C65" s="249">
        <f t="shared" si="2"/>
        <v>0</v>
      </c>
      <c r="D65" s="249">
        <f t="shared" si="2"/>
        <v>0</v>
      </c>
      <c r="E65" s="249">
        <f t="shared" si="2"/>
        <v>0</v>
      </c>
    </row>
    <row r="66" spans="1:5" ht="12.75">
      <c r="A66" s="273" t="str">
        <f>IF($E35&gt;$C$11,#REF!," ")</f>
        <v> </v>
      </c>
      <c r="B66" s="271"/>
      <c r="C66" s="249">
        <f t="shared" si="2"/>
        <v>0</v>
      </c>
      <c r="D66" s="249">
        <f t="shared" si="2"/>
        <v>0</v>
      </c>
      <c r="E66" s="249">
        <f t="shared" si="2"/>
        <v>0</v>
      </c>
    </row>
    <row r="67" spans="1:5" ht="12.75">
      <c r="A67" s="273" t="str">
        <f>IF($E36&gt;$C$11,A36," ")</f>
        <v> </v>
      </c>
      <c r="B67" s="271"/>
      <c r="C67" s="249">
        <f t="shared" si="2"/>
        <v>0</v>
      </c>
      <c r="D67" s="249">
        <f t="shared" si="2"/>
        <v>0</v>
      </c>
      <c r="E67" s="249">
        <f t="shared" si="2"/>
        <v>0</v>
      </c>
    </row>
    <row r="68" spans="1:5" ht="12.75">
      <c r="A68" s="273" t="str">
        <f>IF($E37&gt;$C$11,A37," ")</f>
        <v> </v>
      </c>
      <c r="B68" s="271"/>
      <c r="C68" s="249">
        <f t="shared" si="2"/>
        <v>0</v>
      </c>
      <c r="D68" s="249">
        <f t="shared" si="2"/>
        <v>0</v>
      </c>
      <c r="E68" s="249">
        <f t="shared" si="2"/>
        <v>0</v>
      </c>
    </row>
    <row r="69" spans="1:5" ht="12.75">
      <c r="A69" s="273" t="str">
        <f>IF($E38&gt;$C$11,A29," ")</f>
        <v> </v>
      </c>
      <c r="B69" s="271"/>
      <c r="C69" s="249">
        <f t="shared" si="2"/>
        <v>0</v>
      </c>
      <c r="D69" s="249">
        <f t="shared" si="2"/>
        <v>0</v>
      </c>
      <c r="E69" s="249">
        <f t="shared" si="2"/>
        <v>0</v>
      </c>
    </row>
    <row r="70" spans="1:5" ht="12.75">
      <c r="A70" s="273" t="str">
        <f>IF($E39&gt;$C$11,A35," ")</f>
        <v> </v>
      </c>
      <c r="B70" s="271"/>
      <c r="C70" s="249">
        <f t="shared" si="2"/>
        <v>0</v>
      </c>
      <c r="D70" s="249">
        <f t="shared" si="2"/>
        <v>0</v>
      </c>
      <c r="E70" s="249">
        <f t="shared" si="2"/>
        <v>0</v>
      </c>
    </row>
    <row r="71" spans="1:5" ht="12.75">
      <c r="A71" s="273" t="str">
        <f aca="true" t="shared" si="3" ref="A71:A76">IF($E40&gt;$C$11,A40," ")</f>
        <v> </v>
      </c>
      <c r="B71" s="271"/>
      <c r="C71" s="249">
        <f t="shared" si="2"/>
        <v>0</v>
      </c>
      <c r="D71" s="249">
        <f t="shared" si="2"/>
        <v>0</v>
      </c>
      <c r="E71" s="249">
        <f t="shared" si="2"/>
        <v>0</v>
      </c>
    </row>
    <row r="72" spans="1:5" ht="12.75">
      <c r="A72" s="273" t="str">
        <f t="shared" si="3"/>
        <v>Ontario Specified Tax Credits</v>
      </c>
      <c r="B72" s="271"/>
      <c r="C72" s="249">
        <f t="shared" si="2"/>
        <v>1000</v>
      </c>
      <c r="D72" s="249">
        <f t="shared" si="2"/>
        <v>0</v>
      </c>
      <c r="E72" s="249">
        <f t="shared" si="2"/>
        <v>1000</v>
      </c>
    </row>
    <row r="73" spans="1:5" ht="12.75">
      <c r="A73" s="273" t="str">
        <f t="shared" si="3"/>
        <v> </v>
      </c>
      <c r="B73" s="271"/>
      <c r="C73" s="249">
        <f t="shared" si="2"/>
        <v>0</v>
      </c>
      <c r="D73" s="249">
        <f t="shared" si="2"/>
        <v>0</v>
      </c>
      <c r="E73" s="249">
        <f t="shared" si="2"/>
        <v>0</v>
      </c>
    </row>
    <row r="74" spans="1:5" ht="12.75">
      <c r="A74" s="273" t="str">
        <f t="shared" si="3"/>
        <v> </v>
      </c>
      <c r="B74" s="271"/>
      <c r="C74" s="249">
        <f t="shared" si="2"/>
        <v>0</v>
      </c>
      <c r="D74" s="249">
        <f t="shared" si="2"/>
        <v>0</v>
      </c>
      <c r="E74" s="249">
        <f t="shared" si="2"/>
        <v>0</v>
      </c>
    </row>
    <row r="75" spans="1:5" ht="12.75">
      <c r="A75" s="273" t="str">
        <f t="shared" si="3"/>
        <v> </v>
      </c>
      <c r="B75" s="271"/>
      <c r="C75" s="249">
        <f t="shared" si="2"/>
        <v>0</v>
      </c>
      <c r="D75" s="249">
        <f t="shared" si="2"/>
        <v>0</v>
      </c>
      <c r="E75" s="249">
        <f t="shared" si="2"/>
        <v>0</v>
      </c>
    </row>
    <row r="76" spans="1:5" ht="12.75">
      <c r="A76" s="273" t="str">
        <f t="shared" si="3"/>
        <v> </v>
      </c>
      <c r="B76" s="272"/>
      <c r="C76" s="249">
        <f t="shared" si="2"/>
        <v>0</v>
      </c>
      <c r="D76" s="249">
        <f t="shared" si="2"/>
        <v>0</v>
      </c>
      <c r="E76" s="249">
        <f t="shared" si="2"/>
        <v>0</v>
      </c>
    </row>
    <row r="77" spans="1:5" ht="12.75">
      <c r="A77" s="274" t="s">
        <v>143</v>
      </c>
      <c r="B77" s="271"/>
      <c r="C77" s="249">
        <f>SUM(C49:C75)</f>
        <v>36327</v>
      </c>
      <c r="D77" s="249">
        <f>SUM(D49:D75)</f>
        <v>0</v>
      </c>
      <c r="E77" s="249">
        <f>SUM(E49:E75)</f>
        <v>36327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36327</v>
      </c>
      <c r="D79" s="313">
        <f>D77+D78</f>
        <v>0</v>
      </c>
      <c r="E79" s="313">
        <f>E77+E78</f>
        <v>36327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>
        <v>58400</v>
      </c>
      <c r="D82" s="292"/>
      <c r="E82" s="249">
        <f>C82-D82</f>
        <v>58400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4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4"/>
        <v>0</v>
      </c>
    </row>
    <row r="85" spans="1:5" ht="12.75">
      <c r="A85" s="70" t="s">
        <v>254</v>
      </c>
      <c r="B85" s="8" t="s">
        <v>187</v>
      </c>
      <c r="C85" s="292"/>
      <c r="D85" s="292"/>
      <c r="E85" s="249">
        <f t="shared" si="4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4"/>
        <v>0</v>
      </c>
    </row>
    <row r="87" spans="1:5" ht="12.75">
      <c r="A87" s="66" t="s">
        <v>376</v>
      </c>
      <c r="B87" s="8" t="s">
        <v>187</v>
      </c>
      <c r="C87" s="292"/>
      <c r="D87" s="292"/>
      <c r="E87" s="249">
        <f t="shared" si="4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4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4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4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4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4"/>
        <v>0</v>
      </c>
    </row>
    <row r="94" spans="1:5" ht="12.75">
      <c r="A94" s="66"/>
      <c r="B94" s="8" t="s">
        <v>187</v>
      </c>
      <c r="C94" s="292"/>
      <c r="D94" s="292"/>
      <c r="E94" s="249">
        <f t="shared" si="4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4"/>
        <v>0</v>
      </c>
    </row>
    <row r="96" spans="1:5" ht="12.75">
      <c r="A96" s="66" t="s">
        <v>473</v>
      </c>
      <c r="B96" s="8" t="s">
        <v>187</v>
      </c>
      <c r="C96" s="292">
        <v>0</v>
      </c>
      <c r="D96" s="292"/>
      <c r="E96" s="249">
        <f t="shared" si="4"/>
        <v>0</v>
      </c>
    </row>
    <row r="97" spans="1:5" ht="12.75">
      <c r="A97" s="66"/>
      <c r="B97" s="8" t="s">
        <v>187</v>
      </c>
      <c r="C97" s="292"/>
      <c r="D97" s="292"/>
      <c r="E97" s="249">
        <f t="shared" si="4"/>
        <v>0</v>
      </c>
    </row>
    <row r="98" spans="1:5" ht="12.75">
      <c r="A98" s="66"/>
      <c r="B98" s="8" t="s">
        <v>187</v>
      </c>
      <c r="C98" s="292"/>
      <c r="D98" s="292"/>
      <c r="E98" s="249">
        <f t="shared" si="4"/>
        <v>0</v>
      </c>
    </row>
    <row r="99" spans="1:5" ht="12.75">
      <c r="A99" s="66" t="s">
        <v>170</v>
      </c>
      <c r="B99" s="8" t="s">
        <v>188</v>
      </c>
      <c r="C99" s="249">
        <f>SUM(C82:C98)</f>
        <v>58400</v>
      </c>
      <c r="D99" s="249">
        <f>SUM(D82:D98)</f>
        <v>0</v>
      </c>
      <c r="E99" s="249">
        <f>SUM(E82:E98)</f>
        <v>58400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5" ref="A102:A111">IF($E82&gt;$C$11,A82," ")</f>
        <v>Gain on disposal of assets per f/s</v>
      </c>
      <c r="B102" s="271"/>
      <c r="C102" s="249">
        <f aca="true" t="shared" si="6" ref="C102:E118">IF($E82&gt;$C$11,C82,)</f>
        <v>58400</v>
      </c>
      <c r="D102" s="249">
        <f t="shared" si="6"/>
        <v>0</v>
      </c>
      <c r="E102" s="249">
        <f t="shared" si="6"/>
        <v>58400</v>
      </c>
    </row>
    <row r="103" spans="1:5" ht="12.75">
      <c r="A103" s="273" t="str">
        <f t="shared" si="5"/>
        <v> </v>
      </c>
      <c r="B103" s="271"/>
      <c r="C103" s="249">
        <f t="shared" si="6"/>
        <v>0</v>
      </c>
      <c r="D103" s="249">
        <f t="shared" si="6"/>
        <v>0</v>
      </c>
      <c r="E103" s="249">
        <f t="shared" si="6"/>
        <v>0</v>
      </c>
    </row>
    <row r="104" spans="1:5" ht="12.75">
      <c r="A104" s="273" t="str">
        <f t="shared" si="5"/>
        <v> </v>
      </c>
      <c r="B104" s="271"/>
      <c r="C104" s="249">
        <f t="shared" si="6"/>
        <v>0</v>
      </c>
      <c r="D104" s="249">
        <f t="shared" si="6"/>
        <v>0</v>
      </c>
      <c r="E104" s="249">
        <f t="shared" si="6"/>
        <v>0</v>
      </c>
    </row>
    <row r="105" spans="1:5" ht="12.75">
      <c r="A105" s="273" t="str">
        <f t="shared" si="5"/>
        <v> </v>
      </c>
      <c r="B105" s="271"/>
      <c r="C105" s="249">
        <f t="shared" si="6"/>
        <v>0</v>
      </c>
      <c r="D105" s="249">
        <f t="shared" si="6"/>
        <v>0</v>
      </c>
      <c r="E105" s="249">
        <f t="shared" si="6"/>
        <v>0</v>
      </c>
    </row>
    <row r="106" spans="1:5" ht="12.75">
      <c r="A106" s="273" t="str">
        <f t="shared" si="5"/>
        <v> </v>
      </c>
      <c r="B106" s="271"/>
      <c r="C106" s="249">
        <f t="shared" si="6"/>
        <v>0</v>
      </c>
      <c r="D106" s="249">
        <f t="shared" si="6"/>
        <v>0</v>
      </c>
      <c r="E106" s="249">
        <f t="shared" si="6"/>
        <v>0</v>
      </c>
    </row>
    <row r="107" spans="1:5" ht="12.75">
      <c r="A107" s="273" t="str">
        <f t="shared" si="5"/>
        <v> </v>
      </c>
      <c r="B107" s="271"/>
      <c r="C107" s="249">
        <f t="shared" si="6"/>
        <v>0</v>
      </c>
      <c r="D107" s="249">
        <f t="shared" si="6"/>
        <v>0</v>
      </c>
      <c r="E107" s="249">
        <f t="shared" si="6"/>
        <v>0</v>
      </c>
    </row>
    <row r="108" spans="1:5" ht="12.75">
      <c r="A108" s="273" t="str">
        <f t="shared" si="5"/>
        <v> </v>
      </c>
      <c r="B108" s="271"/>
      <c r="C108" s="249">
        <f t="shared" si="6"/>
        <v>0</v>
      </c>
      <c r="D108" s="249">
        <f t="shared" si="6"/>
        <v>0</v>
      </c>
      <c r="E108" s="249">
        <f t="shared" si="6"/>
        <v>0</v>
      </c>
    </row>
    <row r="109" spans="1:5" ht="12.75">
      <c r="A109" s="273" t="str">
        <f t="shared" si="5"/>
        <v> </v>
      </c>
      <c r="B109" s="271"/>
      <c r="C109" s="249">
        <f t="shared" si="6"/>
        <v>0</v>
      </c>
      <c r="D109" s="249">
        <f t="shared" si="6"/>
        <v>0</v>
      </c>
      <c r="E109" s="249">
        <f t="shared" si="6"/>
        <v>0</v>
      </c>
    </row>
    <row r="110" spans="1:5" ht="12.75">
      <c r="A110" s="273" t="str">
        <f t="shared" si="5"/>
        <v> </v>
      </c>
      <c r="B110" s="271"/>
      <c r="C110" s="249">
        <f t="shared" si="6"/>
        <v>0</v>
      </c>
      <c r="D110" s="249">
        <f t="shared" si="6"/>
        <v>0</v>
      </c>
      <c r="E110" s="249">
        <f t="shared" si="6"/>
        <v>0</v>
      </c>
    </row>
    <row r="111" spans="1:5" ht="12.75">
      <c r="A111" s="273" t="str">
        <f t="shared" si="5"/>
        <v> </v>
      </c>
      <c r="B111" s="271"/>
      <c r="C111" s="249">
        <f t="shared" si="6"/>
        <v>0</v>
      </c>
      <c r="D111" s="249">
        <f t="shared" si="6"/>
        <v>0</v>
      </c>
      <c r="E111" s="249">
        <f t="shared" si="6"/>
        <v>0</v>
      </c>
    </row>
    <row r="112" spans="1:5" ht="12.75">
      <c r="A112" s="273" t="str">
        <f>IF($E92&gt;$C$11,A95," ")</f>
        <v> </v>
      </c>
      <c r="B112" s="271"/>
      <c r="C112" s="249">
        <f t="shared" si="6"/>
        <v>0</v>
      </c>
      <c r="D112" s="249">
        <f t="shared" si="6"/>
        <v>0</v>
      </c>
      <c r="E112" s="249">
        <f t="shared" si="6"/>
        <v>0</v>
      </c>
    </row>
    <row r="113" spans="1:5" ht="12.75">
      <c r="A113" s="273" t="str">
        <f>IF($E93&gt;$C$11,#REF!," ")</f>
        <v> </v>
      </c>
      <c r="B113" s="271"/>
      <c r="C113" s="249">
        <f t="shared" si="6"/>
        <v>0</v>
      </c>
      <c r="D113" s="249">
        <f t="shared" si="6"/>
        <v>0</v>
      </c>
      <c r="E113" s="249">
        <f t="shared" si="6"/>
        <v>0</v>
      </c>
    </row>
    <row r="114" spans="1:5" ht="12.75">
      <c r="A114" s="273" t="str">
        <f>IF($E94&gt;$C$11,A94," ")</f>
        <v> </v>
      </c>
      <c r="B114" s="271"/>
      <c r="C114" s="249">
        <f t="shared" si="6"/>
        <v>0</v>
      </c>
      <c r="D114" s="249">
        <f t="shared" si="6"/>
        <v>0</v>
      </c>
      <c r="E114" s="249">
        <f t="shared" si="6"/>
        <v>0</v>
      </c>
    </row>
    <row r="115" spans="1:5" ht="12.75">
      <c r="A115" s="273" t="str">
        <f>IF($E95&gt;$C$11,A93," ")</f>
        <v> </v>
      </c>
      <c r="B115" s="271"/>
      <c r="C115" s="249">
        <f t="shared" si="6"/>
        <v>0</v>
      </c>
      <c r="D115" s="249">
        <f t="shared" si="6"/>
        <v>0</v>
      </c>
      <c r="E115" s="249">
        <f t="shared" si="6"/>
        <v>0</v>
      </c>
    </row>
    <row r="116" spans="1:5" ht="12.75">
      <c r="A116" s="273" t="str">
        <f>IF($E96&gt;$C$11,A96," ")</f>
        <v> </v>
      </c>
      <c r="B116" s="271"/>
      <c r="C116" s="249">
        <f t="shared" si="6"/>
        <v>0</v>
      </c>
      <c r="D116" s="249">
        <f t="shared" si="6"/>
        <v>0</v>
      </c>
      <c r="E116" s="249">
        <f t="shared" si="6"/>
        <v>0</v>
      </c>
    </row>
    <row r="117" spans="1:5" ht="12.75">
      <c r="A117" s="273" t="str">
        <f>IF($E97&gt;$C$11,A97," ")</f>
        <v> </v>
      </c>
      <c r="B117" s="271"/>
      <c r="C117" s="249">
        <f t="shared" si="6"/>
        <v>0</v>
      </c>
      <c r="D117" s="249">
        <f t="shared" si="6"/>
        <v>0</v>
      </c>
      <c r="E117" s="249">
        <f t="shared" si="6"/>
        <v>0</v>
      </c>
    </row>
    <row r="118" spans="1:5" ht="12.75">
      <c r="A118" s="273" t="str">
        <f>IF($E98&gt;$C$11,A98," ")</f>
        <v> </v>
      </c>
      <c r="B118" s="271"/>
      <c r="C118" s="249">
        <f t="shared" si="6"/>
        <v>0</v>
      </c>
      <c r="D118" s="249">
        <f t="shared" si="6"/>
        <v>0</v>
      </c>
      <c r="E118" s="249">
        <f t="shared" si="6"/>
        <v>0</v>
      </c>
    </row>
    <row r="119" spans="1:5" ht="12.75">
      <c r="A119" s="276" t="s">
        <v>201</v>
      </c>
      <c r="B119" s="271"/>
      <c r="C119" s="249">
        <f>SUM(C102:C118)</f>
        <v>58400</v>
      </c>
      <c r="D119" s="249">
        <f>SUM(D102:D118)</f>
        <v>0</v>
      </c>
      <c r="E119" s="249">
        <f>SUM(E102:E118)</f>
        <v>58400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58400</v>
      </c>
      <c r="D121" s="249">
        <f>D119+D120</f>
        <v>0</v>
      </c>
      <c r="E121" s="249">
        <f>E119+E120</f>
        <v>58400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 horizontalCentered="1"/>
  <pageMargins left="0.35433070866141736" right="0.03937007874015748" top="0.7086614173228347" bottom="0.5511811023622047" header="0.196850393700787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3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29" sqref="A2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26.25">
      <c r="A2" s="491" t="str">
        <f>REGINFO!A1</f>
        <v>SIMPIL MODEL 
(Halton Hills Version per Board Decision in EB-2008-0381)</v>
      </c>
    </row>
    <row r="3" spans="1:5" ht="12.75">
      <c r="A3" s="2" t="s">
        <v>384</v>
      </c>
      <c r="E3" s="91"/>
    </row>
    <row r="4" spans="1:6" ht="15">
      <c r="A4" s="461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3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5">
      <c r="A8" s="498" t="str">
        <f>REGINFO!A3</f>
        <v>Utility Name: HALDIMAND COUNTY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5">
      <c r="A11" s="498" t="str">
        <f>REGINFO!A4</f>
        <v>Reporting period:  January 1, 2003 to December 31,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5">C19-D19</f>
        <v>0</v>
      </c>
    </row>
    <row r="20" spans="1:5" ht="12.75">
      <c r="A20" t="s">
        <v>387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451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390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391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452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125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437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389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388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432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433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448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449</v>
      </c>
      <c r="C35" s="293"/>
      <c r="D35" s="293"/>
      <c r="E35" s="311">
        <f t="shared" si="0"/>
        <v>0</v>
      </c>
    </row>
    <row r="36" spans="1:5" ht="12.75">
      <c r="A36" s="66" t="s">
        <v>434</v>
      </c>
      <c r="C36" s="293"/>
      <c r="D36" s="293"/>
      <c r="E36" s="311">
        <f t="shared" si="0"/>
        <v>0</v>
      </c>
    </row>
    <row r="37" spans="1:5" ht="12.75">
      <c r="A37" s="66" t="s">
        <v>435</v>
      </c>
      <c r="C37" s="293"/>
      <c r="D37" s="293"/>
      <c r="E37" s="311">
        <f t="shared" si="0"/>
        <v>0</v>
      </c>
    </row>
    <row r="38" spans="1:5" ht="12.75">
      <c r="A38" s="66" t="s">
        <v>455</v>
      </c>
      <c r="C38" s="293"/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392</v>
      </c>
      <c r="B40" t="s">
        <v>186</v>
      </c>
      <c r="C40" s="293"/>
      <c r="D40" s="293"/>
      <c r="E40" s="311">
        <f t="shared" si="0"/>
        <v>0</v>
      </c>
    </row>
    <row r="41" spans="1:5" ht="12.75">
      <c r="A41" s="80" t="s">
        <v>386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t="s">
        <v>492</v>
      </c>
      <c r="B44" t="s">
        <v>186</v>
      </c>
      <c r="C44" s="292"/>
      <c r="D44" s="292"/>
      <c r="E44" s="249">
        <f t="shared" si="0"/>
        <v>0</v>
      </c>
    </row>
    <row r="45" spans="2:5" ht="12.75">
      <c r="B45" t="s">
        <v>186</v>
      </c>
      <c r="C45" s="292"/>
      <c r="D45" s="292"/>
      <c r="E45" s="249">
        <f t="shared" si="0"/>
        <v>0</v>
      </c>
    </row>
    <row r="46" spans="1:5" ht="12.75">
      <c r="A46" s="66"/>
      <c r="B46" t="s">
        <v>186</v>
      </c>
      <c r="C46" s="292"/>
      <c r="D46" s="292"/>
      <c r="E46" s="277"/>
    </row>
    <row r="47" spans="1:5" ht="12.75">
      <c r="A47" s="446" t="s">
        <v>396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387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451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388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436</v>
      </c>
      <c r="B54" s="8" t="s">
        <v>187</v>
      </c>
      <c r="C54" s="292"/>
      <c r="D54" s="292"/>
      <c r="E54" s="249">
        <f t="shared" si="1"/>
        <v>0</v>
      </c>
    </row>
    <row r="55" spans="1:5" ht="12.75">
      <c r="A55" s="66" t="s">
        <v>443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454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450</v>
      </c>
      <c r="B57" s="8" t="s">
        <v>187</v>
      </c>
      <c r="C57" s="292"/>
      <c r="D57" s="292"/>
      <c r="E57" s="249">
        <f t="shared" si="1"/>
        <v>0</v>
      </c>
    </row>
    <row r="58" spans="1:5" ht="12.75">
      <c r="A58" s="66" t="s">
        <v>453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2:5" ht="12.75">
      <c r="B60" s="8" t="s">
        <v>187</v>
      </c>
      <c r="C60" s="292"/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2:5" ht="12.75">
      <c r="B62" s="8" t="s">
        <v>187</v>
      </c>
      <c r="C62" s="292"/>
      <c r="D62" s="292"/>
      <c r="E62" s="249">
        <f aca="true" t="shared" si="2" ref="E62:E72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1:5" ht="12.75">
      <c r="A64" s="465" t="s">
        <v>393</v>
      </c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1:5" ht="12.75">
      <c r="A66" s="465" t="s">
        <v>386</v>
      </c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66"/>
      <c r="B69" s="8" t="s">
        <v>187</v>
      </c>
      <c r="C69" s="292"/>
      <c r="D69" s="292"/>
      <c r="E69" s="249">
        <f t="shared" si="2"/>
        <v>0</v>
      </c>
    </row>
    <row r="70" spans="1:5" ht="12.75">
      <c r="A70" s="66"/>
      <c r="B70" s="8" t="s">
        <v>187</v>
      </c>
      <c r="C70" s="292"/>
      <c r="D70" s="292"/>
      <c r="E70" s="249">
        <f t="shared" si="2"/>
        <v>0</v>
      </c>
    </row>
    <row r="71" spans="1:5" ht="12.75">
      <c r="A71" s="66"/>
      <c r="B71" s="8" t="s">
        <v>187</v>
      </c>
      <c r="C71" s="292"/>
      <c r="D71" s="292"/>
      <c r="E71" s="249">
        <f t="shared" si="2"/>
        <v>0</v>
      </c>
    </row>
    <row r="72" spans="1:5" ht="12.75">
      <c r="A72" s="66"/>
      <c r="B72" s="8" t="s">
        <v>187</v>
      </c>
      <c r="C72" s="292"/>
      <c r="D72" s="292"/>
      <c r="E72" s="277">
        <f t="shared" si="2"/>
        <v>0</v>
      </c>
    </row>
    <row r="73" spans="1:5" ht="12.75">
      <c r="A73" s="445" t="s">
        <v>395</v>
      </c>
      <c r="B73" s="8" t="s">
        <v>188</v>
      </c>
      <c r="C73" s="249">
        <f>SUM(C51:C72)</f>
        <v>0</v>
      </c>
      <c r="D73" s="249">
        <f>SUM(D51:D72)</f>
        <v>0</v>
      </c>
      <c r="E73" s="249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 horizontalCentered="1"/>
  <pageMargins left="0.35433070866141736" right="0.03937007874015748" top="0.7086614173228347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28">
      <selection activeCell="A17" sqref="A1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31.5" customHeight="1">
      <c r="A1" s="512" t="str">
        <f>REGINFO!A1</f>
        <v>SIMPIL MODEL 
(Halton Hills Version per Board Decision in EB-2008-0381)</v>
      </c>
      <c r="B1" s="512"/>
      <c r="C1" s="512"/>
      <c r="D1" s="512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7"/>
      <c r="L2" s="188"/>
      <c r="M2" s="188"/>
      <c r="N2" s="188"/>
      <c r="O2" s="188"/>
      <c r="P2" s="188"/>
      <c r="Q2" s="34"/>
      <c r="R2" s="34"/>
    </row>
    <row r="3" spans="1:18" ht="12.75">
      <c r="A3" s="342" t="s">
        <v>306</v>
      </c>
      <c r="B3" s="341"/>
      <c r="C3" s="341"/>
      <c r="D3" s="341"/>
      <c r="E3" s="341"/>
      <c r="F3" s="343"/>
      <c r="G3" s="188"/>
      <c r="H3" s="188"/>
      <c r="I3" s="188"/>
      <c r="J3" s="188"/>
      <c r="K3" s="237"/>
      <c r="L3" s="188"/>
      <c r="M3" s="188"/>
      <c r="N3" s="188"/>
      <c r="O3" s="188"/>
      <c r="P3" s="188"/>
      <c r="Q3" s="34"/>
      <c r="R3" s="34"/>
    </row>
    <row r="4" spans="1:18" ht="15">
      <c r="A4" s="499" t="str">
        <f>REGINFO!A3</f>
        <v>Utility Name: HALDIMAND COUNTY HYDRO INC.</v>
      </c>
      <c r="B4" s="341"/>
      <c r="C4" s="341"/>
      <c r="D4" s="341"/>
      <c r="E4" s="341"/>
      <c r="F4" s="341"/>
      <c r="G4" s="188"/>
      <c r="H4" s="188"/>
      <c r="I4" s="188"/>
      <c r="J4" s="188"/>
      <c r="K4" s="237"/>
      <c r="L4" s="188"/>
      <c r="M4" s="188"/>
      <c r="N4" s="188"/>
      <c r="O4" s="188"/>
      <c r="P4" s="188"/>
      <c r="Q4" s="34"/>
      <c r="R4" s="34"/>
    </row>
    <row r="5" spans="1:18" ht="15">
      <c r="A5" s="499" t="str">
        <f>REGINFO!A4</f>
        <v>Reporting period:  January 1, 2003 to December 31, 2003</v>
      </c>
      <c r="B5" s="341"/>
      <c r="C5" s="341"/>
      <c r="D5" s="341"/>
      <c r="E5" s="341"/>
      <c r="F5" s="341"/>
      <c r="G5" s="188"/>
      <c r="H5" s="188"/>
      <c r="I5" s="188"/>
      <c r="J5" s="188"/>
      <c r="K5" s="237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7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7" t="s">
        <v>336</v>
      </c>
      <c r="G7" s="188"/>
      <c r="H7" s="188"/>
      <c r="I7" s="188"/>
      <c r="J7" s="188"/>
      <c r="K7" s="237"/>
      <c r="L7" s="188"/>
      <c r="M7" s="188"/>
      <c r="N7" s="188"/>
      <c r="O7" s="188"/>
      <c r="P7" s="188"/>
      <c r="Q7" s="34"/>
      <c r="R7" s="34"/>
    </row>
    <row r="8" spans="1:18" ht="13.5" thickBot="1">
      <c r="A8" s="508" t="s">
        <v>479</v>
      </c>
      <c r="B8" s="509"/>
      <c r="C8" s="509"/>
      <c r="D8" s="509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200001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464</v>
      </c>
      <c r="B10" s="325"/>
      <c r="C10" s="374" t="s">
        <v>111</v>
      </c>
      <c r="D10" s="374"/>
      <c r="E10" s="374" t="s">
        <v>111</v>
      </c>
      <c r="F10" s="375" t="s">
        <v>484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6">
        <v>200000</v>
      </c>
      <c r="D11" s="376"/>
      <c r="E11" s="376">
        <v>700000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299</v>
      </c>
      <c r="B13" s="406">
        <v>2002</v>
      </c>
      <c r="C13" s="235"/>
      <c r="D13" s="235"/>
      <c r="E13" s="241"/>
      <c r="F13" s="241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298</v>
      </c>
      <c r="B14" s="243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303</v>
      </c>
      <c r="B15" s="243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259</v>
      </c>
      <c r="B16" s="243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3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6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331</v>
      </c>
      <c r="B21" s="403" t="s">
        <v>469</v>
      </c>
      <c r="C21" s="360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332</v>
      </c>
      <c r="B22" s="404" t="s">
        <v>470</v>
      </c>
      <c r="C22" s="361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02" t="s">
        <v>488</v>
      </c>
      <c r="B23" s="503"/>
      <c r="C23" s="503"/>
      <c r="D23" s="503"/>
      <c r="E23" s="503"/>
      <c r="F23" s="503"/>
      <c r="G23" s="435"/>
      <c r="H23" s="417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8"/>
      <c r="B24" s="409"/>
      <c r="C24" s="409"/>
      <c r="D24" s="409"/>
      <c r="E24" s="409"/>
      <c r="F24" s="409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7" t="s">
        <v>337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10" t="s">
        <v>480</v>
      </c>
      <c r="B26" s="511"/>
      <c r="C26" s="511"/>
      <c r="D26" s="511"/>
      <c r="E26" s="511"/>
      <c r="F26" s="511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/>
      <c r="E27" s="366">
        <v>200001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439</v>
      </c>
      <c r="B28" s="325"/>
      <c r="C28" s="368" t="s">
        <v>111</v>
      </c>
      <c r="D28" s="368"/>
      <c r="E28" s="368" t="s">
        <v>111</v>
      </c>
      <c r="F28" s="369" t="s">
        <v>484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70">
        <v>200000</v>
      </c>
      <c r="D29" s="370"/>
      <c r="E29" s="370">
        <v>700000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6">
        <v>2003</v>
      </c>
      <c r="C31" s="235"/>
      <c r="D31" s="235"/>
      <c r="E31" s="241"/>
      <c r="F31" s="241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298</v>
      </c>
      <c r="B32" s="406">
        <v>2003</v>
      </c>
      <c r="C32" s="326">
        <v>0.1312</v>
      </c>
      <c r="D32" s="326"/>
      <c r="E32" s="327"/>
      <c r="F32" s="327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6">
        <v>2003</v>
      </c>
      <c r="C33" s="328">
        <v>0.06</v>
      </c>
      <c r="D33" s="328"/>
      <c r="E33" s="329"/>
      <c r="F33" s="329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259</v>
      </c>
      <c r="B34" s="406">
        <v>2003</v>
      </c>
      <c r="C34" s="330">
        <f>SUM(C32:C33)</f>
        <v>0.1912</v>
      </c>
      <c r="D34" s="330"/>
      <c r="E34" s="331">
        <v>0.3412</v>
      </c>
      <c r="F34" s="331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3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6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6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6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481</v>
      </c>
      <c r="B39" s="403" t="s">
        <v>469</v>
      </c>
      <c r="C39" s="360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482</v>
      </c>
      <c r="B40" s="404" t="s">
        <v>470</v>
      </c>
      <c r="C40" s="361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04" t="s">
        <v>334</v>
      </c>
      <c r="B41" s="503"/>
      <c r="C41" s="503"/>
      <c r="D41" s="503"/>
      <c r="E41" s="503"/>
      <c r="F41" s="503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05"/>
      <c r="B42" s="505"/>
      <c r="C42" s="505"/>
      <c r="D42" s="505"/>
      <c r="E42" s="505"/>
      <c r="F42" s="505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7" t="s">
        <v>338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5" t="s">
        <v>483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/>
      <c r="E45" s="366">
        <v>200001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111</v>
      </c>
      <c r="D46" s="368"/>
      <c r="E46" s="368" t="s">
        <v>111</v>
      </c>
      <c r="F46" s="369" t="s">
        <v>468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70">
        <v>200000</v>
      </c>
      <c r="D47" s="370"/>
      <c r="E47" s="370">
        <v>700000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3"/>
      <c r="C48" s="234"/>
      <c r="D48" s="234"/>
      <c r="E48" s="240"/>
      <c r="F48" s="240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6">
        <v>2003</v>
      </c>
      <c r="C49" s="235"/>
      <c r="D49" s="235"/>
      <c r="E49" s="241"/>
      <c r="F49" s="241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298</v>
      </c>
      <c r="B50" s="243"/>
      <c r="C50" s="350">
        <v>0.1312</v>
      </c>
      <c r="D50" s="350"/>
      <c r="E50" s="351">
        <v>0</v>
      </c>
      <c r="F50" s="351">
        <v>0.2412</v>
      </c>
      <c r="G50" s="193"/>
      <c r="H50" s="484">
        <v>0.2412</v>
      </c>
      <c r="I50" s="484">
        <f>+H50-F50</f>
        <v>0</v>
      </c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3"/>
      <c r="C51" s="352">
        <v>0.06</v>
      </c>
      <c r="D51" s="352"/>
      <c r="E51" s="353">
        <v>0</v>
      </c>
      <c r="F51" s="353">
        <v>0.125</v>
      </c>
      <c r="G51" s="193"/>
      <c r="H51" s="484">
        <v>0.125</v>
      </c>
      <c r="I51" s="484">
        <f>+H51-F51</f>
        <v>0</v>
      </c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259</v>
      </c>
      <c r="B52" s="243"/>
      <c r="C52" s="330">
        <f>SUM(C50:C51)</f>
        <v>0.1912</v>
      </c>
      <c r="D52" s="330"/>
      <c r="E52" s="331">
        <f>SUM(E50:E51)</f>
        <v>0</v>
      </c>
      <c r="F52" s="331">
        <f>SUM(F50:F51)</f>
        <v>0.36619999999999997</v>
      </c>
      <c r="G52" s="193"/>
      <c r="H52" s="484">
        <f>+H51+H50</f>
        <v>0.36619999999999997</v>
      </c>
      <c r="I52" s="484">
        <f>+H52-F52</f>
        <v>0</v>
      </c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3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2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6"/>
      <c r="C55" s="355">
        <v>0.00225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6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3" t="s">
        <v>348</v>
      </c>
      <c r="B57" s="403" t="s">
        <v>469</v>
      </c>
      <c r="C57" s="360">
        <v>4948965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3" t="s">
        <v>349</v>
      </c>
      <c r="B58" s="404" t="s">
        <v>470</v>
      </c>
      <c r="C58" s="361">
        <v>10000000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02" t="s">
        <v>350</v>
      </c>
      <c r="B59" s="506"/>
      <c r="C59" s="506"/>
      <c r="D59" s="506"/>
      <c r="E59" s="506"/>
      <c r="F59" s="506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07"/>
      <c r="B60" s="507"/>
      <c r="C60" s="507"/>
      <c r="D60" s="507"/>
      <c r="E60" s="507"/>
      <c r="F60" s="507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8"/>
      <c r="C66" s="238"/>
      <c r="D66" s="238"/>
      <c r="E66" s="238"/>
      <c r="F66" s="238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8"/>
      <c r="C67" s="238"/>
      <c r="D67" s="238"/>
      <c r="E67" s="238"/>
      <c r="F67" s="238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8"/>
      <c r="C68" s="238"/>
      <c r="D68" s="238"/>
      <c r="E68" s="238"/>
      <c r="F68" s="238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8"/>
      <c r="C69" s="238"/>
      <c r="D69" s="238"/>
      <c r="E69" s="238"/>
      <c r="F69" s="238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8"/>
      <c r="C70" s="238"/>
      <c r="D70" s="238"/>
      <c r="E70" s="238"/>
      <c r="F70" s="238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8"/>
      <c r="C71" s="238"/>
      <c r="D71" s="238"/>
      <c r="E71" s="238"/>
      <c r="F71" s="238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8"/>
      <c r="C72" s="238"/>
      <c r="D72" s="238"/>
      <c r="E72" s="238"/>
      <c r="F72" s="238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8"/>
      <c r="C73" s="238"/>
      <c r="D73" s="238"/>
      <c r="E73" s="238"/>
      <c r="F73" s="238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8"/>
      <c r="C74" s="238"/>
      <c r="D74" s="238"/>
      <c r="E74" s="238"/>
      <c r="F74" s="238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8"/>
      <c r="C75" s="238"/>
      <c r="D75" s="238"/>
      <c r="E75" s="238"/>
      <c r="F75" s="238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8"/>
      <c r="C76" s="238"/>
      <c r="D76" s="238"/>
      <c r="E76" s="238"/>
      <c r="F76" s="238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8"/>
      <c r="C77" s="238"/>
      <c r="D77" s="238"/>
      <c r="E77" s="238"/>
      <c r="F77" s="238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8"/>
      <c r="C78" s="238"/>
      <c r="D78" s="238"/>
      <c r="E78" s="238"/>
      <c r="F78" s="238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8"/>
      <c r="C79" s="238"/>
      <c r="D79" s="238"/>
      <c r="E79" s="238"/>
      <c r="F79" s="238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8"/>
      <c r="C80" s="238"/>
      <c r="D80" s="238"/>
      <c r="E80" s="238"/>
      <c r="F80" s="238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8"/>
      <c r="C81" s="238"/>
      <c r="D81" s="238"/>
      <c r="E81" s="238"/>
      <c r="F81" s="238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8"/>
      <c r="C82" s="238"/>
      <c r="D82" s="238"/>
      <c r="E82" s="238"/>
      <c r="F82" s="238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8"/>
      <c r="C83" s="238"/>
      <c r="D83" s="238"/>
      <c r="E83" s="238"/>
      <c r="F83" s="238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8"/>
      <c r="C84" s="238"/>
      <c r="D84" s="238"/>
      <c r="E84" s="238"/>
      <c r="F84" s="238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8"/>
      <c r="C85" s="238"/>
      <c r="D85" s="238"/>
      <c r="E85" s="238"/>
      <c r="F85" s="238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8"/>
      <c r="C86" s="238"/>
      <c r="D86" s="238"/>
      <c r="E86" s="238"/>
      <c r="F86" s="238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8"/>
      <c r="C87" s="238"/>
      <c r="D87" s="238"/>
      <c r="E87" s="238"/>
      <c r="F87" s="238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8"/>
      <c r="C88" s="238"/>
      <c r="D88" s="238"/>
      <c r="E88" s="238"/>
      <c r="F88" s="238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8"/>
      <c r="C89" s="238"/>
      <c r="D89" s="238"/>
      <c r="E89" s="238"/>
      <c r="F89" s="238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8"/>
      <c r="C90" s="238"/>
      <c r="D90" s="238"/>
      <c r="E90" s="238"/>
      <c r="F90" s="238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8"/>
      <c r="C91" s="238"/>
      <c r="D91" s="238"/>
      <c r="E91" s="238"/>
      <c r="F91" s="238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8"/>
      <c r="C92" s="238"/>
      <c r="D92" s="238"/>
      <c r="E92" s="238"/>
      <c r="F92" s="238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8"/>
      <c r="C93" s="238"/>
      <c r="D93" s="238"/>
      <c r="E93" s="238"/>
      <c r="F93" s="238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8"/>
      <c r="C94" s="238"/>
      <c r="D94" s="238"/>
      <c r="E94" s="238"/>
      <c r="F94" s="238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8"/>
      <c r="C95" s="238"/>
      <c r="D95" s="238"/>
      <c r="E95" s="238"/>
      <c r="F95" s="238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8"/>
      <c r="C96" s="238"/>
      <c r="D96" s="238"/>
      <c r="E96" s="238"/>
      <c r="F96" s="238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8"/>
      <c r="C97" s="238"/>
      <c r="D97" s="238"/>
      <c r="E97" s="238"/>
      <c r="F97" s="238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8"/>
      <c r="C98" s="238"/>
      <c r="D98" s="238"/>
      <c r="E98" s="238"/>
      <c r="F98" s="238"/>
    </row>
  </sheetData>
  <sheetProtection/>
  <mergeCells count="6">
    <mergeCell ref="A23:F23"/>
    <mergeCell ref="A41:F42"/>
    <mergeCell ref="A59:F60"/>
    <mergeCell ref="A8:D8"/>
    <mergeCell ref="A26:F26"/>
    <mergeCell ref="A1:D1"/>
  </mergeCells>
  <printOptions gridLines="1" headings="1" horizontalCentered="1"/>
  <pageMargins left="0.35433070866141736" right="0.03937007874015748" top="0.7086614173228347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80" zoomScaleNormal="80" workbookViewId="0" topLeftCell="A1">
      <selection activeCell="G20" sqref="G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3.57421875" style="0" bestFit="1" customWidth="1"/>
  </cols>
  <sheetData>
    <row r="1" spans="1:5" ht="27.75" customHeight="1">
      <c r="A1" s="513" t="str">
        <f>REGINFO!A1</f>
        <v>SIMPIL MODEL 
(Halton Hills Version per Board Decision in EB-2008-0381)</v>
      </c>
      <c r="B1" s="513"/>
      <c r="C1" s="513"/>
      <c r="D1" s="513"/>
      <c r="E1" s="513"/>
    </row>
    <row r="2" spans="1:2" ht="12.75">
      <c r="A2" s="2" t="s">
        <v>456</v>
      </c>
      <c r="B2" s="2"/>
    </row>
    <row r="3" spans="1:15" ht="15">
      <c r="A3" s="496" t="str">
        <f>REGINFO!A3</f>
        <v>Utility Name: HALDIMAND COUNTY HYDRO INC.</v>
      </c>
      <c r="O3" s="413" t="str">
        <f>REGINFO!E1</f>
        <v>Version 2009.1</v>
      </c>
    </row>
    <row r="4" spans="1:15" ht="15">
      <c r="A4" s="496" t="str">
        <f>REGINFO!A4</f>
        <v>Reporting period:  January 1, 2003 to December 31, 2003</v>
      </c>
      <c r="F4" s="34"/>
      <c r="G4" s="414" t="s">
        <v>320</v>
      </c>
      <c r="H4" s="395"/>
      <c r="I4" s="395"/>
      <c r="J4" s="395"/>
      <c r="K4" s="395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9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1">
        <v>0</v>
      </c>
      <c r="D11" s="387"/>
      <c r="E11" s="393">
        <f>C22</f>
        <v>336951</v>
      </c>
      <c r="F11" s="416"/>
      <c r="G11" s="393">
        <f>E22</f>
        <v>763072</v>
      </c>
      <c r="H11" s="416"/>
      <c r="I11" s="393">
        <f>G22</f>
        <v>-331102</v>
      </c>
      <c r="J11" s="387"/>
      <c r="K11" s="393">
        <f>I22</f>
        <v>-331102</v>
      </c>
      <c r="L11" s="387"/>
      <c r="M11" s="393">
        <f>K22</f>
        <v>-331102</v>
      </c>
      <c r="N11" s="387"/>
      <c r="O11" s="393">
        <f>C11</f>
        <v>0</v>
      </c>
    </row>
    <row r="12" spans="1:15" ht="27" customHeight="1">
      <c r="A12" s="80" t="s">
        <v>397</v>
      </c>
      <c r="B12" s="65" t="s">
        <v>189</v>
      </c>
      <c r="C12" s="392">
        <v>334927</v>
      </c>
      <c r="D12" s="388"/>
      <c r="E12" s="392">
        <v>1096347</v>
      </c>
      <c r="F12" s="94"/>
      <c r="G12" s="415">
        <f>C12+E12</f>
        <v>1431274</v>
      </c>
      <c r="H12" s="94"/>
      <c r="I12" s="415"/>
      <c r="J12" s="388"/>
      <c r="K12" s="415"/>
      <c r="L12" s="388"/>
      <c r="M12" s="415"/>
      <c r="N12" s="388"/>
      <c r="O12" s="393">
        <f aca="true" t="shared" si="0" ref="O12:O20">SUM(C12:N12)</f>
        <v>2862548</v>
      </c>
    </row>
    <row r="13" spans="1:15" ht="27" customHeight="1">
      <c r="A13" s="80" t="s">
        <v>438</v>
      </c>
      <c r="B13" s="65"/>
      <c r="C13" s="392"/>
      <c r="D13" s="388"/>
      <c r="E13" s="392"/>
      <c r="F13" s="94"/>
      <c r="G13" s="392"/>
      <c r="H13" s="94"/>
      <c r="I13" s="392"/>
      <c r="J13" s="388"/>
      <c r="K13" s="392"/>
      <c r="L13" s="388"/>
      <c r="M13" s="392"/>
      <c r="N13" s="388"/>
      <c r="O13" s="393">
        <f t="shared" si="0"/>
        <v>0</v>
      </c>
    </row>
    <row r="14" spans="1:15" ht="26.25">
      <c r="A14" s="80" t="s">
        <v>398</v>
      </c>
      <c r="B14" s="65" t="s">
        <v>189</v>
      </c>
      <c r="C14" s="392"/>
      <c r="D14" s="388"/>
      <c r="E14" s="392"/>
      <c r="F14" s="94"/>
      <c r="G14" s="392"/>
      <c r="H14" s="94"/>
      <c r="I14" s="392"/>
      <c r="J14" s="388"/>
      <c r="K14" s="392"/>
      <c r="L14" s="388"/>
      <c r="M14" s="392"/>
      <c r="N14" s="388"/>
      <c r="O14" s="393">
        <f t="shared" si="0"/>
        <v>0</v>
      </c>
    </row>
    <row r="15" spans="1:15" ht="27" customHeight="1">
      <c r="A15" s="80" t="s">
        <v>399</v>
      </c>
      <c r="B15" s="65" t="s">
        <v>189</v>
      </c>
      <c r="C15" s="415"/>
      <c r="D15" s="388"/>
      <c r="E15" s="415"/>
      <c r="F15" s="94"/>
      <c r="G15" s="415">
        <v>-1103647</v>
      </c>
      <c r="H15" s="94"/>
      <c r="I15" s="415"/>
      <c r="J15" s="94"/>
      <c r="K15" s="415"/>
      <c r="L15" s="388"/>
      <c r="M15" s="415"/>
      <c r="N15" s="388"/>
      <c r="O15" s="393">
        <f t="shared" si="0"/>
        <v>-1103647</v>
      </c>
    </row>
    <row r="16" spans="1:15" ht="27" customHeight="1">
      <c r="A16" s="80" t="s">
        <v>400</v>
      </c>
      <c r="B16" s="65"/>
      <c r="C16" s="392"/>
      <c r="D16" s="388"/>
      <c r="E16" s="392"/>
      <c r="F16" s="94"/>
      <c r="G16" s="392"/>
      <c r="H16" s="94"/>
      <c r="I16" s="392"/>
      <c r="J16" s="388"/>
      <c r="K16" s="392"/>
      <c r="L16" s="388"/>
      <c r="M16" s="392"/>
      <c r="N16" s="388"/>
      <c r="O16" s="393">
        <f t="shared" si="0"/>
        <v>0</v>
      </c>
    </row>
    <row r="17" spans="1:15" ht="27.75" customHeight="1">
      <c r="A17" s="80" t="s">
        <v>401</v>
      </c>
      <c r="B17" s="65" t="s">
        <v>189</v>
      </c>
      <c r="C17" s="415"/>
      <c r="D17" s="388"/>
      <c r="E17" s="415"/>
      <c r="F17" s="94"/>
      <c r="G17" s="415">
        <v>0</v>
      </c>
      <c r="H17" s="94"/>
      <c r="I17" s="415"/>
      <c r="J17" s="94"/>
      <c r="K17" s="415"/>
      <c r="L17" s="388"/>
      <c r="M17" s="415"/>
      <c r="N17" s="388"/>
      <c r="O17" s="393">
        <f t="shared" si="0"/>
        <v>0</v>
      </c>
    </row>
    <row r="18" spans="1:15" ht="26.25">
      <c r="A18" s="80" t="s">
        <v>402</v>
      </c>
      <c r="B18" s="65" t="s">
        <v>189</v>
      </c>
      <c r="C18" s="392"/>
      <c r="D18" s="388"/>
      <c r="E18" s="392"/>
      <c r="F18" s="94"/>
      <c r="G18" s="392"/>
      <c r="H18" s="94"/>
      <c r="I18" s="392"/>
      <c r="J18" s="388"/>
      <c r="K18" s="392"/>
      <c r="L18" s="388"/>
      <c r="M18" s="392"/>
      <c r="N18" s="388"/>
      <c r="O18" s="393">
        <f t="shared" si="0"/>
        <v>0</v>
      </c>
    </row>
    <row r="19" spans="1:16" ht="24" customHeight="1">
      <c r="A19" s="429" t="s">
        <v>403</v>
      </c>
      <c r="B19" s="65" t="s">
        <v>189</v>
      </c>
      <c r="C19" s="392">
        <v>2024</v>
      </c>
      <c r="D19" s="388"/>
      <c r="E19" s="392">
        <v>47824</v>
      </c>
      <c r="F19" s="94"/>
      <c r="G19" s="392">
        <v>10329</v>
      </c>
      <c r="H19" s="94"/>
      <c r="I19" s="392"/>
      <c r="J19" s="388"/>
      <c r="K19" s="392"/>
      <c r="L19" s="388"/>
      <c r="M19" s="392"/>
      <c r="N19" s="388"/>
      <c r="O19" s="393">
        <f t="shared" si="0"/>
        <v>60177</v>
      </c>
      <c r="P19" s="388">
        <f>O22-O19</f>
        <v>-391279</v>
      </c>
    </row>
    <row r="20" spans="1:15" ht="24.75" customHeight="1">
      <c r="A20" s="80" t="s">
        <v>467</v>
      </c>
      <c r="B20" s="65" t="s">
        <v>187</v>
      </c>
      <c r="C20" s="392">
        <v>0</v>
      </c>
      <c r="D20" s="388"/>
      <c r="E20" s="392">
        <v>-718050</v>
      </c>
      <c r="F20" s="94"/>
      <c r="G20" s="392">
        <v>-1432130</v>
      </c>
      <c r="H20" s="94"/>
      <c r="I20" s="392"/>
      <c r="J20" s="388"/>
      <c r="K20" s="392"/>
      <c r="L20" s="388"/>
      <c r="M20" s="392"/>
      <c r="N20" s="388"/>
      <c r="O20" s="393">
        <f t="shared" si="0"/>
        <v>-2150180</v>
      </c>
    </row>
    <row r="21" spans="1:15" ht="12.75">
      <c r="A21" s="64"/>
      <c r="C21" s="388"/>
      <c r="D21" s="94"/>
      <c r="E21" s="388"/>
      <c r="F21" s="94"/>
      <c r="G21" s="388"/>
      <c r="H21" s="94"/>
      <c r="I21" s="388"/>
      <c r="J21" s="388"/>
      <c r="K21" s="388"/>
      <c r="L21" s="388"/>
      <c r="M21" s="388"/>
      <c r="N21" s="388"/>
      <c r="O21" s="416"/>
    </row>
    <row r="22" spans="1:15" ht="13.5" thickBot="1">
      <c r="A22" s="80" t="s">
        <v>373</v>
      </c>
      <c r="B22" s="34"/>
      <c r="C22" s="394">
        <f>SUM(C11:C20)</f>
        <v>336951</v>
      </c>
      <c r="D22" s="416"/>
      <c r="E22" s="394">
        <f>SUM(E11:E20)</f>
        <v>763072</v>
      </c>
      <c r="F22" s="416"/>
      <c r="G22" s="394">
        <f>SUM(G11:G20)</f>
        <v>-331102</v>
      </c>
      <c r="H22" s="416"/>
      <c r="I22" s="394">
        <f>SUM(I11:I20)</f>
        <v>-331102</v>
      </c>
      <c r="J22" s="387"/>
      <c r="K22" s="394">
        <f>SUM(K11:K20)</f>
        <v>-331102</v>
      </c>
      <c r="L22" s="387"/>
      <c r="M22" s="394">
        <f>SUM(M11:M21)</f>
        <v>-331102</v>
      </c>
      <c r="N22" s="387"/>
      <c r="O22" s="447">
        <f>SUM(O11:O20)</f>
        <v>-331102</v>
      </c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7"/>
      <c r="M23" s="439"/>
      <c r="N23" s="187"/>
      <c r="O23" s="439"/>
    </row>
    <row r="24" spans="1:15" ht="12.75">
      <c r="A24" s="453"/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1:15" ht="12.75">
      <c r="A25" s="430"/>
      <c r="B25" s="431"/>
      <c r="C25" s="457"/>
      <c r="D25" s="457"/>
      <c r="E25" s="457"/>
      <c r="F25" s="457"/>
      <c r="G25" s="457"/>
      <c r="H25" s="457"/>
      <c r="I25" s="457"/>
      <c r="J25" s="458"/>
      <c r="K25" s="457"/>
      <c r="L25" s="459"/>
      <c r="M25" s="460"/>
      <c r="N25" s="459"/>
      <c r="O25" s="460"/>
    </row>
    <row r="26" spans="1:15" ht="12.75">
      <c r="A26" s="430" t="s">
        <v>404</v>
      </c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7"/>
      <c r="M27" s="187"/>
      <c r="N27" s="187"/>
      <c r="O27" s="187"/>
    </row>
    <row r="28" spans="1:15" ht="12.75">
      <c r="A28" s="430" t="s">
        <v>405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7"/>
      <c r="M28" s="187"/>
      <c r="N28" s="187"/>
      <c r="O28" s="187"/>
    </row>
    <row r="29" spans="1:15" ht="12.75">
      <c r="A29" s="433" t="s">
        <v>406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7"/>
      <c r="M29" s="187"/>
      <c r="N29" s="187"/>
      <c r="O29" s="187"/>
    </row>
    <row r="30" spans="1:15" ht="9" customHeight="1">
      <c r="A30" s="187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7"/>
      <c r="M30" s="187"/>
      <c r="N30" s="187"/>
      <c r="O30" s="187"/>
    </row>
    <row r="31" spans="1:15" ht="12.75">
      <c r="A31" s="448" t="s">
        <v>407</v>
      </c>
      <c r="B31" s="79"/>
      <c r="C31" s="79"/>
      <c r="D31" s="79"/>
      <c r="E31" s="79"/>
      <c r="F31" s="79"/>
      <c r="G31" s="79"/>
      <c r="H31" s="79"/>
      <c r="I31" s="444"/>
      <c r="J31" s="444"/>
      <c r="K31" s="444"/>
      <c r="L31" s="444"/>
      <c r="M31" s="444"/>
      <c r="N31" s="444"/>
      <c r="O31" s="444"/>
    </row>
    <row r="32" spans="1:15" ht="9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</row>
    <row r="33" spans="1:19" ht="12.75">
      <c r="A33" s="515" t="s">
        <v>408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417"/>
      <c r="Q33" s="417"/>
      <c r="R33" s="417"/>
      <c r="S33" s="417"/>
    </row>
    <row r="34" spans="1:19" ht="12.75">
      <c r="A34" s="514" t="s">
        <v>409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417"/>
      <c r="Q34" s="417"/>
      <c r="R34" s="417"/>
      <c r="S34" s="417"/>
    </row>
    <row r="35" spans="1:19" ht="12.75">
      <c r="A35" s="514" t="s">
        <v>430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17"/>
      <c r="Q35" s="417"/>
      <c r="R35" s="417"/>
      <c r="S35" s="417"/>
    </row>
    <row r="36" spans="1:19" ht="12.75">
      <c r="A36" s="514" t="s">
        <v>410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417"/>
      <c r="Q36" s="417"/>
      <c r="R36" s="417"/>
      <c r="S36" s="417"/>
    </row>
    <row r="37" spans="1:19" ht="12.75">
      <c r="A37" s="434" t="s">
        <v>370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17"/>
      <c r="Q37" s="417"/>
      <c r="R37" s="417"/>
      <c r="S37" s="417"/>
    </row>
    <row r="38" spans="1:19" ht="12.75">
      <c r="A38" s="434" t="s">
        <v>371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17"/>
      <c r="Q38" s="417"/>
      <c r="R38" s="417"/>
      <c r="S38" s="417"/>
    </row>
    <row r="39" spans="1:19" ht="12.75">
      <c r="A39" s="434" t="s">
        <v>411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17"/>
      <c r="Q39" s="417"/>
      <c r="R39" s="417"/>
      <c r="S39" s="417"/>
    </row>
    <row r="40" spans="1:19" ht="12.75">
      <c r="A40" s="434" t="s">
        <v>412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17"/>
      <c r="Q40" s="417"/>
      <c r="R40" s="417"/>
      <c r="S40" s="417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17"/>
      <c r="Q41" s="417"/>
      <c r="R41" s="417"/>
      <c r="S41" s="417"/>
    </row>
    <row r="42" spans="1:15" ht="12.75">
      <c r="A42" s="436" t="s">
        <v>413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7"/>
      <c r="M42" s="187"/>
      <c r="N42" s="187"/>
      <c r="O42" s="187"/>
    </row>
    <row r="43" spans="1:15" ht="12.75">
      <c r="A43" s="431" t="s">
        <v>414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7"/>
      <c r="M43" s="187"/>
      <c r="N43" s="187"/>
      <c r="O43" s="187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7"/>
      <c r="M44" s="187"/>
      <c r="N44" s="187"/>
      <c r="O44" s="187"/>
    </row>
    <row r="45" spans="1:15" ht="12.75">
      <c r="A45" s="436" t="s">
        <v>415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7"/>
      <c r="M45" s="187"/>
      <c r="N45" s="187"/>
      <c r="O45" s="187"/>
    </row>
    <row r="46" spans="1:15" ht="12.75">
      <c r="A46" s="431" t="s">
        <v>416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7"/>
      <c r="M46" s="187"/>
      <c r="N46" s="187"/>
      <c r="O46" s="187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7"/>
      <c r="M47" s="187"/>
      <c r="N47" s="187"/>
      <c r="O47" s="187"/>
    </row>
    <row r="48" spans="1:15" ht="12.75">
      <c r="A48" s="436" t="s">
        <v>417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7"/>
      <c r="M48" s="187"/>
      <c r="N48" s="187"/>
      <c r="O48" s="187"/>
    </row>
    <row r="49" spans="1:15" ht="12.75">
      <c r="A49" s="431" t="s">
        <v>418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7"/>
      <c r="M49" s="187"/>
      <c r="N49" s="187"/>
      <c r="O49" s="187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7"/>
      <c r="M50" s="187"/>
      <c r="N50" s="187"/>
      <c r="O50" s="187"/>
    </row>
    <row r="51" spans="1:15" ht="12.75">
      <c r="A51" s="436" t="s">
        <v>419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7"/>
      <c r="M51" s="187"/>
      <c r="N51" s="187"/>
      <c r="O51" s="187"/>
    </row>
    <row r="52" spans="1:15" ht="12.75">
      <c r="A52" s="431" t="s">
        <v>416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7"/>
      <c r="M52" s="187"/>
      <c r="N52" s="187"/>
      <c r="O52" s="187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7"/>
      <c r="M53" s="187"/>
      <c r="N53" s="187"/>
      <c r="O53" s="187"/>
    </row>
    <row r="54" spans="1:15" ht="12.75">
      <c r="A54" s="431" t="s">
        <v>420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7"/>
      <c r="M54" s="187"/>
      <c r="N54" s="187"/>
      <c r="O54" s="187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7"/>
      <c r="M55" s="187"/>
      <c r="N55" s="187"/>
      <c r="O55" s="187"/>
    </row>
    <row r="56" spans="1:15" ht="12.75" customHeight="1">
      <c r="A56" s="436" t="s">
        <v>421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7"/>
      <c r="M56" s="187"/>
      <c r="N56" s="187"/>
      <c r="O56" s="187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7"/>
      <c r="M57" s="187"/>
      <c r="N57" s="187"/>
      <c r="O57" s="187"/>
    </row>
    <row r="58" spans="1:15" ht="12.75">
      <c r="A58" s="431" t="s">
        <v>422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7"/>
      <c r="M58" s="187"/>
      <c r="N58" s="187"/>
      <c r="O58" s="187"/>
    </row>
    <row r="59" spans="1:15" ht="12.75">
      <c r="A59" s="431" t="s">
        <v>423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7"/>
      <c r="M59" s="187"/>
      <c r="N59" s="187"/>
      <c r="O59" s="187"/>
    </row>
    <row r="60" spans="1:15" ht="12.75">
      <c r="A60" s="431" t="s">
        <v>424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7"/>
      <c r="M60" s="187"/>
      <c r="N60" s="187"/>
      <c r="O60" s="187"/>
    </row>
    <row r="61" spans="1:15" ht="12.75">
      <c r="A61" s="431" t="s">
        <v>380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7"/>
      <c r="M61" s="187"/>
      <c r="N61" s="187"/>
      <c r="O61" s="187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7"/>
      <c r="M62" s="187"/>
      <c r="N62" s="187"/>
      <c r="O62" s="187"/>
    </row>
    <row r="63" spans="1:15" ht="12.75">
      <c r="A63" s="431" t="s">
        <v>425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7"/>
      <c r="M63" s="187"/>
      <c r="N63" s="187"/>
      <c r="O63" s="187"/>
    </row>
    <row r="64" spans="1:15" ht="12.75">
      <c r="A64" s="431" t="s">
        <v>426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7"/>
      <c r="M64" s="187"/>
      <c r="N64" s="187"/>
      <c r="O64" s="187"/>
    </row>
    <row r="65" spans="1:15" ht="12.75">
      <c r="A65" s="431" t="s">
        <v>382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7"/>
      <c r="M65" s="187"/>
      <c r="N65" s="187"/>
      <c r="O65" s="187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7"/>
      <c r="M66" s="187"/>
      <c r="N66" s="187"/>
      <c r="O66" s="187"/>
    </row>
    <row r="67" spans="1:15" ht="12.75">
      <c r="A67" s="431" t="s">
        <v>381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7"/>
      <c r="M67" s="187"/>
      <c r="N67" s="187"/>
      <c r="O67" s="187"/>
    </row>
    <row r="68" spans="1:15" ht="12.75">
      <c r="A68" s="431" t="s">
        <v>383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7"/>
      <c r="M68" s="187"/>
      <c r="N68" s="187"/>
      <c r="O68" s="187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7"/>
      <c r="M69" s="187"/>
      <c r="N69" s="187"/>
      <c r="O69" s="187"/>
    </row>
    <row r="70" spans="1:15" ht="12.75">
      <c r="A70" s="431" t="s">
        <v>427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7"/>
      <c r="M70" s="187"/>
      <c r="N70" s="187"/>
      <c r="O70" s="187"/>
    </row>
    <row r="71" spans="1:15" ht="12.75">
      <c r="A71" s="431" t="s">
        <v>428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7"/>
      <c r="M71" s="187"/>
      <c r="N71" s="187"/>
      <c r="O71" s="187"/>
    </row>
    <row r="72" spans="1:15" ht="12.75">
      <c r="A72" s="431" t="s">
        <v>429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7"/>
      <c r="M72" s="187"/>
      <c r="N72" s="187"/>
      <c r="O72" s="187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7"/>
      <c r="M73" s="187"/>
      <c r="N73" s="187"/>
      <c r="O73" s="187"/>
    </row>
    <row r="74" spans="1:15" ht="12.75" customHeight="1">
      <c r="A74" s="514" t="s">
        <v>457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</row>
    <row r="75" spans="1:15" ht="12.75">
      <c r="A75" s="431" t="s">
        <v>372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7"/>
      <c r="M75" s="187"/>
      <c r="N75" s="187"/>
      <c r="O75" s="187"/>
    </row>
    <row r="76" spans="1:15" ht="12.75">
      <c r="A76" s="187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7"/>
      <c r="M76" s="187"/>
      <c r="N76" s="187"/>
      <c r="O76" s="187"/>
    </row>
    <row r="77" spans="1:15" ht="12.75">
      <c r="A77" s="187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7"/>
      <c r="M77" s="187"/>
      <c r="N77" s="187"/>
      <c r="O77" s="187"/>
    </row>
    <row r="78" spans="1:17" ht="12.75">
      <c r="A78" s="187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7"/>
      <c r="O78" s="187"/>
      <c r="P78" s="187"/>
      <c r="Q78" s="187"/>
    </row>
    <row r="79" spans="1:17" ht="12.75">
      <c r="A79" s="187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7"/>
      <c r="O79" s="187"/>
      <c r="P79" s="187"/>
      <c r="Q79" s="187"/>
    </row>
    <row r="80" spans="1:17" ht="12.75">
      <c r="A80" s="187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7"/>
      <c r="O80" s="187"/>
      <c r="P80" s="187"/>
      <c r="Q80" s="187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7"/>
      <c r="O81" s="187"/>
      <c r="P81" s="187"/>
      <c r="Q81" s="187"/>
    </row>
    <row r="82" spans="1:17" ht="12.75">
      <c r="A82" s="187"/>
      <c r="B82" s="187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7"/>
      <c r="O82" s="187"/>
      <c r="P82" s="187"/>
      <c r="Q82" s="187"/>
    </row>
    <row r="83" spans="1:17" ht="12.75">
      <c r="A83" s="187"/>
      <c r="B83" s="187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7"/>
      <c r="O83" s="187"/>
      <c r="P83" s="187"/>
      <c r="Q83" s="187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7"/>
      <c r="O84" s="187"/>
      <c r="P84" s="187"/>
      <c r="Q84" s="187"/>
    </row>
    <row r="85" spans="1:17" ht="12.75">
      <c r="A85" s="187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7"/>
      <c r="O85" s="187"/>
      <c r="P85" s="187"/>
      <c r="Q85" s="187"/>
    </row>
    <row r="86" spans="1:17" ht="12.75">
      <c r="A86" s="187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7"/>
      <c r="O86" s="187"/>
      <c r="P86" s="187"/>
      <c r="Q86" s="187"/>
    </row>
    <row r="87" spans="1:17" ht="12.75">
      <c r="A87" s="187"/>
      <c r="B87" s="187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7"/>
      <c r="O87" s="187"/>
      <c r="P87" s="187"/>
      <c r="Q87" s="187"/>
    </row>
    <row r="88" spans="1:17" ht="12.75">
      <c r="A88" s="187"/>
      <c r="B88" s="187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7"/>
      <c r="O88" s="187"/>
      <c r="P88" s="187"/>
      <c r="Q88" s="187"/>
    </row>
    <row r="89" spans="1:17" ht="12.75">
      <c r="A89" s="187"/>
      <c r="B89" s="187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7"/>
      <c r="O89" s="187"/>
      <c r="P89" s="187"/>
      <c r="Q89" s="187"/>
    </row>
    <row r="90" spans="1:17" ht="12.75">
      <c r="A90" s="187"/>
      <c r="B90" s="187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7"/>
      <c r="O90" s="187"/>
      <c r="P90" s="187"/>
      <c r="Q90" s="187"/>
    </row>
    <row r="91" spans="1:17" ht="12.75">
      <c r="A91" s="187"/>
      <c r="B91" s="187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7"/>
      <c r="O91" s="187"/>
      <c r="P91" s="187"/>
      <c r="Q91" s="187"/>
    </row>
    <row r="92" spans="1:17" ht="12.75">
      <c r="A92" s="187"/>
      <c r="B92" s="187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</row>
    <row r="93" spans="1:17" ht="12.75">
      <c r="A93" s="187"/>
      <c r="B93" s="187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7">
    <mergeCell ref="A1:E1"/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35433070866141736" right="0.03937007874015748" top="0.7086614173228347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Jackie Scott</cp:lastModifiedBy>
  <cp:lastPrinted>2011-09-27T13:35:15Z</cp:lastPrinted>
  <dcterms:created xsi:type="dcterms:W3CDTF">2001-11-07T16:15:53Z</dcterms:created>
  <dcterms:modified xsi:type="dcterms:W3CDTF">2011-09-28T19:27:45Z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