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2980" windowHeight="9528" activeTab="5"/>
  </bookViews>
  <sheets>
    <sheet name="RATES " sheetId="1" r:id="rId1"/>
    <sheet name="2002 Rate Recoveries" sheetId="2" r:id="rId2"/>
    <sheet name="2003 Rate Recoveries" sheetId="3" r:id="rId3"/>
    <sheet name="2004 Rate Recoveries" sheetId="4" r:id="rId4"/>
    <sheet name="2005 Rate Recoveries" sheetId="5" r:id="rId5"/>
    <sheet name="2006 Rate Recoveries" sheetId="6" r:id="rId6"/>
  </sheets>
  <definedNames>
    <definedName name="_xlnm.Print_Titles" localSheetId="1">'2002 Rate Recoveries'!$1:$1</definedName>
    <definedName name="_xlnm.Print_Titles" localSheetId="2">'2003 Rate Recoveries'!$1:$1</definedName>
    <definedName name="_xlnm.Print_Titles" localSheetId="3">'2004 Rate Recoveries'!$1:$1</definedName>
    <definedName name="_xlnm.Print_Titles" localSheetId="4">'2005 Rate Recoveries'!$1:$1</definedName>
    <definedName name="_xlnm.Print_Titles" localSheetId="5">'2006 Rate Recoveries'!$1:$1</definedName>
  </definedNames>
  <calcPr fullCalcOnLoad="1"/>
</workbook>
</file>

<file path=xl/comments1.xml><?xml version="1.0" encoding="utf-8"?>
<comments xmlns="http://schemas.openxmlformats.org/spreadsheetml/2006/main">
  <authors>
    <author>jackie</author>
  </authors>
  <commentList>
    <comment ref="A2" authorId="0">
      <text>
        <r>
          <rPr>
            <b/>
            <sz val="8"/>
            <rFont val="Tahoma"/>
            <family val="2"/>
          </rPr>
          <t>jackie:</t>
        </r>
        <r>
          <rPr>
            <sz val="8"/>
            <rFont val="Tahoma"/>
            <family val="2"/>
          </rPr>
          <t xml:space="preserve">
Refer to spreadsheet "RAM Application 2002 - Net Approved Rates"</t>
        </r>
      </text>
    </comment>
  </commentList>
</comments>
</file>

<file path=xl/comments2.xml><?xml version="1.0" encoding="utf-8"?>
<comments xmlns="http://schemas.openxmlformats.org/spreadsheetml/2006/main">
  <authors>
    <author>jackie</author>
  </authors>
  <commentList>
    <comment ref="J1" authorId="0">
      <text>
        <r>
          <rPr>
            <b/>
            <sz val="8"/>
            <rFont val="Tahoma"/>
            <family val="2"/>
          </rPr>
          <t>jackie:</t>
        </r>
        <r>
          <rPr>
            <sz val="8"/>
            <rFont val="Tahoma"/>
            <family val="2"/>
          </rPr>
          <t xml:space="preserve">
# connections per manual bills (established periodically by ASI audit)</t>
        </r>
      </text>
    </comment>
    <comment ref="K1" authorId="0">
      <text>
        <r>
          <rPr>
            <b/>
            <sz val="8"/>
            <rFont val="Tahoma"/>
            <family val="2"/>
          </rPr>
          <t>jackie:</t>
        </r>
        <r>
          <rPr>
            <sz val="8"/>
            <rFont val="Tahoma"/>
            <family val="2"/>
          </rPr>
          <t xml:space="preserve">
# connections calculated by dividing Total monthly s/c revenue by $1.64 - rate per connection per month 
</t>
        </r>
      </text>
    </comment>
  </commentList>
</comments>
</file>

<file path=xl/comments3.xml><?xml version="1.0" encoding="utf-8"?>
<comments xmlns="http://schemas.openxmlformats.org/spreadsheetml/2006/main">
  <authors>
    <author>jackie</author>
  </authors>
  <commentList>
    <comment ref="J1" authorId="0">
      <text>
        <r>
          <rPr>
            <b/>
            <sz val="8"/>
            <rFont val="Tahoma"/>
            <family val="2"/>
          </rPr>
          <t>jackie:</t>
        </r>
        <r>
          <rPr>
            <sz val="8"/>
            <rFont val="Tahoma"/>
            <family val="2"/>
          </rPr>
          <t xml:space="preserve">
# connections per manual bills (established periodically by ASI audit)</t>
        </r>
      </text>
    </comment>
    <comment ref="K1" authorId="0">
      <text>
        <r>
          <rPr>
            <b/>
            <sz val="8"/>
            <rFont val="Tahoma"/>
            <family val="2"/>
          </rPr>
          <t>jackie:</t>
        </r>
        <r>
          <rPr>
            <sz val="8"/>
            <rFont val="Tahoma"/>
            <family val="2"/>
          </rPr>
          <t xml:space="preserve">
# connections calculated by dividing Total monthly s/c revenue by $1.64 - rate per connection per month 
</t>
        </r>
      </text>
    </comment>
  </commentList>
</comments>
</file>

<file path=xl/comments4.xml><?xml version="1.0" encoding="utf-8"?>
<comments xmlns="http://schemas.openxmlformats.org/spreadsheetml/2006/main">
  <authors>
    <author>jackie</author>
  </authors>
  <commentList>
    <comment ref="J1" authorId="0">
      <text>
        <r>
          <rPr>
            <b/>
            <sz val="8"/>
            <rFont val="Tahoma"/>
            <family val="2"/>
          </rPr>
          <t>jackie:</t>
        </r>
        <r>
          <rPr>
            <sz val="8"/>
            <rFont val="Tahoma"/>
            <family val="2"/>
          </rPr>
          <t xml:space="preserve">
# connections per manual bills (established periodically by ASI audit)</t>
        </r>
      </text>
    </comment>
    <comment ref="K1" authorId="0">
      <text>
        <r>
          <rPr>
            <b/>
            <sz val="8"/>
            <rFont val="Tahoma"/>
            <family val="2"/>
          </rPr>
          <t>jackie:</t>
        </r>
        <r>
          <rPr>
            <sz val="8"/>
            <rFont val="Tahoma"/>
            <family val="2"/>
          </rPr>
          <t xml:space="preserve">
# connections calculated by dividing Total monthly s/c revenue by $1.64 - rate per connection per month 
</t>
        </r>
      </text>
    </comment>
  </commentList>
</comments>
</file>

<file path=xl/comments5.xml><?xml version="1.0" encoding="utf-8"?>
<comments xmlns="http://schemas.openxmlformats.org/spreadsheetml/2006/main">
  <authors>
    <author>jackie</author>
  </authors>
  <commentList>
    <comment ref="J1" authorId="0">
      <text>
        <r>
          <rPr>
            <b/>
            <sz val="8"/>
            <rFont val="Tahoma"/>
            <family val="2"/>
          </rPr>
          <t>jackie:</t>
        </r>
        <r>
          <rPr>
            <sz val="8"/>
            <rFont val="Tahoma"/>
            <family val="2"/>
          </rPr>
          <t xml:space="preserve">
# connections per manual bills (established periodically by ASI audit)</t>
        </r>
      </text>
    </comment>
    <comment ref="K1" authorId="0">
      <text>
        <r>
          <rPr>
            <b/>
            <sz val="8"/>
            <rFont val="Tahoma"/>
            <family val="2"/>
          </rPr>
          <t>jackie:</t>
        </r>
        <r>
          <rPr>
            <sz val="8"/>
            <rFont val="Tahoma"/>
            <family val="2"/>
          </rPr>
          <t xml:space="preserve">
# connections calculated by dividing Total monthly s/c revenue by $1.64 - rate per connection per month 
</t>
        </r>
      </text>
    </comment>
    <comment ref="L1" authorId="0">
      <text>
        <r>
          <rPr>
            <b/>
            <sz val="8"/>
            <rFont val="Tahoma"/>
            <family val="2"/>
          </rPr>
          <t>jackie:</t>
        </r>
        <r>
          <rPr>
            <sz val="8"/>
            <rFont val="Tahoma"/>
            <family val="2"/>
          </rPr>
          <t xml:space="preserve">
# connections calculated by dividing Total monthly s/c revenue by $1.64 - rate per connection per month 
</t>
        </r>
      </text>
    </comment>
  </commentList>
</comments>
</file>

<file path=xl/comments6.xml><?xml version="1.0" encoding="utf-8"?>
<comments xmlns="http://schemas.openxmlformats.org/spreadsheetml/2006/main">
  <authors>
    <author>jackie</author>
  </authors>
  <commentList>
    <comment ref="J1" authorId="0">
      <text>
        <r>
          <rPr>
            <b/>
            <sz val="8"/>
            <rFont val="Tahoma"/>
            <family val="2"/>
          </rPr>
          <t>jackie:</t>
        </r>
        <r>
          <rPr>
            <sz val="8"/>
            <rFont val="Tahoma"/>
            <family val="2"/>
          </rPr>
          <t xml:space="preserve">
# connections per manual bills (established periodically by ASI audit)</t>
        </r>
      </text>
    </comment>
    <comment ref="K1" authorId="0">
      <text>
        <r>
          <rPr>
            <b/>
            <sz val="8"/>
            <rFont val="Tahoma"/>
            <family val="2"/>
          </rPr>
          <t>jackie:</t>
        </r>
        <r>
          <rPr>
            <sz val="8"/>
            <rFont val="Tahoma"/>
            <family val="2"/>
          </rPr>
          <t xml:space="preserve">
# connections calculated by dividing Total monthly s/c revenue by $1.64 - rate per connection per month 
</t>
        </r>
      </text>
    </comment>
    <comment ref="L1" authorId="0">
      <text>
        <r>
          <rPr>
            <b/>
            <sz val="8"/>
            <rFont val="Tahoma"/>
            <family val="2"/>
          </rPr>
          <t>jackie:</t>
        </r>
        <r>
          <rPr>
            <sz val="8"/>
            <rFont val="Tahoma"/>
            <family val="2"/>
          </rPr>
          <t xml:space="preserve">
# connections calculated by dividing Total monthly s/c revenue by $1.64 - rate per connection per month 
</t>
        </r>
      </text>
    </comment>
  </commentList>
</comments>
</file>

<file path=xl/sharedStrings.xml><?xml version="1.0" encoding="utf-8"?>
<sst xmlns="http://schemas.openxmlformats.org/spreadsheetml/2006/main" count="754" uniqueCount="101">
  <si>
    <t>(per kW)</t>
  </si>
  <si>
    <t>Distribution Volumetric Rate</t>
  </si>
  <si>
    <t>(per connection)</t>
  </si>
  <si>
    <t>Monthly Service Charge</t>
  </si>
  <si>
    <t>Sentinel Lights Urban
Non-TOU</t>
  </si>
  <si>
    <t>Street Lighting Urban
Non-TOU</t>
  </si>
  <si>
    <t>(per month)</t>
  </si>
  <si>
    <t>General Service Urban
Time of Use ( &gt; 50 kW)</t>
  </si>
  <si>
    <t>General Service Suburban
Non-TOU ( &gt; 50 kW)</t>
  </si>
  <si>
    <t>General Service Urban
Non-TOU ( &gt; 50 kW)</t>
  </si>
  <si>
    <t>(per kWh)</t>
  </si>
  <si>
    <t>General Service Suburban
Non-TOU ( &lt; 50 kW)</t>
  </si>
  <si>
    <t>General Service Urban
Non-TOU ( &lt; 50 kW)</t>
  </si>
  <si>
    <t>Residential Suburban</t>
  </si>
  <si>
    <t>Residential Urban</t>
  </si>
  <si>
    <t>PILS
2002</t>
  </si>
  <si>
    <t>PILS
2001</t>
  </si>
  <si>
    <t>Residential
Urban</t>
  </si>
  <si>
    <t>Residential
SubUrban</t>
  </si>
  <si>
    <t>Interval
plus
TOU</t>
  </si>
  <si>
    <t>Street
Lights</t>
  </si>
  <si>
    <t>Sentinel 
Lights</t>
  </si>
  <si>
    <t>TOTAL</t>
  </si>
  <si>
    <t>JANUARY 2003</t>
  </si>
  <si>
    <t># BILLS Issued (I.e. fixed s/c's) / Connections</t>
  </si>
  <si>
    <t>"ACTUAL" kWh  or kW Billed for month</t>
  </si>
  <si>
    <t>PILS - 2001 DEFERRED</t>
  </si>
  <si>
    <t>Fixed</t>
  </si>
  <si>
    <t>Volumetric</t>
  </si>
  <si>
    <t>PILS - 2002 PROXY</t>
  </si>
  <si>
    <t>FEBRUARY 2003</t>
  </si>
  <si>
    <t>MARCH 2003</t>
  </si>
  <si>
    <t>APRIL 2003</t>
  </si>
  <si>
    <t>MAY 2003</t>
  </si>
  <si>
    <t>JUNE 2003</t>
  </si>
  <si>
    <t>JULY 2003</t>
  </si>
  <si>
    <t>AUGUST 2003</t>
  </si>
  <si>
    <t>SEPTEMBER 2003</t>
  </si>
  <si>
    <t>OCTOBER 2003</t>
  </si>
  <si>
    <t>NOVEMBER 2003</t>
  </si>
  <si>
    <t>DECEMBER 2003</t>
  </si>
  <si>
    <t>PILS
2004</t>
  </si>
  <si>
    <t>JANUARY 2004</t>
  </si>
  <si>
    <t>FEBRUARY 2004</t>
  </si>
  <si>
    <t>MARCH 2004</t>
  </si>
  <si>
    <t>APRIL 2004</t>
  </si>
  <si>
    <t>MAY 2004</t>
  </si>
  <si>
    <t>JUNE 2004</t>
  </si>
  <si>
    <t>JULY 2004</t>
  </si>
  <si>
    <t>AUGUST 2004</t>
  </si>
  <si>
    <t>SEPTEMBER 2004</t>
  </si>
  <si>
    <t>OCTOBER 2004</t>
  </si>
  <si>
    <t>NOVEMBER 2004</t>
  </si>
  <si>
    <t>DECEMBER 2004</t>
  </si>
  <si>
    <t>PRE APRIL 1, 2004</t>
  </si>
  <si>
    <t>POST APRIL 1, 2004</t>
  </si>
  <si>
    <t>PILS - 2004 PROXY</t>
  </si>
  <si>
    <t>TOTAL RECOVERIES</t>
  </si>
  <si>
    <t>2003</t>
  </si>
  <si>
    <t>Effective
June 1, 2002</t>
  </si>
  <si>
    <t>Effective
April 1, 2004</t>
  </si>
  <si>
    <t>2004</t>
  </si>
  <si>
    <t>2002</t>
  </si>
  <si>
    <t>JUNE 2002</t>
  </si>
  <si>
    <t>JULY 2002</t>
  </si>
  <si>
    <t>AUGUST 2002</t>
  </si>
  <si>
    <t>SEPTEMBER 2002</t>
  </si>
  <si>
    <t>OCTOBER 2002</t>
  </si>
  <si>
    <t>NOVEMBER 2002</t>
  </si>
  <si>
    <t>DECEMBER 2002</t>
  </si>
  <si>
    <t>2005</t>
  </si>
  <si>
    <t>JANUARY 2005</t>
  </si>
  <si>
    <t>FEBRUARY 2005</t>
  </si>
  <si>
    <t>MARCH 2005</t>
  </si>
  <si>
    <t>APRIL 2005</t>
  </si>
  <si>
    <t>PILS
2005</t>
  </si>
  <si>
    <t>Effective
April 1, 2005</t>
  </si>
  <si>
    <t>POST APRIL 1, 2005.</t>
  </si>
  <si>
    <t>PILS - 2005 PROXY</t>
  </si>
  <si>
    <t>MAY 2005</t>
  </si>
  <si>
    <t>JUNE 2005</t>
  </si>
  <si>
    <t>JULY 2005</t>
  </si>
  <si>
    <t>AUGUST 2005</t>
  </si>
  <si>
    <t>SEPTEMBER 2005</t>
  </si>
  <si>
    <t>OCTOBER 2005</t>
  </si>
  <si>
    <t>NOVEMBER 2005</t>
  </si>
  <si>
    <t>DECEMBER 2005</t>
  </si>
  <si>
    <t>Unmetered Scattered Loads
(same as G/S &lt; 50 kW)</t>
  </si>
  <si>
    <t>2006</t>
  </si>
  <si>
    <t>JANUARY 2006</t>
  </si>
  <si>
    <t>FEBRUARY 2006</t>
  </si>
  <si>
    <t>MARCH 2006</t>
  </si>
  <si>
    <t>APRIL 2006</t>
  </si>
  <si>
    <t>MAY 2006</t>
  </si>
  <si>
    <t>JUNE 2006</t>
  </si>
  <si>
    <t>General Service
&gt;50 kW
Urban</t>
  </si>
  <si>
    <t>General
Service
&lt; 50 kW
Suburban</t>
  </si>
  <si>
    <t>General
Service
&lt; 50 kW
Urban</t>
  </si>
  <si>
    <t>General Service
&gt;50 kW
SubUrban</t>
  </si>
  <si>
    <t>Unmetered
Scattered
Load</t>
  </si>
  <si>
    <t>Sentinel
Lights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</si>
</sst>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0000_);_(&quot;$&quot;* \(#,##0.000000\);_(&quot;$&quot;* &quot;-&quot;??????_);_(@_)"/>
    <numFmt numFmtId="165" formatCode="_(&quot;$&quot;* #,##0.00_);_(&quot;$&quot;* \(#,##0.00\);_(&quot;$&quot;* &quot;-&quot;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17" fontId="5" fillId="0" borderId="0" xfId="0" applyNumberFormat="1" applyFont="1" applyAlignment="1" quotePrefix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34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0" fillId="0" borderId="0" xfId="0" applyAlignment="1">
      <alignment horizontal="left" wrapText="1" indent="1"/>
    </xf>
    <xf numFmtId="165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165" fontId="0" fillId="0" borderId="10" xfId="0" applyNumberFormat="1" applyBorder="1" applyAlignment="1">
      <alignment/>
    </xf>
    <xf numFmtId="3" fontId="0" fillId="33" borderId="0" xfId="0" applyNumberFormat="1" applyFont="1" applyFill="1" applyAlignment="1">
      <alignment/>
    </xf>
    <xf numFmtId="0" fontId="0" fillId="0" borderId="0" xfId="0" applyAlignment="1">
      <alignment horizontal="left" wrapText="1" indent="2"/>
    </xf>
    <xf numFmtId="0" fontId="0" fillId="0" borderId="0" xfId="0" applyAlignment="1">
      <alignment horizontal="left" indent="2"/>
    </xf>
    <xf numFmtId="17" fontId="6" fillId="0" borderId="0" xfId="0" applyNumberFormat="1" applyFont="1" applyAlignment="1" quotePrefix="1">
      <alignment/>
    </xf>
    <xf numFmtId="3" fontId="0" fillId="0" borderId="0" xfId="0" applyNumberFormat="1" applyFill="1" applyAlignment="1">
      <alignment/>
    </xf>
    <xf numFmtId="165" fontId="2" fillId="0" borderId="1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 quotePrefix="1">
      <alignment vertical="center" wrapText="1"/>
    </xf>
    <xf numFmtId="0" fontId="0" fillId="0" borderId="0" xfId="0" applyAlignment="1">
      <alignment vertical="center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wrapText="1"/>
    </xf>
    <xf numFmtId="3" fontId="0" fillId="0" borderId="0" xfId="0" applyNumberFormat="1" applyAlignment="1">
      <alignment vertical="center" wrapText="1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2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4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="75" zoomScaleNormal="75"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7" sqref="E37"/>
    </sheetView>
  </sheetViews>
  <sheetFormatPr defaultColWidth="9.140625" defaultRowHeight="12.75"/>
  <cols>
    <col min="1" max="1" width="30.8515625" style="0" bestFit="1" customWidth="1"/>
    <col min="2" max="2" width="14.421875" style="0" bestFit="1" customWidth="1"/>
    <col min="3" max="4" width="12.57421875" style="1" bestFit="1" customWidth="1"/>
    <col min="5" max="6" width="12.57421875" style="0" bestFit="1" customWidth="1"/>
  </cols>
  <sheetData>
    <row r="1" spans="3:6" s="30" customFormat="1" ht="30.75" customHeight="1">
      <c r="C1" s="31" t="s">
        <v>59</v>
      </c>
      <c r="D1" s="31" t="s">
        <v>59</v>
      </c>
      <c r="E1" s="32" t="s">
        <v>60</v>
      </c>
      <c r="F1" s="32" t="s">
        <v>76</v>
      </c>
    </row>
    <row r="2" spans="3:6" ht="33" customHeight="1">
      <c r="C2" s="33" t="s">
        <v>16</v>
      </c>
      <c r="D2" s="33" t="s">
        <v>15</v>
      </c>
      <c r="E2" s="33" t="s">
        <v>41</v>
      </c>
      <c r="F2" s="33" t="s">
        <v>75</v>
      </c>
    </row>
    <row r="3" spans="1:2" ht="12.75">
      <c r="A3" s="6" t="s">
        <v>14</v>
      </c>
      <c r="B3" s="4"/>
    </row>
    <row r="4" spans="1:4" ht="12.75">
      <c r="A4" t="s">
        <v>3</v>
      </c>
      <c r="B4" s="4" t="s">
        <v>6</v>
      </c>
      <c r="C4" s="1">
        <v>0.4924</v>
      </c>
      <c r="D4" s="1">
        <v>1.6119</v>
      </c>
    </row>
    <row r="5" spans="1:6" ht="12.75">
      <c r="A5" t="s">
        <v>1</v>
      </c>
      <c r="B5" s="4" t="s">
        <v>10</v>
      </c>
      <c r="C5" s="7">
        <v>0.000735</v>
      </c>
      <c r="D5" s="1">
        <v>0.0024</v>
      </c>
      <c r="E5" s="1">
        <v>0.004163</v>
      </c>
      <c r="F5" s="1">
        <v>0.0048</v>
      </c>
    </row>
    <row r="6" ht="12.75">
      <c r="B6" s="4"/>
    </row>
    <row r="7" spans="1:2" ht="12.75">
      <c r="A7" s="6" t="s">
        <v>13</v>
      </c>
      <c r="B7" s="4"/>
    </row>
    <row r="8" spans="1:4" ht="12.75">
      <c r="A8" t="s">
        <v>3</v>
      </c>
      <c r="B8" s="4" t="s">
        <v>6</v>
      </c>
      <c r="C8" s="1">
        <v>0.5495</v>
      </c>
      <c r="D8" s="1">
        <v>1.7986</v>
      </c>
    </row>
    <row r="9" spans="1:6" ht="12.75">
      <c r="A9" t="s">
        <v>1</v>
      </c>
      <c r="B9" s="4" t="s">
        <v>10</v>
      </c>
      <c r="C9" s="1">
        <v>0.000744</v>
      </c>
      <c r="D9" s="1">
        <v>0.0024</v>
      </c>
      <c r="E9" s="1">
        <v>0.003715</v>
      </c>
      <c r="F9" s="1">
        <v>0.0041</v>
      </c>
    </row>
    <row r="10" ht="12.75">
      <c r="B10" s="4"/>
    </row>
    <row r="11" spans="1:2" ht="26.25">
      <c r="A11" s="5" t="s">
        <v>12</v>
      </c>
      <c r="B11" s="4"/>
    </row>
    <row r="12" spans="1:4" ht="12.75">
      <c r="A12" t="s">
        <v>3</v>
      </c>
      <c r="B12" s="4" t="s">
        <v>6</v>
      </c>
      <c r="C12" s="1">
        <v>0.6685</v>
      </c>
      <c r="D12" s="1">
        <v>2.1882</v>
      </c>
    </row>
    <row r="13" spans="1:6" ht="12.75">
      <c r="A13" t="s">
        <v>1</v>
      </c>
      <c r="B13" s="4" t="s">
        <v>10</v>
      </c>
      <c r="C13" s="1">
        <v>0.000687</v>
      </c>
      <c r="D13" s="1">
        <v>0.0022</v>
      </c>
      <c r="E13" s="1">
        <v>0.002943</v>
      </c>
      <c r="F13" s="1">
        <v>0.0032</v>
      </c>
    </row>
    <row r="14" ht="12.75">
      <c r="B14" s="4"/>
    </row>
    <row r="15" spans="1:2" ht="26.25">
      <c r="A15" s="5" t="s">
        <v>11</v>
      </c>
      <c r="B15" s="4"/>
    </row>
    <row r="16" spans="1:4" ht="12.75">
      <c r="A16" t="s">
        <v>3</v>
      </c>
      <c r="B16" s="4" t="s">
        <v>6</v>
      </c>
      <c r="C16" s="1">
        <v>0.8506</v>
      </c>
      <c r="D16" s="1">
        <v>2.7844</v>
      </c>
    </row>
    <row r="17" spans="1:6" ht="12.75">
      <c r="A17" t="s">
        <v>1</v>
      </c>
      <c r="B17" s="4" t="s">
        <v>10</v>
      </c>
      <c r="C17" s="1">
        <v>0.000539</v>
      </c>
      <c r="D17" s="1">
        <v>0.0018</v>
      </c>
      <c r="E17" s="1">
        <v>0.003942</v>
      </c>
      <c r="F17" s="1">
        <v>0.0034</v>
      </c>
    </row>
    <row r="18" ht="12.75">
      <c r="B18" s="4"/>
    </row>
    <row r="19" spans="1:2" ht="26.25">
      <c r="A19" s="5" t="s">
        <v>9</v>
      </c>
      <c r="B19" s="4"/>
    </row>
    <row r="20" spans="1:4" ht="12.75">
      <c r="A20" t="s">
        <v>3</v>
      </c>
      <c r="B20" s="4" t="s">
        <v>6</v>
      </c>
      <c r="C20" s="1">
        <v>1.1684</v>
      </c>
      <c r="D20" s="1">
        <v>3.8248</v>
      </c>
    </row>
    <row r="21" spans="1:6" ht="12.75">
      <c r="A21" t="s">
        <v>1</v>
      </c>
      <c r="B21" s="2" t="s">
        <v>0</v>
      </c>
      <c r="C21" s="1">
        <v>0.125884</v>
      </c>
      <c r="D21" s="1">
        <v>0.4121</v>
      </c>
      <c r="E21" s="1">
        <v>0.612385</v>
      </c>
      <c r="F21" s="1">
        <v>0.6546</v>
      </c>
    </row>
    <row r="22" ht="12.75">
      <c r="B22" s="4"/>
    </row>
    <row r="23" spans="1:2" ht="26.25">
      <c r="A23" s="5" t="s">
        <v>8</v>
      </c>
      <c r="B23" s="4"/>
    </row>
    <row r="24" spans="1:4" ht="12.75">
      <c r="A24" t="s">
        <v>3</v>
      </c>
      <c r="B24" s="4" t="s">
        <v>6</v>
      </c>
      <c r="C24" s="1">
        <v>1.2873</v>
      </c>
      <c r="D24" s="1">
        <v>4.2138</v>
      </c>
    </row>
    <row r="25" spans="1:6" ht="12.75">
      <c r="A25" t="s">
        <v>1</v>
      </c>
      <c r="B25" s="2" t="s">
        <v>0</v>
      </c>
      <c r="C25" s="1">
        <v>0.211637</v>
      </c>
      <c r="D25" s="1">
        <v>0.6928</v>
      </c>
      <c r="E25" s="1">
        <v>0.788579</v>
      </c>
      <c r="F25" s="1">
        <v>0.6961</v>
      </c>
    </row>
    <row r="26" ht="12.75">
      <c r="B26" s="4"/>
    </row>
    <row r="27" spans="1:2" ht="26.25">
      <c r="A27" s="5" t="s">
        <v>7</v>
      </c>
      <c r="B27" s="4"/>
    </row>
    <row r="28" spans="1:4" ht="12.75">
      <c r="A28" t="s">
        <v>3</v>
      </c>
      <c r="B28" s="4" t="s">
        <v>6</v>
      </c>
      <c r="C28" s="1">
        <v>0.1049</v>
      </c>
      <c r="D28" s="1">
        <v>0.3433</v>
      </c>
    </row>
    <row r="29" spans="1:6" ht="12.75">
      <c r="A29" t="s">
        <v>1</v>
      </c>
      <c r="B29" s="2" t="s">
        <v>0</v>
      </c>
      <c r="C29" s="1">
        <v>0.012643</v>
      </c>
      <c r="D29" s="1">
        <v>0.0414</v>
      </c>
      <c r="E29" s="1">
        <v>0.127674</v>
      </c>
      <c r="F29" s="1">
        <v>0.0977</v>
      </c>
    </row>
    <row r="30" ht="12.75">
      <c r="B30" s="4"/>
    </row>
    <row r="31" spans="1:2" ht="26.25">
      <c r="A31" s="5" t="s">
        <v>5</v>
      </c>
      <c r="B31" s="4"/>
    </row>
    <row r="32" spans="1:4" ht="12.75">
      <c r="A32" t="s">
        <v>3</v>
      </c>
      <c r="B32" s="3" t="s">
        <v>2</v>
      </c>
      <c r="C32" s="1">
        <v>0.0276</v>
      </c>
      <c r="D32" s="1">
        <v>0.0904</v>
      </c>
    </row>
    <row r="33" spans="1:6" ht="12.75">
      <c r="A33" t="s">
        <v>1</v>
      </c>
      <c r="B33" s="2" t="s">
        <v>0</v>
      </c>
      <c r="C33" s="1">
        <v>0.043061</v>
      </c>
      <c r="D33" s="1">
        <v>0.141</v>
      </c>
      <c r="E33" s="1">
        <v>0.956907</v>
      </c>
      <c r="F33" s="1">
        <v>1.1404</v>
      </c>
    </row>
    <row r="34" ht="12.75">
      <c r="B34" s="4"/>
    </row>
    <row r="35" spans="1:2" ht="26.25">
      <c r="A35" s="5" t="s">
        <v>4</v>
      </c>
      <c r="B35" s="4"/>
    </row>
    <row r="36" spans="1:4" ht="12.75">
      <c r="A36" t="s">
        <v>3</v>
      </c>
      <c r="B36" s="3" t="s">
        <v>2</v>
      </c>
      <c r="C36" s="1">
        <v>0.0906</v>
      </c>
      <c r="D36" s="1">
        <v>0.2966</v>
      </c>
    </row>
    <row r="37" spans="1:6" ht="12.75">
      <c r="A37" t="s">
        <v>1</v>
      </c>
      <c r="B37" s="2" t="s">
        <v>0</v>
      </c>
      <c r="C37" s="1">
        <v>0.097259</v>
      </c>
      <c r="D37" s="1">
        <v>0.3184</v>
      </c>
      <c r="E37" s="1">
        <v>2.711774</v>
      </c>
      <c r="F37" s="1">
        <v>1.5905</v>
      </c>
    </row>
    <row r="39" ht="26.25">
      <c r="A39" s="5" t="s">
        <v>87</v>
      </c>
    </row>
    <row r="40" spans="1:6" ht="12.75">
      <c r="A40" t="s">
        <v>3</v>
      </c>
      <c r="E40" s="1">
        <f>E13</f>
        <v>0.002943</v>
      </c>
      <c r="F40" s="1">
        <f>F13</f>
        <v>0.0032</v>
      </c>
    </row>
    <row r="41" ht="12.75">
      <c r="A41" t="s">
        <v>1</v>
      </c>
    </row>
  </sheetData>
  <sheetProtection/>
  <printOptions gridLines="1" horizontalCentered="1"/>
  <pageMargins left="0.5511811023622047" right="0.35433070866141736" top="0.984251968503937" bottom="0.984251968503937" header="0.5118110236220472" footer="0.5118110236220472"/>
  <pageSetup horizontalDpi="600" verticalDpi="600" orientation="portrait" r:id="rId3"/>
  <headerFooter alignWithMargins="0">
    <oddFooter>&amp;LHaldimand County Hydro Inc.
Page &amp;P of &amp;N&amp;C&amp;"Arial,Bold"&amp;F
&amp;A&amp;RJ. Scott 
September 29, 2011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="60" zoomScaleNormal="75" zoomScalePageLayoutView="0" workbookViewId="0" topLeftCell="A1">
      <pane xSplit="2" ySplit="1" topLeftCell="C2" activePane="bottomRight" state="frozen"/>
      <selection pane="topLeft" activeCell="L184" sqref="L184"/>
      <selection pane="topRight" activeCell="L184" sqref="L184"/>
      <selection pane="bottomLeft" activeCell="L184" sqref="L184"/>
      <selection pane="bottomRight" activeCell="C1" sqref="C1:L1"/>
    </sheetView>
  </sheetViews>
  <sheetFormatPr defaultColWidth="9.140625" defaultRowHeight="12.75"/>
  <cols>
    <col min="1" max="1" width="39.140625" style="0" bestFit="1" customWidth="1"/>
    <col min="2" max="2" width="9.7109375" style="14" customWidth="1"/>
    <col min="3" max="3" width="14.140625" style="0" bestFit="1" customWidth="1"/>
    <col min="4" max="4" width="12.57421875" style="0" bestFit="1" customWidth="1"/>
    <col min="5" max="5" width="11.57421875" style="0" bestFit="1" customWidth="1"/>
    <col min="6" max="6" width="12.00390625" style="0" bestFit="1" customWidth="1"/>
    <col min="7" max="7" width="11.7109375" style="0" customWidth="1"/>
    <col min="8" max="9" width="11.28125" style="0" bestFit="1" customWidth="1"/>
    <col min="10" max="10" width="10.8515625" style="0" bestFit="1" customWidth="1"/>
    <col min="11" max="11" width="16.421875" style="0" customWidth="1"/>
    <col min="12" max="12" width="16.00390625" style="6" bestFit="1" customWidth="1"/>
  </cols>
  <sheetData>
    <row r="1" spans="1:12" s="30" customFormat="1" ht="51">
      <c r="A1" s="29" t="s">
        <v>62</v>
      </c>
      <c r="B1" s="34"/>
      <c r="C1" s="32" t="s">
        <v>17</v>
      </c>
      <c r="D1" s="32" t="s">
        <v>18</v>
      </c>
      <c r="E1" s="32" t="s">
        <v>97</v>
      </c>
      <c r="F1" s="32" t="s">
        <v>96</v>
      </c>
      <c r="G1" s="32" t="s">
        <v>95</v>
      </c>
      <c r="H1" s="32" t="s">
        <v>98</v>
      </c>
      <c r="I1" s="32" t="s">
        <v>19</v>
      </c>
      <c r="J1" s="32" t="s">
        <v>20</v>
      </c>
      <c r="K1" s="32" t="s">
        <v>21</v>
      </c>
      <c r="L1" s="32" t="s">
        <v>22</v>
      </c>
    </row>
    <row r="2" spans="1:12" ht="12.75">
      <c r="A2" s="8"/>
      <c r="B2" s="9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10" t="s">
        <v>63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35"/>
    </row>
    <row r="4" spans="1:12" ht="12.75">
      <c r="A4" s="13" t="s">
        <v>24</v>
      </c>
      <c r="C4" s="14">
        <v>3708</v>
      </c>
      <c r="D4" s="14">
        <v>2198</v>
      </c>
      <c r="E4" s="14">
        <v>271</v>
      </c>
      <c r="F4" s="14">
        <v>313</v>
      </c>
      <c r="G4" s="14">
        <v>18</v>
      </c>
      <c r="H4" s="14">
        <v>38</v>
      </c>
      <c r="I4" s="14">
        <v>0</v>
      </c>
      <c r="J4" s="15">
        <v>0</v>
      </c>
      <c r="K4" s="15">
        <v>242</v>
      </c>
      <c r="L4" s="36"/>
    </row>
    <row r="5" spans="1:12" ht="12.75">
      <c r="A5" s="13" t="s">
        <v>25</v>
      </c>
      <c r="C5" s="14">
        <v>4657493</v>
      </c>
      <c r="D5" s="14">
        <v>4399762</v>
      </c>
      <c r="E5" s="14">
        <v>1078520</v>
      </c>
      <c r="F5" s="14">
        <v>1452596</v>
      </c>
      <c r="G5" s="22">
        <v>2324</v>
      </c>
      <c r="H5" s="22">
        <v>5867</v>
      </c>
      <c r="I5" s="22">
        <v>59038</v>
      </c>
      <c r="J5" s="22">
        <v>0</v>
      </c>
      <c r="K5" s="22">
        <v>76</v>
      </c>
      <c r="L5" s="36"/>
    </row>
    <row r="6" spans="1:3" ht="12.75">
      <c r="A6" s="8"/>
      <c r="C6" s="14"/>
    </row>
    <row r="7" spans="1:12" ht="12.75">
      <c r="A7" s="17" t="s">
        <v>26</v>
      </c>
      <c r="B7" s="14" t="s">
        <v>27</v>
      </c>
      <c r="C7" s="18">
        <f>C4*'RATES '!$C$4</f>
        <v>1825.8192</v>
      </c>
      <c r="D7" s="18">
        <f>D4*'RATES '!$C$8</f>
        <v>1207.801</v>
      </c>
      <c r="E7" s="18">
        <f>E4*'RATES '!$C$12</f>
        <v>181.1635</v>
      </c>
      <c r="F7" s="18">
        <f>F4*'RATES '!$C$16</f>
        <v>266.2378</v>
      </c>
      <c r="G7" s="18">
        <f>G4*'RATES '!$C$20</f>
        <v>21.031200000000002</v>
      </c>
      <c r="H7" s="18">
        <f>H4*'RATES '!$C$24</f>
        <v>48.9174</v>
      </c>
      <c r="I7" s="18">
        <f>I4*'RATES '!$C$28</f>
        <v>0</v>
      </c>
      <c r="J7" s="18">
        <f>J4*'RATES '!$C$32</f>
        <v>0</v>
      </c>
      <c r="K7" s="18">
        <f>K4*'RATES '!$C$36</f>
        <v>21.9252</v>
      </c>
      <c r="L7" s="37">
        <f>SUM(C7:K7)</f>
        <v>3572.8952999999997</v>
      </c>
    </row>
    <row r="8" spans="1:12" ht="12.75">
      <c r="A8" s="19"/>
      <c r="B8" s="14" t="s">
        <v>28</v>
      </c>
      <c r="C8" s="18">
        <f>C5*'RATES '!$C$5</f>
        <v>3423.2573549999997</v>
      </c>
      <c r="D8" s="18">
        <f>D5*'RATES '!$C$9</f>
        <v>3273.422928</v>
      </c>
      <c r="E8" s="18">
        <f>E5*'RATES '!$C$13</f>
        <v>740.94324</v>
      </c>
      <c r="F8" s="18">
        <f>F5*'RATES '!$C$17</f>
        <v>782.949244</v>
      </c>
      <c r="G8" s="18">
        <f>G5*'RATES '!$C$21</f>
        <v>292.554416</v>
      </c>
      <c r="H8" s="18">
        <f>H5*'RATES '!$C$25</f>
        <v>1241.6742789999998</v>
      </c>
      <c r="I8" s="18">
        <f>I5*'RATES '!$C$29</f>
        <v>746.417434</v>
      </c>
      <c r="J8" s="18">
        <f>J5*'RATES '!$C$33</f>
        <v>0</v>
      </c>
      <c r="K8" s="18">
        <f>K5*'RATES '!$C$37</f>
        <v>7.391684</v>
      </c>
      <c r="L8" s="37">
        <f>SUM(C8:K8)</f>
        <v>10508.610579999999</v>
      </c>
    </row>
    <row r="9" ht="12.75">
      <c r="A9" s="20"/>
    </row>
    <row r="10" spans="1:12" ht="12.75">
      <c r="A10" s="17" t="s">
        <v>29</v>
      </c>
      <c r="B10" s="14" t="s">
        <v>27</v>
      </c>
      <c r="C10" s="18">
        <f>C4*'RATES '!$D$4</f>
        <v>5976.925200000001</v>
      </c>
      <c r="D10" s="18">
        <f>D4*'RATES '!$D$8</f>
        <v>3953.3228</v>
      </c>
      <c r="E10" s="18">
        <f>E4*'RATES '!$D$12</f>
        <v>593.0022</v>
      </c>
      <c r="F10" s="18">
        <f>F4*'RATES '!$D$16</f>
        <v>871.5172000000001</v>
      </c>
      <c r="G10" s="18">
        <f>G4*'RATES '!$D$20</f>
        <v>68.8464</v>
      </c>
      <c r="H10" s="18">
        <f>H4*'RATES '!$D$24</f>
        <v>160.1244</v>
      </c>
      <c r="I10" s="18">
        <f>I4*'RATES '!$D$28</f>
        <v>0</v>
      </c>
      <c r="J10" s="18">
        <f>J4*'RATES '!$D$32</f>
        <v>0</v>
      </c>
      <c r="K10" s="18">
        <f>K4*'RATES '!$D$36</f>
        <v>71.7772</v>
      </c>
      <c r="L10" s="37">
        <f>SUM(C10:K10)</f>
        <v>11695.515400000002</v>
      </c>
    </row>
    <row r="11" spans="1:12" ht="12.75">
      <c r="A11" s="17"/>
      <c r="B11" s="14" t="s">
        <v>28</v>
      </c>
      <c r="C11" s="18">
        <f>C5*'RATES '!$D$5</f>
        <v>11177.983199999999</v>
      </c>
      <c r="D11" s="18">
        <f>D5*'RATES '!$D$9</f>
        <v>10559.4288</v>
      </c>
      <c r="E11" s="18">
        <f>E5*'RATES '!$D$13</f>
        <v>2372.744</v>
      </c>
      <c r="F11" s="18">
        <f>F5*'RATES '!$D$17</f>
        <v>2614.6728</v>
      </c>
      <c r="G11" s="18">
        <f>G5*'RATES '!$D$21</f>
        <v>957.7204</v>
      </c>
      <c r="H11" s="18">
        <f>H5*'RATES '!$D$25</f>
        <v>4064.6576</v>
      </c>
      <c r="I11" s="18">
        <f>I5*'RATES '!$D$29</f>
        <v>2444.1732</v>
      </c>
      <c r="J11" s="18">
        <f>J5*'RATES '!$D$33</f>
        <v>0</v>
      </c>
      <c r="K11" s="18">
        <f>K5*'RATES '!$D$37</f>
        <v>24.1984</v>
      </c>
      <c r="L11" s="37">
        <f>SUM(C11:K11)</f>
        <v>34215.57839999999</v>
      </c>
    </row>
    <row r="12" spans="1:12" ht="12.75">
      <c r="A12" s="8"/>
      <c r="C12" s="18"/>
      <c r="D12" s="18"/>
      <c r="E12" s="18"/>
      <c r="F12" s="18"/>
      <c r="G12" s="18"/>
      <c r="H12" s="18"/>
      <c r="I12" s="18"/>
      <c r="J12" s="18"/>
      <c r="K12" s="18"/>
      <c r="L12" s="37"/>
    </row>
    <row r="13" spans="3:12" ht="12.75">
      <c r="C13" s="21">
        <f aca="true" t="shared" si="0" ref="C13:K13">SUM(C7:C11)</f>
        <v>22403.984955</v>
      </c>
      <c r="D13" s="21">
        <f t="shared" si="0"/>
        <v>18993.975528</v>
      </c>
      <c r="E13" s="21">
        <f t="shared" si="0"/>
        <v>3887.85294</v>
      </c>
      <c r="F13" s="21">
        <f t="shared" si="0"/>
        <v>4535.377044</v>
      </c>
      <c r="G13" s="21">
        <f t="shared" si="0"/>
        <v>1340.1524160000001</v>
      </c>
      <c r="H13" s="21">
        <f t="shared" si="0"/>
        <v>5515.373679</v>
      </c>
      <c r="I13" s="21">
        <f t="shared" si="0"/>
        <v>3190.590634</v>
      </c>
      <c r="J13" s="21">
        <f t="shared" si="0"/>
        <v>0</v>
      </c>
      <c r="K13" s="21">
        <f t="shared" si="0"/>
        <v>125.292484</v>
      </c>
      <c r="L13" s="38">
        <f>SUM(L7:L11)-0.17</f>
        <v>59992.429679999994</v>
      </c>
    </row>
    <row r="15" spans="1:12" ht="15">
      <c r="A15" s="10" t="s">
        <v>64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35"/>
    </row>
    <row r="16" spans="1:12" ht="12.75">
      <c r="A16" s="13" t="s">
        <v>24</v>
      </c>
      <c r="C16" s="14">
        <v>11750</v>
      </c>
      <c r="D16" s="14">
        <v>4105</v>
      </c>
      <c r="E16" s="14">
        <v>1042</v>
      </c>
      <c r="F16" s="14">
        <v>1189</v>
      </c>
      <c r="G16" s="14">
        <v>86</v>
      </c>
      <c r="H16" s="14">
        <v>64</v>
      </c>
      <c r="I16" s="14">
        <v>19</v>
      </c>
      <c r="J16" s="15">
        <v>0</v>
      </c>
      <c r="K16" s="15">
        <v>714</v>
      </c>
      <c r="L16" s="36"/>
    </row>
    <row r="17" spans="1:12" ht="12.75">
      <c r="A17" s="13" t="s">
        <v>25</v>
      </c>
      <c r="C17" s="14">
        <v>9847298</v>
      </c>
      <c r="D17" s="14">
        <v>7389109</v>
      </c>
      <c r="E17" s="14">
        <v>2326860</v>
      </c>
      <c r="F17" s="14">
        <v>2720313</v>
      </c>
      <c r="G17" s="22">
        <v>6688</v>
      </c>
      <c r="H17" s="22">
        <v>6723</v>
      </c>
      <c r="I17" s="22">
        <v>61035</v>
      </c>
      <c r="J17" s="22">
        <v>0</v>
      </c>
      <c r="K17" s="22">
        <v>142</v>
      </c>
      <c r="L17" s="36"/>
    </row>
    <row r="18" spans="1:3" ht="12.75">
      <c r="A18" s="8"/>
      <c r="C18" s="14"/>
    </row>
    <row r="19" spans="1:12" ht="12.75">
      <c r="A19" s="17" t="s">
        <v>26</v>
      </c>
      <c r="B19" s="14" t="s">
        <v>27</v>
      </c>
      <c r="C19" s="18">
        <f>C16*'RATES '!$C$4</f>
        <v>5785.7</v>
      </c>
      <c r="D19" s="18">
        <f>D16*'RATES '!$C$8</f>
        <v>2255.6974999999998</v>
      </c>
      <c r="E19" s="18">
        <f>E16*'RATES '!$C$12</f>
        <v>696.577</v>
      </c>
      <c r="F19" s="18">
        <f>F16*'RATES '!$C$16</f>
        <v>1011.3634000000001</v>
      </c>
      <c r="G19" s="18">
        <f>G16*'RATES '!$C$20</f>
        <v>100.48240000000001</v>
      </c>
      <c r="H19" s="18">
        <f>H16*'RATES '!$C$24</f>
        <v>82.3872</v>
      </c>
      <c r="I19" s="18">
        <f>I16*'RATES '!$C$28</f>
        <v>1.9930999999999999</v>
      </c>
      <c r="J19" s="18">
        <f>J16*'RATES '!$C$32</f>
        <v>0</v>
      </c>
      <c r="K19" s="18">
        <f>K16*'RATES '!$C$36</f>
        <v>64.6884</v>
      </c>
      <c r="L19" s="37">
        <f>SUM(C19:K19)</f>
        <v>9998.889</v>
      </c>
    </row>
    <row r="20" spans="1:12" ht="12.75">
      <c r="A20" s="19"/>
      <c r="B20" s="14" t="s">
        <v>28</v>
      </c>
      <c r="C20" s="18">
        <f>C17*'RATES '!$C$5</f>
        <v>7237.764029999999</v>
      </c>
      <c r="D20" s="18">
        <f>D17*'RATES '!$C$9</f>
        <v>5497.497096</v>
      </c>
      <c r="E20" s="18">
        <f>E17*'RATES '!$C$13</f>
        <v>1598.55282</v>
      </c>
      <c r="F20" s="18">
        <f>F17*'RATES '!$C$17</f>
        <v>1466.248707</v>
      </c>
      <c r="G20" s="18">
        <f>G17*'RATES '!$C$21</f>
        <v>841.912192</v>
      </c>
      <c r="H20" s="18">
        <f>H17*'RATES '!$C$25</f>
        <v>1422.835551</v>
      </c>
      <c r="I20" s="18">
        <f>I17*'RATES '!$C$29</f>
        <v>771.6655049999999</v>
      </c>
      <c r="J20" s="18">
        <f>J17*'RATES '!$C$33</f>
        <v>0</v>
      </c>
      <c r="K20" s="18">
        <f>K17*'RATES '!$C$37</f>
        <v>13.810777999999999</v>
      </c>
      <c r="L20" s="37">
        <f>SUM(C20:K20)</f>
        <v>18850.286679</v>
      </c>
    </row>
    <row r="21" ht="12.75">
      <c r="A21" s="20"/>
    </row>
    <row r="22" spans="1:12" ht="12.75">
      <c r="A22" s="17" t="s">
        <v>29</v>
      </c>
      <c r="B22" s="14" t="s">
        <v>27</v>
      </c>
      <c r="C22" s="18">
        <f>C16*'RATES '!$D$4</f>
        <v>18939.825</v>
      </c>
      <c r="D22" s="18">
        <f>D16*'RATES '!$D$8</f>
        <v>7383.253</v>
      </c>
      <c r="E22" s="18">
        <f>E16*'RATES '!$D$12</f>
        <v>2280.1044</v>
      </c>
      <c r="F22" s="18">
        <f>F16*'RATES '!$D$16</f>
        <v>3310.6516</v>
      </c>
      <c r="G22" s="18">
        <f>G16*'RATES '!$D$20</f>
        <v>328.93280000000004</v>
      </c>
      <c r="H22" s="18">
        <f>H16*'RATES '!$D$24</f>
        <v>269.6832</v>
      </c>
      <c r="I22" s="18">
        <f>I16*'RATES '!$D$28</f>
        <v>6.5226999999999995</v>
      </c>
      <c r="J22" s="18">
        <f>J16*'RATES '!$D$32</f>
        <v>0</v>
      </c>
      <c r="K22" s="18">
        <f>K16*'RATES '!$D$36</f>
        <v>211.77239999999998</v>
      </c>
      <c r="L22" s="37">
        <f>SUM(C22:K22)</f>
        <v>32730.745100000004</v>
      </c>
    </row>
    <row r="23" spans="1:12" ht="12.75">
      <c r="A23" s="17"/>
      <c r="B23" s="14" t="s">
        <v>28</v>
      </c>
      <c r="C23" s="18">
        <f>C17*'RATES '!$D$5</f>
        <v>23633.515199999998</v>
      </c>
      <c r="D23" s="18">
        <f>D17*'RATES '!$D$9</f>
        <v>17733.8616</v>
      </c>
      <c r="E23" s="18">
        <f>E17*'RATES '!$D$13</f>
        <v>5119.092000000001</v>
      </c>
      <c r="F23" s="18">
        <f>F17*'RATES '!$D$17</f>
        <v>4896.5634</v>
      </c>
      <c r="G23" s="18">
        <f>G17*'RATES '!$D$21</f>
        <v>2756.1248</v>
      </c>
      <c r="H23" s="18">
        <f>H17*'RATES '!$D$25</f>
        <v>4657.694399999999</v>
      </c>
      <c r="I23" s="18">
        <f>I17*'RATES '!$D$29</f>
        <v>2526.849</v>
      </c>
      <c r="J23" s="18">
        <f>J17*'RATES '!$D$33</f>
        <v>0</v>
      </c>
      <c r="K23" s="18">
        <f>K17*'RATES '!$D$37</f>
        <v>45.2128</v>
      </c>
      <c r="L23" s="37">
        <f>SUM(C23:K23)</f>
        <v>61368.9132</v>
      </c>
    </row>
    <row r="24" spans="1:12" ht="12.75">
      <c r="A24" s="8"/>
      <c r="C24" s="18"/>
      <c r="D24" s="18"/>
      <c r="E24" s="18"/>
      <c r="F24" s="18"/>
      <c r="G24" s="18"/>
      <c r="H24" s="18"/>
      <c r="I24" s="18"/>
      <c r="J24" s="18"/>
      <c r="K24" s="18"/>
      <c r="L24" s="37"/>
    </row>
    <row r="25" spans="3:12" ht="12.75">
      <c r="C25" s="21">
        <f aca="true" t="shared" si="1" ref="C25:K25">SUM(C19:C23)</f>
        <v>55596.804229999994</v>
      </c>
      <c r="D25" s="21">
        <f t="shared" si="1"/>
        <v>32870.309196</v>
      </c>
      <c r="E25" s="21">
        <f t="shared" si="1"/>
        <v>9694.32622</v>
      </c>
      <c r="F25" s="21">
        <f t="shared" si="1"/>
        <v>10684.827107000001</v>
      </c>
      <c r="G25" s="21">
        <f t="shared" si="1"/>
        <v>4027.452192</v>
      </c>
      <c r="H25" s="21">
        <f t="shared" si="1"/>
        <v>6432.600350999999</v>
      </c>
      <c r="I25" s="21">
        <f t="shared" si="1"/>
        <v>3307.030305</v>
      </c>
      <c r="J25" s="21">
        <f t="shared" si="1"/>
        <v>0</v>
      </c>
      <c r="K25" s="21">
        <f t="shared" si="1"/>
        <v>335.484378</v>
      </c>
      <c r="L25" s="38">
        <f>SUM(L19:L23)-0.06</f>
        <v>122948.77397900002</v>
      </c>
    </row>
    <row r="27" spans="1:12" ht="15">
      <c r="A27" s="10" t="s">
        <v>65</v>
      </c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35"/>
    </row>
    <row r="28" spans="1:12" ht="12.75">
      <c r="A28" s="13" t="s">
        <v>24</v>
      </c>
      <c r="C28" s="14">
        <v>11402</v>
      </c>
      <c r="D28" s="14">
        <v>6334</v>
      </c>
      <c r="E28" s="14">
        <v>937</v>
      </c>
      <c r="F28" s="14">
        <v>1447</v>
      </c>
      <c r="G28" s="14">
        <v>83</v>
      </c>
      <c r="H28" s="14">
        <v>81</v>
      </c>
      <c r="I28" s="14">
        <v>54</v>
      </c>
      <c r="J28" s="15">
        <v>0</v>
      </c>
      <c r="K28" s="15">
        <v>912</v>
      </c>
      <c r="L28" s="36"/>
    </row>
    <row r="29" spans="1:12" ht="12.75">
      <c r="A29" s="13" t="s">
        <v>25</v>
      </c>
      <c r="C29" s="14">
        <v>9129769</v>
      </c>
      <c r="D29" s="14">
        <v>7078491</v>
      </c>
      <c r="E29" s="14">
        <v>2141288</v>
      </c>
      <c r="F29" s="14">
        <v>2619174</v>
      </c>
      <c r="G29" s="22">
        <v>7077</v>
      </c>
      <c r="H29" s="22">
        <v>6333</v>
      </c>
      <c r="I29" s="22">
        <v>46187</v>
      </c>
      <c r="J29" s="22">
        <v>0</v>
      </c>
      <c r="K29" s="22">
        <v>134</v>
      </c>
      <c r="L29" s="36"/>
    </row>
    <row r="30" spans="1:3" ht="12.75">
      <c r="A30" s="8"/>
      <c r="C30" s="14"/>
    </row>
    <row r="31" spans="1:12" ht="12.75">
      <c r="A31" s="17" t="s">
        <v>26</v>
      </c>
      <c r="B31" s="14" t="s">
        <v>27</v>
      </c>
      <c r="C31" s="18">
        <f>C28*'RATES '!$C$4</f>
        <v>5614.3448</v>
      </c>
      <c r="D31" s="18">
        <f>D28*'RATES '!$C$8</f>
        <v>3480.533</v>
      </c>
      <c r="E31" s="18">
        <f>E28*'RATES '!$C$12</f>
        <v>626.3845</v>
      </c>
      <c r="F31" s="18">
        <f>F28*'RATES '!$C$16</f>
        <v>1230.8182</v>
      </c>
      <c r="G31" s="18">
        <f>G28*'RATES '!$C$20</f>
        <v>96.97720000000001</v>
      </c>
      <c r="H31" s="18">
        <f>H28*'RATES '!$C$24</f>
        <v>104.27130000000001</v>
      </c>
      <c r="I31" s="18">
        <f>I28*'RATES '!$C$28</f>
        <v>5.6646</v>
      </c>
      <c r="J31" s="18">
        <f>J28*'RATES '!$C$32</f>
        <v>0</v>
      </c>
      <c r="K31" s="18">
        <f>K28*'RATES '!$C$36</f>
        <v>82.6272</v>
      </c>
      <c r="L31" s="37">
        <f>SUM(C31:K31)</f>
        <v>11241.6208</v>
      </c>
    </row>
    <row r="32" spans="1:12" ht="12.75">
      <c r="A32" s="19"/>
      <c r="B32" s="14" t="s">
        <v>28</v>
      </c>
      <c r="C32" s="18">
        <f>C29*'RATES '!$C$5</f>
        <v>6710.380215</v>
      </c>
      <c r="D32" s="18">
        <f>D29*'RATES '!$C$9</f>
        <v>5266.397304</v>
      </c>
      <c r="E32" s="18">
        <f>E29*'RATES '!$C$13</f>
        <v>1471.064856</v>
      </c>
      <c r="F32" s="18">
        <f>F29*'RATES '!$C$17</f>
        <v>1411.734786</v>
      </c>
      <c r="G32" s="18">
        <f>G29*'RATES '!$C$21</f>
        <v>890.881068</v>
      </c>
      <c r="H32" s="18">
        <f>H29*'RATES '!$C$25</f>
        <v>1340.297121</v>
      </c>
      <c r="I32" s="18">
        <f>I29*'RATES '!$C$29</f>
        <v>583.942241</v>
      </c>
      <c r="J32" s="18">
        <f>J29*'RATES '!$C$33</f>
        <v>0</v>
      </c>
      <c r="K32" s="18">
        <f>K29*'RATES '!$C$37</f>
        <v>13.032706</v>
      </c>
      <c r="L32" s="37">
        <f>SUM(C32:K32)</f>
        <v>17687.730297000006</v>
      </c>
    </row>
    <row r="33" ht="12.75">
      <c r="A33" s="20"/>
    </row>
    <row r="34" spans="1:12" ht="12.75">
      <c r="A34" s="17" t="s">
        <v>29</v>
      </c>
      <c r="B34" s="14" t="s">
        <v>27</v>
      </c>
      <c r="C34" s="18">
        <f>C28*'RATES '!$D$4</f>
        <v>18378.8838</v>
      </c>
      <c r="D34" s="18">
        <f>D28*'RATES '!$D$8</f>
        <v>11392.3324</v>
      </c>
      <c r="E34" s="18">
        <f>E28*'RATES '!$D$12</f>
        <v>2050.3434</v>
      </c>
      <c r="F34" s="18">
        <f>F28*'RATES '!$D$16</f>
        <v>4029.0268</v>
      </c>
      <c r="G34" s="18">
        <f>G28*'RATES '!$D$20</f>
        <v>317.45840000000004</v>
      </c>
      <c r="H34" s="18">
        <f>H28*'RATES '!$D$24</f>
        <v>341.3178</v>
      </c>
      <c r="I34" s="18">
        <f>I28*'RATES '!$D$28</f>
        <v>18.5382</v>
      </c>
      <c r="J34" s="18">
        <f>J28*'RATES '!$D$32</f>
        <v>0</v>
      </c>
      <c r="K34" s="18">
        <f>K28*'RATES '!$D$36</f>
        <v>270.4992</v>
      </c>
      <c r="L34" s="37">
        <f>SUM(C34:K34)</f>
        <v>36798.4</v>
      </c>
    </row>
    <row r="35" spans="1:12" ht="12.75">
      <c r="A35" s="17"/>
      <c r="B35" s="14" t="s">
        <v>28</v>
      </c>
      <c r="C35" s="18">
        <f>C29*'RATES '!$D$5</f>
        <v>21911.4456</v>
      </c>
      <c r="D35" s="18">
        <f>D29*'RATES '!$D$9</f>
        <v>16988.378399999998</v>
      </c>
      <c r="E35" s="18">
        <f>E29*'RATES '!$D$13</f>
        <v>4710.8336</v>
      </c>
      <c r="F35" s="18">
        <f>F29*'RATES '!$D$17</f>
        <v>4714.5132</v>
      </c>
      <c r="G35" s="18">
        <f>G29*'RATES '!$D$21</f>
        <v>2916.4317</v>
      </c>
      <c r="H35" s="18">
        <f>H29*'RATES '!$D$25</f>
        <v>4387.502399999999</v>
      </c>
      <c r="I35" s="18">
        <f>I29*'RATES '!$D$29</f>
        <v>1912.1417999999999</v>
      </c>
      <c r="J35" s="18">
        <f>J29*'RATES '!$D$33</f>
        <v>0</v>
      </c>
      <c r="K35" s="18">
        <f>K29*'RATES '!$D$37</f>
        <v>42.665600000000005</v>
      </c>
      <c r="L35" s="37">
        <f>SUM(C35:K35)</f>
        <v>57583.91229999999</v>
      </c>
    </row>
    <row r="36" spans="1:12" ht="12.75">
      <c r="A36" s="8"/>
      <c r="C36" s="18"/>
      <c r="D36" s="18"/>
      <c r="E36" s="18"/>
      <c r="F36" s="18"/>
      <c r="G36" s="18"/>
      <c r="H36" s="18"/>
      <c r="I36" s="18"/>
      <c r="J36" s="18"/>
      <c r="K36" s="18"/>
      <c r="L36" s="37"/>
    </row>
    <row r="37" spans="3:12" ht="12.75">
      <c r="C37" s="21">
        <f aca="true" t="shared" si="2" ref="C37:K37">SUM(C31:C35)</f>
        <v>52615.054415</v>
      </c>
      <c r="D37" s="21">
        <f t="shared" si="2"/>
        <v>37127.641103999995</v>
      </c>
      <c r="E37" s="21">
        <f t="shared" si="2"/>
        <v>8858.626356</v>
      </c>
      <c r="F37" s="21">
        <f t="shared" si="2"/>
        <v>11386.092986</v>
      </c>
      <c r="G37" s="21">
        <f t="shared" si="2"/>
        <v>4221.7483680000005</v>
      </c>
      <c r="H37" s="21">
        <f t="shared" si="2"/>
        <v>6173.388621</v>
      </c>
      <c r="I37" s="21">
        <f t="shared" si="2"/>
        <v>2520.2868409999996</v>
      </c>
      <c r="J37" s="21">
        <f t="shared" si="2"/>
        <v>0</v>
      </c>
      <c r="K37" s="21">
        <f t="shared" si="2"/>
        <v>408.82470599999994</v>
      </c>
      <c r="L37" s="38">
        <f>SUM(L31:L35)+0.09</f>
        <v>123311.753397</v>
      </c>
    </row>
    <row r="39" spans="1:12" ht="15">
      <c r="A39" s="10" t="s">
        <v>66</v>
      </c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35"/>
    </row>
    <row r="40" spans="1:12" ht="12.75">
      <c r="A40" s="13" t="s">
        <v>24</v>
      </c>
      <c r="C40" s="14">
        <v>11530</v>
      </c>
      <c r="D40" s="14">
        <v>6111</v>
      </c>
      <c r="E40" s="14">
        <v>920</v>
      </c>
      <c r="F40" s="14">
        <v>1440</v>
      </c>
      <c r="G40" s="14">
        <v>82</v>
      </c>
      <c r="H40" s="14">
        <v>83</v>
      </c>
      <c r="I40" s="14">
        <v>27</v>
      </c>
      <c r="J40" s="15">
        <v>13120</v>
      </c>
      <c r="K40" s="15">
        <v>857</v>
      </c>
      <c r="L40" s="36"/>
    </row>
    <row r="41" spans="1:12" ht="12.75">
      <c r="A41" s="13" t="s">
        <v>25</v>
      </c>
      <c r="C41" s="14">
        <v>8342592</v>
      </c>
      <c r="D41" s="14">
        <v>6039451</v>
      </c>
      <c r="E41" s="14">
        <v>2145117</v>
      </c>
      <c r="F41" s="14">
        <v>2298139</v>
      </c>
      <c r="G41" s="22">
        <v>7277</v>
      </c>
      <c r="H41" s="22">
        <v>6365</v>
      </c>
      <c r="I41" s="22">
        <v>41635</v>
      </c>
      <c r="J41" s="22">
        <v>2422</v>
      </c>
      <c r="K41" s="22">
        <v>133</v>
      </c>
      <c r="L41" s="36"/>
    </row>
    <row r="42" spans="1:3" ht="12.75">
      <c r="A42" s="8"/>
      <c r="C42" s="14"/>
    </row>
    <row r="43" spans="1:12" ht="12.75">
      <c r="A43" s="17" t="s">
        <v>26</v>
      </c>
      <c r="B43" s="14" t="s">
        <v>27</v>
      </c>
      <c r="C43" s="18">
        <f>C40*'RATES '!$C$4</f>
        <v>5677.372</v>
      </c>
      <c r="D43" s="18">
        <f>D40*'RATES '!$C$8</f>
        <v>3357.9945</v>
      </c>
      <c r="E43" s="18">
        <f>E40*'RATES '!$C$12</f>
        <v>615.02</v>
      </c>
      <c r="F43" s="18">
        <f>F40*'RATES '!$C$16</f>
        <v>1224.864</v>
      </c>
      <c r="G43" s="18">
        <f>G40*'RATES '!$C$20</f>
        <v>95.8088</v>
      </c>
      <c r="H43" s="18">
        <f>H40*'RATES '!$C$24</f>
        <v>106.84590000000001</v>
      </c>
      <c r="I43" s="18">
        <f>I40*'RATES '!$C$28</f>
        <v>2.8323</v>
      </c>
      <c r="J43" s="18">
        <f>J40*'RATES '!$C$32</f>
        <v>362.11199999999997</v>
      </c>
      <c r="K43" s="18">
        <f>K40*'RATES '!$C$36</f>
        <v>77.6442</v>
      </c>
      <c r="L43" s="37">
        <f>SUM(C43:K43)</f>
        <v>11520.4937</v>
      </c>
    </row>
    <row r="44" spans="1:12" ht="12.75">
      <c r="A44" s="19"/>
      <c r="B44" s="14" t="s">
        <v>28</v>
      </c>
      <c r="C44" s="18">
        <f>C41*'RATES '!$C$5</f>
        <v>6131.80512</v>
      </c>
      <c r="D44" s="18">
        <f>D41*'RATES '!$C$9</f>
        <v>4493.351544</v>
      </c>
      <c r="E44" s="18">
        <f>E41*'RATES '!$C$13</f>
        <v>1473.695379</v>
      </c>
      <c r="F44" s="18">
        <f>F41*'RATES '!$C$17</f>
        <v>1238.696921</v>
      </c>
      <c r="G44" s="18">
        <f>G41*'RATES '!$C$21</f>
        <v>916.057868</v>
      </c>
      <c r="H44" s="18">
        <f>H41*'RATES '!$C$25</f>
        <v>1347.069505</v>
      </c>
      <c r="I44" s="18">
        <f>I41*'RATES '!$C$29</f>
        <v>526.391305</v>
      </c>
      <c r="J44" s="18">
        <f>J41*'RATES '!$C$33</f>
        <v>104.29374200000001</v>
      </c>
      <c r="K44" s="18">
        <f>K41*'RATES '!$C$37</f>
        <v>12.935447</v>
      </c>
      <c r="L44" s="37">
        <f>SUM(C44:K44)</f>
        <v>16244.296831</v>
      </c>
    </row>
    <row r="45" ht="12.75">
      <c r="A45" s="20"/>
    </row>
    <row r="46" spans="1:12" ht="12.75">
      <c r="A46" s="17" t="s">
        <v>29</v>
      </c>
      <c r="B46" s="14" t="s">
        <v>27</v>
      </c>
      <c r="C46" s="18">
        <f>C40*'RATES '!$D$4</f>
        <v>18585.207000000002</v>
      </c>
      <c r="D46" s="18">
        <f>D40*'RATES '!$D$8</f>
        <v>10991.2446</v>
      </c>
      <c r="E46" s="18">
        <f>E40*'RATES '!$D$12</f>
        <v>2013.1440000000002</v>
      </c>
      <c r="F46" s="18">
        <f>F40*'RATES '!$D$16</f>
        <v>4009.5360000000005</v>
      </c>
      <c r="G46" s="18">
        <f>G40*'RATES '!$D$20</f>
        <v>313.6336</v>
      </c>
      <c r="H46" s="18">
        <f>H40*'RATES '!$D$24</f>
        <v>349.7454</v>
      </c>
      <c r="I46" s="18">
        <f>I40*'RATES '!$D$28</f>
        <v>9.2691</v>
      </c>
      <c r="J46" s="18">
        <f>J40*'RATES '!$D$32</f>
        <v>1186.048</v>
      </c>
      <c r="K46" s="18">
        <f>K40*'RATES '!$D$36</f>
        <v>254.18619999999999</v>
      </c>
      <c r="L46" s="37">
        <f>SUM(C46:K46)</f>
        <v>37712.0139</v>
      </c>
    </row>
    <row r="47" spans="1:12" ht="12.75">
      <c r="A47" s="17"/>
      <c r="B47" s="14" t="s">
        <v>28</v>
      </c>
      <c r="C47" s="18">
        <f>C41*'RATES '!$D$5</f>
        <v>20022.2208</v>
      </c>
      <c r="D47" s="18">
        <f>D41*'RATES '!$D$9</f>
        <v>14494.682399999998</v>
      </c>
      <c r="E47" s="18">
        <f>E41*'RATES '!$D$13</f>
        <v>4719.2574</v>
      </c>
      <c r="F47" s="18">
        <f>F41*'RATES '!$D$17</f>
        <v>4136.6502</v>
      </c>
      <c r="G47" s="18">
        <f>G41*'RATES '!$D$21</f>
        <v>2998.8517</v>
      </c>
      <c r="H47" s="18">
        <f>H41*'RATES '!$D$25</f>
        <v>4409.672</v>
      </c>
      <c r="I47" s="18">
        <f>I41*'RATES '!$D$29</f>
        <v>1723.689</v>
      </c>
      <c r="J47" s="18">
        <f>J41*'RATES '!$D$33</f>
        <v>341.50199999999995</v>
      </c>
      <c r="K47" s="18">
        <f>K41*'RATES '!$D$37</f>
        <v>42.3472</v>
      </c>
      <c r="L47" s="37">
        <f>SUM(C47:K47)</f>
        <v>52888.8727</v>
      </c>
    </row>
    <row r="48" spans="1:12" ht="12.75">
      <c r="A48" s="8"/>
      <c r="C48" s="18"/>
      <c r="D48" s="18"/>
      <c r="E48" s="18"/>
      <c r="F48" s="18"/>
      <c r="G48" s="18"/>
      <c r="H48" s="18"/>
      <c r="I48" s="18"/>
      <c r="J48" s="18"/>
      <c r="K48" s="18"/>
      <c r="L48" s="37"/>
    </row>
    <row r="49" spans="3:12" ht="12.75">
      <c r="C49" s="21">
        <f aca="true" t="shared" si="3" ref="C49:K49">SUM(C43:C47)</f>
        <v>50416.60492</v>
      </c>
      <c r="D49" s="21">
        <f t="shared" si="3"/>
        <v>33337.273044</v>
      </c>
      <c r="E49" s="21">
        <f t="shared" si="3"/>
        <v>8821.116779</v>
      </c>
      <c r="F49" s="21">
        <f t="shared" si="3"/>
        <v>10609.747121</v>
      </c>
      <c r="G49" s="21">
        <f t="shared" si="3"/>
        <v>4324.351968</v>
      </c>
      <c r="H49" s="21">
        <f t="shared" si="3"/>
        <v>6213.332805</v>
      </c>
      <c r="I49" s="21">
        <f t="shared" si="3"/>
        <v>2262.181705</v>
      </c>
      <c r="J49" s="21">
        <f t="shared" si="3"/>
        <v>1993.9557419999999</v>
      </c>
      <c r="K49" s="21">
        <f t="shared" si="3"/>
        <v>387.113047</v>
      </c>
      <c r="L49" s="38">
        <f>SUM(L43:L47)-0.19</f>
        <v>118365.487131</v>
      </c>
    </row>
    <row r="51" spans="1:12" ht="15">
      <c r="A51" s="10" t="s">
        <v>67</v>
      </c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35"/>
    </row>
    <row r="52" spans="1:12" ht="12.75">
      <c r="A52" s="13" t="s">
        <v>24</v>
      </c>
      <c r="C52" s="14">
        <v>9386</v>
      </c>
      <c r="D52" s="14">
        <v>5337</v>
      </c>
      <c r="E52" s="14">
        <v>754</v>
      </c>
      <c r="F52" s="14">
        <v>1295</v>
      </c>
      <c r="G52" s="14">
        <v>68</v>
      </c>
      <c r="H52" s="14">
        <v>70</v>
      </c>
      <c r="I52" s="14">
        <v>23</v>
      </c>
      <c r="J52" s="15">
        <v>2666</v>
      </c>
      <c r="K52" s="15">
        <v>769</v>
      </c>
      <c r="L52" s="36"/>
    </row>
    <row r="53" spans="1:12" ht="12.75">
      <c r="A53" s="13" t="s">
        <v>25</v>
      </c>
      <c r="C53" s="14">
        <v>6872953</v>
      </c>
      <c r="D53" s="14">
        <v>5757133</v>
      </c>
      <c r="E53" s="14">
        <v>1780733</v>
      </c>
      <c r="F53" s="14">
        <v>2073788</v>
      </c>
      <c r="G53" s="22">
        <v>7308</v>
      </c>
      <c r="H53" s="22">
        <v>8360</v>
      </c>
      <c r="I53" s="22">
        <v>16780</v>
      </c>
      <c r="J53" s="22">
        <v>480</v>
      </c>
      <c r="K53" s="22">
        <v>143</v>
      </c>
      <c r="L53" s="36"/>
    </row>
    <row r="54" spans="1:3" ht="12.75">
      <c r="A54" s="8"/>
      <c r="C54" s="14"/>
    </row>
    <row r="55" spans="1:12" ht="12.75">
      <c r="A55" s="17" t="s">
        <v>26</v>
      </c>
      <c r="B55" s="14" t="s">
        <v>27</v>
      </c>
      <c r="C55" s="18">
        <f>C52*'RATES '!$C$4</f>
        <v>4621.6664</v>
      </c>
      <c r="D55" s="18">
        <f>D52*'RATES '!$C$8</f>
        <v>2932.6815</v>
      </c>
      <c r="E55" s="18">
        <f>E52*'RATES '!$C$12</f>
        <v>504.049</v>
      </c>
      <c r="F55" s="18">
        <f>F52*'RATES '!$C$16</f>
        <v>1101.527</v>
      </c>
      <c r="G55" s="18">
        <f>G52*'RATES '!$C$20</f>
        <v>79.4512</v>
      </c>
      <c r="H55" s="18">
        <f>H52*'RATES '!$C$24</f>
        <v>90.111</v>
      </c>
      <c r="I55" s="18">
        <f>I52*'RATES '!$C$28</f>
        <v>2.4127</v>
      </c>
      <c r="J55" s="18">
        <f>J52*'RATES '!$C$32</f>
        <v>73.5816</v>
      </c>
      <c r="K55" s="18">
        <f>K52*'RATES '!$C$36</f>
        <v>69.6714</v>
      </c>
      <c r="L55" s="37">
        <f>SUM(C55:K55)</f>
        <v>9475.151800000001</v>
      </c>
    </row>
    <row r="56" spans="1:12" ht="12.75">
      <c r="A56" s="19"/>
      <c r="B56" s="14" t="s">
        <v>28</v>
      </c>
      <c r="C56" s="18">
        <f>C53*'RATES '!$C$5</f>
        <v>5051.620455</v>
      </c>
      <c r="D56" s="18">
        <f>D53*'RATES '!$C$9</f>
        <v>4283.306952</v>
      </c>
      <c r="E56" s="18">
        <f>E53*'RATES '!$C$13</f>
        <v>1223.363571</v>
      </c>
      <c r="F56" s="18">
        <f>F53*'RATES '!$C$17</f>
        <v>1117.771732</v>
      </c>
      <c r="G56" s="18">
        <f>G53*'RATES '!$C$21</f>
        <v>919.9602719999999</v>
      </c>
      <c r="H56" s="18">
        <f>H53*'RATES '!$C$25</f>
        <v>1769.28532</v>
      </c>
      <c r="I56" s="18">
        <f>I53*'RATES '!$C$29</f>
        <v>212.14954</v>
      </c>
      <c r="J56" s="18">
        <f>J53*'RATES '!$C$33</f>
        <v>20.66928</v>
      </c>
      <c r="K56" s="18">
        <f>K53*'RATES '!$C$37</f>
        <v>13.908037</v>
      </c>
      <c r="L56" s="37">
        <f>SUM(C56:K56)</f>
        <v>14612.035158999997</v>
      </c>
    </row>
    <row r="57" ht="12.75">
      <c r="A57" s="20"/>
    </row>
    <row r="58" spans="1:12" ht="12.75">
      <c r="A58" s="17" t="s">
        <v>29</v>
      </c>
      <c r="B58" s="14" t="s">
        <v>27</v>
      </c>
      <c r="C58" s="18">
        <f>C52*'RATES '!$D$4</f>
        <v>15129.2934</v>
      </c>
      <c r="D58" s="18">
        <f>D52*'RATES '!$D$8</f>
        <v>9599.1282</v>
      </c>
      <c r="E58" s="18">
        <f>E52*'RATES '!$D$12</f>
        <v>1649.9028</v>
      </c>
      <c r="F58" s="18">
        <f>F52*'RATES '!$D$16</f>
        <v>3605.7980000000002</v>
      </c>
      <c r="G58" s="18">
        <f>G52*'RATES '!$D$20</f>
        <v>260.0864</v>
      </c>
      <c r="H58" s="18">
        <f>H52*'RATES '!$D$24</f>
        <v>294.966</v>
      </c>
      <c r="I58" s="18">
        <f>I52*'RATES '!$D$28</f>
        <v>7.8959</v>
      </c>
      <c r="J58" s="18">
        <f>J52*'RATES '!$D$32</f>
        <v>241.00639999999999</v>
      </c>
      <c r="K58" s="18">
        <f>K52*'RATES '!$D$36</f>
        <v>228.0854</v>
      </c>
      <c r="L58" s="37">
        <f>SUM(C58:K58)</f>
        <v>31016.1625</v>
      </c>
    </row>
    <row r="59" spans="1:12" ht="12.75">
      <c r="A59" s="17"/>
      <c r="B59" s="14" t="s">
        <v>28</v>
      </c>
      <c r="C59" s="18">
        <f>C53*'RATES '!$D$5</f>
        <v>16495.087199999998</v>
      </c>
      <c r="D59" s="18">
        <f>D53*'RATES '!$D$9</f>
        <v>13817.1192</v>
      </c>
      <c r="E59" s="18">
        <f>E53*'RATES '!$D$13</f>
        <v>3917.6126000000004</v>
      </c>
      <c r="F59" s="18">
        <f>F53*'RATES '!$D$17</f>
        <v>3732.8184</v>
      </c>
      <c r="G59" s="18">
        <f>G53*'RATES '!$D$21</f>
        <v>3011.6268</v>
      </c>
      <c r="H59" s="18">
        <f>H53*'RATES '!$D$25</f>
        <v>5791.808</v>
      </c>
      <c r="I59" s="18">
        <f>I53*'RATES '!$D$29</f>
        <v>694.692</v>
      </c>
      <c r="J59" s="18">
        <f>J53*'RATES '!$D$33</f>
        <v>67.67999999999999</v>
      </c>
      <c r="K59" s="18">
        <f>K53*'RATES '!$D$37</f>
        <v>45.531200000000005</v>
      </c>
      <c r="L59" s="37">
        <f>SUM(C59:K59)</f>
        <v>47573.97539999999</v>
      </c>
    </row>
    <row r="60" spans="1:12" ht="12.75">
      <c r="A60" s="8"/>
      <c r="C60" s="18"/>
      <c r="D60" s="18"/>
      <c r="E60" s="18"/>
      <c r="F60" s="18"/>
      <c r="G60" s="18"/>
      <c r="H60" s="18"/>
      <c r="I60" s="18"/>
      <c r="J60" s="18"/>
      <c r="K60" s="18"/>
      <c r="L60" s="37"/>
    </row>
    <row r="61" spans="3:12" ht="12.75">
      <c r="C61" s="21">
        <f aca="true" t="shared" si="4" ref="C61:K61">SUM(C55:C59)</f>
        <v>41297.667455</v>
      </c>
      <c r="D61" s="21">
        <f t="shared" si="4"/>
        <v>30632.235851999998</v>
      </c>
      <c r="E61" s="21">
        <f t="shared" si="4"/>
        <v>7294.927971000001</v>
      </c>
      <c r="F61" s="21">
        <f t="shared" si="4"/>
        <v>9557.915132</v>
      </c>
      <c r="G61" s="21">
        <f t="shared" si="4"/>
        <v>4271.124672</v>
      </c>
      <c r="H61" s="21">
        <f t="shared" si="4"/>
        <v>7946.17032</v>
      </c>
      <c r="I61" s="21">
        <f t="shared" si="4"/>
        <v>917.15014</v>
      </c>
      <c r="J61" s="21">
        <f t="shared" si="4"/>
        <v>402.93728</v>
      </c>
      <c r="K61" s="21">
        <f t="shared" si="4"/>
        <v>357.19603700000005</v>
      </c>
      <c r="L61" s="38">
        <f>SUM(L55:L59)-0.08</f>
        <v>102677.24485899998</v>
      </c>
    </row>
    <row r="63" spans="1:12" ht="15">
      <c r="A63" s="10" t="s">
        <v>68</v>
      </c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35"/>
    </row>
    <row r="64" spans="1:12" ht="12.75">
      <c r="A64" s="13" t="s">
        <v>24</v>
      </c>
      <c r="C64" s="14">
        <v>10627</v>
      </c>
      <c r="D64" s="14">
        <v>5380</v>
      </c>
      <c r="E64" s="14">
        <v>964</v>
      </c>
      <c r="F64" s="14">
        <v>1308</v>
      </c>
      <c r="G64" s="14">
        <v>83</v>
      </c>
      <c r="H64" s="14">
        <v>78</v>
      </c>
      <c r="I64" s="14">
        <v>19</v>
      </c>
      <c r="J64" s="15">
        <v>2666</v>
      </c>
      <c r="K64" s="15">
        <v>787</v>
      </c>
      <c r="L64" s="36"/>
    </row>
    <row r="65" spans="1:12" ht="12.75">
      <c r="A65" s="13" t="s">
        <v>25</v>
      </c>
      <c r="C65" s="14">
        <v>7261480</v>
      </c>
      <c r="D65" s="14">
        <v>5799165</v>
      </c>
      <c r="E65" s="14">
        <v>1873225</v>
      </c>
      <c r="F65" s="14">
        <v>2001356</v>
      </c>
      <c r="G65" s="22">
        <v>6536</v>
      </c>
      <c r="H65" s="22">
        <v>5321</v>
      </c>
      <c r="I65" s="22">
        <v>27531</v>
      </c>
      <c r="J65" s="22">
        <v>480</v>
      </c>
      <c r="K65" s="22">
        <v>131</v>
      </c>
      <c r="L65" s="36"/>
    </row>
    <row r="66" spans="1:3" ht="12.75">
      <c r="A66" s="8"/>
      <c r="C66" s="14"/>
    </row>
    <row r="67" spans="1:12" ht="12.75">
      <c r="A67" s="17" t="s">
        <v>26</v>
      </c>
      <c r="B67" s="14" t="s">
        <v>27</v>
      </c>
      <c r="C67" s="18">
        <f>C64*'RATES '!$C$4</f>
        <v>5232.7348</v>
      </c>
      <c r="D67" s="18">
        <f>D64*'RATES '!$C$8</f>
        <v>2956.31</v>
      </c>
      <c r="E67" s="18">
        <f>E64*'RATES '!$C$12</f>
        <v>644.434</v>
      </c>
      <c r="F67" s="18">
        <f>F64*'RATES '!$C$16</f>
        <v>1112.5848</v>
      </c>
      <c r="G67" s="18">
        <f>G64*'RATES '!$C$20</f>
        <v>96.97720000000001</v>
      </c>
      <c r="H67" s="18">
        <f>H64*'RATES '!$C$24</f>
        <v>100.4094</v>
      </c>
      <c r="I67" s="18">
        <f>I64*'RATES '!$C$28</f>
        <v>1.9930999999999999</v>
      </c>
      <c r="J67" s="18">
        <f>J64*'RATES '!$C$32</f>
        <v>73.5816</v>
      </c>
      <c r="K67" s="18">
        <f>K64*'RATES '!$C$36</f>
        <v>71.3022</v>
      </c>
      <c r="L67" s="37">
        <f>SUM(C67:K67)</f>
        <v>10290.327099999999</v>
      </c>
    </row>
    <row r="68" spans="1:12" ht="12.75">
      <c r="A68" s="19"/>
      <c r="B68" s="14" t="s">
        <v>28</v>
      </c>
      <c r="C68" s="18">
        <f>C65*'RATES '!$C$5</f>
        <v>5337.1878</v>
      </c>
      <c r="D68" s="18">
        <f>D65*'RATES '!$C$9</f>
        <v>4314.578759999999</v>
      </c>
      <c r="E68" s="18">
        <f>E65*'RATES '!$C$13</f>
        <v>1286.905575</v>
      </c>
      <c r="F68" s="18">
        <f>F65*'RATES '!$C$17</f>
        <v>1078.730884</v>
      </c>
      <c r="G68" s="18">
        <f>G65*'RATES '!$C$21</f>
        <v>822.777824</v>
      </c>
      <c r="H68" s="18">
        <f>H65*'RATES '!$C$25</f>
        <v>1126.120477</v>
      </c>
      <c r="I68" s="18">
        <f>I65*'RATES '!$C$29</f>
        <v>348.074433</v>
      </c>
      <c r="J68" s="18">
        <f>J65*'RATES '!$C$33</f>
        <v>20.66928</v>
      </c>
      <c r="K68" s="18">
        <f>K65*'RATES '!$C$37</f>
        <v>12.740929</v>
      </c>
      <c r="L68" s="37">
        <f>SUM(C68:K68)</f>
        <v>14347.785962000002</v>
      </c>
    </row>
    <row r="69" ht="12.75">
      <c r="A69" s="20"/>
    </row>
    <row r="70" spans="1:12" ht="12.75">
      <c r="A70" s="17" t="s">
        <v>29</v>
      </c>
      <c r="B70" s="14" t="s">
        <v>27</v>
      </c>
      <c r="C70" s="18">
        <f>C64*'RATES '!$D$4</f>
        <v>17129.6613</v>
      </c>
      <c r="D70" s="18">
        <f>D64*'RATES '!$D$8</f>
        <v>9676.468</v>
      </c>
      <c r="E70" s="18">
        <f>E64*'RATES '!$D$12</f>
        <v>2109.4248000000002</v>
      </c>
      <c r="F70" s="18">
        <f>F64*'RATES '!$D$16</f>
        <v>3641.9952000000003</v>
      </c>
      <c r="G70" s="18">
        <f>G64*'RATES '!$D$20</f>
        <v>317.45840000000004</v>
      </c>
      <c r="H70" s="18">
        <f>H64*'RATES '!$D$24</f>
        <v>328.6764</v>
      </c>
      <c r="I70" s="18">
        <f>I64*'RATES '!$D$28</f>
        <v>6.5226999999999995</v>
      </c>
      <c r="J70" s="18">
        <f>J64*'RATES '!$D$32</f>
        <v>241.00639999999999</v>
      </c>
      <c r="K70" s="18">
        <f>K64*'RATES '!$D$36</f>
        <v>233.42419999999998</v>
      </c>
      <c r="L70" s="37">
        <f>SUM(C70:K70)</f>
        <v>33684.6374</v>
      </c>
    </row>
    <row r="71" spans="1:12" ht="12.75">
      <c r="A71" s="17"/>
      <c r="B71" s="14" t="s">
        <v>28</v>
      </c>
      <c r="C71" s="18">
        <f>C65*'RATES '!$D$5</f>
        <v>17427.552</v>
      </c>
      <c r="D71" s="18">
        <f>D65*'RATES '!$D$9</f>
        <v>13917.996</v>
      </c>
      <c r="E71" s="18">
        <f>E65*'RATES '!$D$13</f>
        <v>4121.095</v>
      </c>
      <c r="F71" s="18">
        <f>F65*'RATES '!$D$17</f>
        <v>3602.4408</v>
      </c>
      <c r="G71" s="18">
        <f>G65*'RATES '!$D$21</f>
        <v>2693.4856</v>
      </c>
      <c r="H71" s="18">
        <f>H65*'RATES '!$D$25</f>
        <v>3686.3887999999997</v>
      </c>
      <c r="I71" s="18">
        <f>I65*'RATES '!$D$29</f>
        <v>1139.7834</v>
      </c>
      <c r="J71" s="18">
        <f>J65*'RATES '!$D$33</f>
        <v>67.67999999999999</v>
      </c>
      <c r="K71" s="18">
        <f>K65*'RATES '!$D$37</f>
        <v>41.7104</v>
      </c>
      <c r="L71" s="37">
        <f>SUM(C71:K71)</f>
        <v>46698.132</v>
      </c>
    </row>
    <row r="72" spans="1:12" ht="12.75">
      <c r="A72" s="8"/>
      <c r="C72" s="18"/>
      <c r="D72" s="18"/>
      <c r="E72" s="18"/>
      <c r="F72" s="18"/>
      <c r="G72" s="18"/>
      <c r="H72" s="18"/>
      <c r="I72" s="18"/>
      <c r="J72" s="18"/>
      <c r="K72" s="18"/>
      <c r="L72" s="37"/>
    </row>
    <row r="73" spans="3:12" ht="12.75">
      <c r="C73" s="21">
        <f aca="true" t="shared" si="5" ref="C73:K73">SUM(C67:C71)</f>
        <v>45127.135899999994</v>
      </c>
      <c r="D73" s="21">
        <f t="shared" si="5"/>
        <v>30865.35276</v>
      </c>
      <c r="E73" s="21">
        <f t="shared" si="5"/>
        <v>8161.859375</v>
      </c>
      <c r="F73" s="21">
        <f t="shared" si="5"/>
        <v>9435.751684</v>
      </c>
      <c r="G73" s="21">
        <f t="shared" si="5"/>
        <v>3930.699024</v>
      </c>
      <c r="H73" s="21">
        <f t="shared" si="5"/>
        <v>5241.595077</v>
      </c>
      <c r="I73" s="21">
        <f t="shared" si="5"/>
        <v>1496.3736330000002</v>
      </c>
      <c r="J73" s="21">
        <f t="shared" si="5"/>
        <v>402.93728</v>
      </c>
      <c r="K73" s="21">
        <f t="shared" si="5"/>
        <v>359.17772899999994</v>
      </c>
      <c r="L73" s="38">
        <f>SUM(L67:L71)-0.08</f>
        <v>105020.80246199999</v>
      </c>
    </row>
    <row r="75" spans="1:12" ht="15">
      <c r="A75" s="10" t="s">
        <v>69</v>
      </c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35"/>
    </row>
    <row r="76" spans="1:12" ht="12.75">
      <c r="A76" s="13" t="s">
        <v>24</v>
      </c>
      <c r="C76" s="14">
        <v>9699</v>
      </c>
      <c r="D76" s="14">
        <v>3333</v>
      </c>
      <c r="E76" s="14">
        <v>653</v>
      </c>
      <c r="F76" s="14">
        <v>1093</v>
      </c>
      <c r="G76" s="14">
        <v>61</v>
      </c>
      <c r="H76" s="14">
        <v>45</v>
      </c>
      <c r="I76" s="14">
        <v>32</v>
      </c>
      <c r="J76" s="15">
        <v>2666</v>
      </c>
      <c r="K76" s="15">
        <v>560</v>
      </c>
      <c r="L76" s="36"/>
    </row>
    <row r="77" spans="1:12" ht="12.75">
      <c r="A77" s="13" t="s">
        <v>25</v>
      </c>
      <c r="C77" s="14">
        <v>6072445</v>
      </c>
      <c r="D77" s="14">
        <v>5331753</v>
      </c>
      <c r="E77" s="14">
        <v>1369457</v>
      </c>
      <c r="F77" s="14">
        <v>1658280</v>
      </c>
      <c r="G77" s="22">
        <v>4656</v>
      </c>
      <c r="H77" s="22">
        <v>3637</v>
      </c>
      <c r="I77" s="22">
        <v>18586</v>
      </c>
      <c r="J77" s="22">
        <v>480</v>
      </c>
      <c r="K77" s="22">
        <v>101</v>
      </c>
      <c r="L77" s="36"/>
    </row>
    <row r="78" spans="1:3" ht="12.75">
      <c r="A78" s="8"/>
      <c r="C78" s="14"/>
    </row>
    <row r="79" spans="1:12" ht="12.75">
      <c r="A79" s="17" t="s">
        <v>26</v>
      </c>
      <c r="B79" s="14" t="s">
        <v>27</v>
      </c>
      <c r="C79" s="18">
        <f>C76*'RATES '!$C$4</f>
        <v>4775.7876</v>
      </c>
      <c r="D79" s="18">
        <f>D76*'RATES '!$C$8</f>
        <v>1831.4835</v>
      </c>
      <c r="E79" s="18">
        <f>E76*'RATES '!$C$12</f>
        <v>436.53049999999996</v>
      </c>
      <c r="F79" s="18">
        <f>F76*'RATES '!$C$16</f>
        <v>929.7058000000001</v>
      </c>
      <c r="G79" s="18">
        <f>G76*'RATES '!$C$20</f>
        <v>71.2724</v>
      </c>
      <c r="H79" s="18">
        <f>H76*'RATES '!$C$24</f>
        <v>57.92850000000001</v>
      </c>
      <c r="I79" s="18">
        <f>I76*'RATES '!$C$28</f>
        <v>3.3568</v>
      </c>
      <c r="J79" s="18">
        <f>J76*'RATES '!$C$32</f>
        <v>73.5816</v>
      </c>
      <c r="K79" s="18">
        <f>K76*'RATES '!$C$36</f>
        <v>50.736</v>
      </c>
      <c r="L79" s="37">
        <f>SUM(C79:K79)</f>
        <v>8230.3827</v>
      </c>
    </row>
    <row r="80" spans="1:12" ht="12.75">
      <c r="A80" s="19"/>
      <c r="B80" s="14" t="s">
        <v>28</v>
      </c>
      <c r="C80" s="18">
        <f>C77*'RATES '!$C$5</f>
        <v>4463.247075</v>
      </c>
      <c r="D80" s="18">
        <f>D77*'RATES '!$C$9</f>
        <v>3966.824232</v>
      </c>
      <c r="E80" s="18">
        <f>E77*'RATES '!$C$13</f>
        <v>940.816959</v>
      </c>
      <c r="F80" s="18">
        <f>F77*'RATES '!$C$17</f>
        <v>893.81292</v>
      </c>
      <c r="G80" s="18">
        <f>G77*'RATES '!$C$21</f>
        <v>586.115904</v>
      </c>
      <c r="H80" s="18">
        <f>H77*'RATES '!$C$25</f>
        <v>769.723769</v>
      </c>
      <c r="I80" s="18">
        <f>I77*'RATES '!$C$29</f>
        <v>234.982798</v>
      </c>
      <c r="J80" s="18">
        <f>J77*'RATES '!$C$33</f>
        <v>20.66928</v>
      </c>
      <c r="K80" s="18">
        <f>K77*'RATES '!$C$37</f>
        <v>9.823159</v>
      </c>
      <c r="L80" s="37">
        <f>SUM(C80:K80)</f>
        <v>11886.016096000001</v>
      </c>
    </row>
    <row r="81" ht="12.75">
      <c r="A81" s="20"/>
    </row>
    <row r="82" spans="1:12" ht="12.75">
      <c r="A82" s="17" t="s">
        <v>29</v>
      </c>
      <c r="B82" s="14" t="s">
        <v>27</v>
      </c>
      <c r="C82" s="18">
        <f>C76*'RATES '!$D$4</f>
        <v>15633.8181</v>
      </c>
      <c r="D82" s="18">
        <f>D76*'RATES '!$D$8</f>
        <v>5994.7338</v>
      </c>
      <c r="E82" s="18">
        <f>E76*'RATES '!$D$12</f>
        <v>1428.8946</v>
      </c>
      <c r="F82" s="18">
        <f>F76*'RATES '!$D$16</f>
        <v>3043.3492</v>
      </c>
      <c r="G82" s="18">
        <f>G76*'RATES '!$D$20</f>
        <v>233.3128</v>
      </c>
      <c r="H82" s="18">
        <f>H76*'RATES '!$D$24</f>
        <v>189.621</v>
      </c>
      <c r="I82" s="18">
        <f>I76*'RATES '!$D$28</f>
        <v>10.9856</v>
      </c>
      <c r="J82" s="18">
        <f>J76*'RATES '!$D$32</f>
        <v>241.00639999999999</v>
      </c>
      <c r="K82" s="18">
        <f>K76*'RATES '!$D$36</f>
        <v>166.09599999999998</v>
      </c>
      <c r="L82" s="37">
        <f>SUM(C82:K82)</f>
        <v>26941.817499999997</v>
      </c>
    </row>
    <row r="83" spans="1:12" ht="12.75">
      <c r="A83" s="17"/>
      <c r="B83" s="14" t="s">
        <v>28</v>
      </c>
      <c r="C83" s="18">
        <f>C77*'RATES '!$D$5</f>
        <v>14573.867999999999</v>
      </c>
      <c r="D83" s="18">
        <f>D77*'RATES '!$D$9</f>
        <v>12796.207199999999</v>
      </c>
      <c r="E83" s="18">
        <f>E77*'RATES '!$D$13</f>
        <v>3012.8054</v>
      </c>
      <c r="F83" s="18">
        <f>F77*'RATES '!$D$17</f>
        <v>2984.904</v>
      </c>
      <c r="G83" s="18">
        <f>G77*'RATES '!$D$21</f>
        <v>1918.7376000000002</v>
      </c>
      <c r="H83" s="18">
        <f>H77*'RATES '!$D$25</f>
        <v>2519.7136</v>
      </c>
      <c r="I83" s="18">
        <f>I77*'RATES '!$D$29</f>
        <v>769.4603999999999</v>
      </c>
      <c r="J83" s="18">
        <f>J77*'RATES '!$D$33</f>
        <v>67.67999999999999</v>
      </c>
      <c r="K83" s="18">
        <f>K77*'RATES '!$D$37</f>
        <v>32.1584</v>
      </c>
      <c r="L83" s="37">
        <f>SUM(C83:K83)</f>
        <v>38675.534600000006</v>
      </c>
    </row>
    <row r="84" spans="1:12" ht="12.75">
      <c r="A84" s="8"/>
      <c r="C84" s="18"/>
      <c r="D84" s="18"/>
      <c r="E84" s="18"/>
      <c r="F84" s="18"/>
      <c r="G84" s="18"/>
      <c r="H84" s="18"/>
      <c r="I84" s="18"/>
      <c r="J84" s="18"/>
      <c r="K84" s="18"/>
      <c r="L84" s="37"/>
    </row>
    <row r="85" spans="3:12" ht="12.75">
      <c r="C85" s="21">
        <f aca="true" t="shared" si="6" ref="C85:K85">SUM(C79:C83)</f>
        <v>39446.720774999994</v>
      </c>
      <c r="D85" s="21">
        <f t="shared" si="6"/>
        <v>24589.248732</v>
      </c>
      <c r="E85" s="21">
        <f t="shared" si="6"/>
        <v>5819.047459</v>
      </c>
      <c r="F85" s="21">
        <f t="shared" si="6"/>
        <v>7851.771920000001</v>
      </c>
      <c r="G85" s="21">
        <f t="shared" si="6"/>
        <v>2809.438704</v>
      </c>
      <c r="H85" s="21">
        <f t="shared" si="6"/>
        <v>3536.986869</v>
      </c>
      <c r="I85" s="21">
        <f t="shared" si="6"/>
        <v>1018.7855979999999</v>
      </c>
      <c r="J85" s="21">
        <f t="shared" si="6"/>
        <v>402.93728</v>
      </c>
      <c r="K85" s="21">
        <f t="shared" si="6"/>
        <v>258.81355899999994</v>
      </c>
      <c r="L85" s="38">
        <f>SUM(L79:L83)-0.1</f>
        <v>85733.650896</v>
      </c>
    </row>
    <row r="86" ht="13.5" thickBot="1"/>
    <row r="87" spans="11:12" ht="13.5" thickBot="1">
      <c r="K87" s="28" t="s">
        <v>57</v>
      </c>
      <c r="L87" s="27">
        <f>SUM(L13,L25,L37,L49,L61,L73,L85)</f>
        <v>718050.142404</v>
      </c>
    </row>
  </sheetData>
  <sheetProtection/>
  <printOptions gridLines="1" horizontalCentered="1"/>
  <pageMargins left="0.5118110236220472" right="0.2362204724409449" top="0.5118110236220472" bottom="0.5118110236220472" header="0.2362204724409449" footer="0.2362204724409449"/>
  <pageSetup fitToHeight="2" fitToWidth="2" horizontalDpi="600" verticalDpi="600" orientation="portrait" scale="57" r:id="rId3"/>
  <headerFooter alignWithMargins="0">
    <oddFooter>&amp;LHaldimand County Hydro Inc.
Page &amp;P of &amp;N&amp;C&amp;"Arial,Bold"&amp;F
&amp;A&amp;R&amp;8J. Scott
September 29, 2011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zoomScale="75" zoomScaleNormal="75" zoomScalePageLayoutView="0" workbookViewId="0" topLeftCell="A1">
      <pane xSplit="2" ySplit="1" topLeftCell="C2" activePane="bottomRight" state="frozen"/>
      <selection pane="topLeft" activeCell="L184" sqref="L184"/>
      <selection pane="topRight" activeCell="L184" sqref="L184"/>
      <selection pane="bottomLeft" activeCell="L184" sqref="L184"/>
      <selection pane="bottomRight" activeCell="C1" sqref="C1:L1"/>
    </sheetView>
  </sheetViews>
  <sheetFormatPr defaultColWidth="9.140625" defaultRowHeight="12.75"/>
  <cols>
    <col min="1" max="1" width="39.140625" style="0" bestFit="1" customWidth="1"/>
    <col min="2" max="2" width="9.7109375" style="14" customWidth="1"/>
    <col min="3" max="3" width="14.140625" style="0" bestFit="1" customWidth="1"/>
    <col min="4" max="4" width="12.57421875" style="0" bestFit="1" customWidth="1"/>
    <col min="5" max="5" width="11.57421875" style="0" bestFit="1" customWidth="1"/>
    <col min="6" max="6" width="11.28125" style="0" bestFit="1" customWidth="1"/>
    <col min="7" max="7" width="11.7109375" style="0" customWidth="1"/>
    <col min="8" max="8" width="11.28125" style="0" bestFit="1" customWidth="1"/>
    <col min="9" max="10" width="10.28125" style="0" bestFit="1" customWidth="1"/>
    <col min="12" max="12" width="14.00390625" style="6" bestFit="1" customWidth="1"/>
  </cols>
  <sheetData>
    <row r="1" spans="1:12" s="30" customFormat="1" ht="51">
      <c r="A1" s="29" t="s">
        <v>58</v>
      </c>
      <c r="B1" s="34"/>
      <c r="C1" s="32" t="s">
        <v>17</v>
      </c>
      <c r="D1" s="32" t="s">
        <v>18</v>
      </c>
      <c r="E1" s="32" t="s">
        <v>97</v>
      </c>
      <c r="F1" s="32" t="s">
        <v>96</v>
      </c>
      <c r="G1" s="32" t="s">
        <v>95</v>
      </c>
      <c r="H1" s="32" t="s">
        <v>98</v>
      </c>
      <c r="I1" s="32" t="s">
        <v>19</v>
      </c>
      <c r="J1" s="32" t="s">
        <v>20</v>
      </c>
      <c r="K1" s="32" t="s">
        <v>21</v>
      </c>
      <c r="L1" s="32" t="s">
        <v>22</v>
      </c>
    </row>
    <row r="2" spans="1:12" ht="12.75">
      <c r="A2" s="8"/>
      <c r="B2" s="9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10" t="s">
        <v>23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35"/>
    </row>
    <row r="4" spans="1:12" ht="12.75">
      <c r="A4" s="13" t="s">
        <v>24</v>
      </c>
      <c r="C4" s="14">
        <v>12168</v>
      </c>
      <c r="D4" s="14">
        <v>4450</v>
      </c>
      <c r="E4" s="14">
        <v>931</v>
      </c>
      <c r="F4" s="14">
        <v>1237</v>
      </c>
      <c r="G4" s="14">
        <v>83</v>
      </c>
      <c r="H4" s="14">
        <v>74</v>
      </c>
      <c r="I4" s="14">
        <v>23</v>
      </c>
      <c r="J4" s="15">
        <v>0</v>
      </c>
      <c r="K4" s="15">
        <v>950</v>
      </c>
      <c r="L4" s="36"/>
    </row>
    <row r="5" spans="1:12" ht="12.75">
      <c r="A5" s="13" t="s">
        <v>25</v>
      </c>
      <c r="C5" s="14">
        <v>10214852</v>
      </c>
      <c r="D5" s="14">
        <v>9105095</v>
      </c>
      <c r="E5" s="14">
        <v>2458953</v>
      </c>
      <c r="F5" s="14">
        <v>2587245</v>
      </c>
      <c r="G5" s="16">
        <v>7586</v>
      </c>
      <c r="H5" s="16">
        <v>6380</v>
      </c>
      <c r="I5" s="16">
        <v>43705</v>
      </c>
      <c r="J5" s="16">
        <v>0</v>
      </c>
      <c r="K5" s="16">
        <v>169</v>
      </c>
      <c r="L5" s="36"/>
    </row>
    <row r="6" spans="1:3" ht="12.75">
      <c r="A6" s="8"/>
      <c r="C6" s="14"/>
    </row>
    <row r="7" spans="1:12" ht="12.75">
      <c r="A7" s="17" t="s">
        <v>26</v>
      </c>
      <c r="B7" s="14" t="s">
        <v>27</v>
      </c>
      <c r="C7" s="18">
        <f>C4*'RATES '!$C$4</f>
        <v>5991.5232</v>
      </c>
      <c r="D7" s="18">
        <f>D4*'RATES '!$C$8</f>
        <v>2445.275</v>
      </c>
      <c r="E7" s="18">
        <f>E4*'RATES '!$C$12</f>
        <v>622.3735</v>
      </c>
      <c r="F7" s="18">
        <f>F4*'RATES '!$C$16</f>
        <v>1052.1922</v>
      </c>
      <c r="G7" s="18">
        <f>G4*'RATES '!$C$20</f>
        <v>96.97720000000001</v>
      </c>
      <c r="H7" s="18">
        <f>H4*'RATES '!$C$24</f>
        <v>95.26020000000001</v>
      </c>
      <c r="I7" s="18">
        <f>I4*'RATES '!$C$28</f>
        <v>2.4127</v>
      </c>
      <c r="J7" s="18">
        <f>J4*'RATES '!$C$32</f>
        <v>0</v>
      </c>
      <c r="K7" s="18">
        <f>K4*'RATES '!$C$36</f>
        <v>86.07</v>
      </c>
      <c r="L7" s="37">
        <f>SUM(C7:K7)</f>
        <v>10392.083999999999</v>
      </c>
    </row>
    <row r="8" spans="1:12" ht="12.75">
      <c r="A8" s="19"/>
      <c r="B8" s="14" t="s">
        <v>28</v>
      </c>
      <c r="C8" s="18">
        <f>C5*'RATES '!$C$5</f>
        <v>7507.91622</v>
      </c>
      <c r="D8" s="18">
        <f>D5*'RATES '!$C$9</f>
        <v>6774.19068</v>
      </c>
      <c r="E8" s="18">
        <f>E5*'RATES '!$C$13</f>
        <v>1689.300711</v>
      </c>
      <c r="F8" s="18">
        <f>F5*'RATES '!$C$17</f>
        <v>1394.525055</v>
      </c>
      <c r="G8" s="18">
        <f>G5*'RATES '!$C$21</f>
        <v>954.956024</v>
      </c>
      <c r="H8" s="18">
        <f>H5*'RATES '!$C$25</f>
        <v>1350.24406</v>
      </c>
      <c r="I8" s="18">
        <f>I5*'RATES '!$C$29</f>
        <v>552.562315</v>
      </c>
      <c r="J8" s="18">
        <f>J5*'RATES '!$C$33</f>
        <v>0</v>
      </c>
      <c r="K8" s="18">
        <f>K5*'RATES '!$C$37</f>
        <v>16.436771</v>
      </c>
      <c r="L8" s="37">
        <f>SUM(C8:K8)</f>
        <v>20240.131836</v>
      </c>
    </row>
    <row r="9" ht="12.75">
      <c r="A9" s="20"/>
    </row>
    <row r="10" spans="1:12" ht="12.75">
      <c r="A10" s="17" t="s">
        <v>29</v>
      </c>
      <c r="B10" s="14" t="s">
        <v>27</v>
      </c>
      <c r="C10" s="18">
        <f>C4*'RATES '!$D$4</f>
        <v>19613.5992</v>
      </c>
      <c r="D10" s="18">
        <f>D4*'RATES '!$D$8</f>
        <v>8003.7699999999995</v>
      </c>
      <c r="E10" s="18">
        <f>E4*'RATES '!$D$12</f>
        <v>2037.2142000000001</v>
      </c>
      <c r="F10" s="18">
        <f>F4*'RATES '!$D$16</f>
        <v>3444.3028000000004</v>
      </c>
      <c r="G10" s="18">
        <f>G4*'RATES '!$D$20</f>
        <v>317.45840000000004</v>
      </c>
      <c r="H10" s="18">
        <f>H4*'RATES '!$D$24</f>
        <v>311.8212</v>
      </c>
      <c r="I10" s="18">
        <f>I4*'RATES '!$D$28</f>
        <v>7.8959</v>
      </c>
      <c r="J10" s="18">
        <f>J4*'RATES '!$D$32</f>
        <v>0</v>
      </c>
      <c r="K10" s="18">
        <f>K4*'RATES '!$D$36</f>
        <v>281.77</v>
      </c>
      <c r="L10" s="37">
        <f>SUM(C10:K10)</f>
        <v>34017.8317</v>
      </c>
    </row>
    <row r="11" spans="1:12" ht="12.75">
      <c r="A11" s="17"/>
      <c r="B11" s="14" t="s">
        <v>28</v>
      </c>
      <c r="C11" s="18">
        <f>C5*'RATES '!$D$5</f>
        <v>24515.6448</v>
      </c>
      <c r="D11" s="18">
        <f>D5*'RATES '!$D$9</f>
        <v>21852.228</v>
      </c>
      <c r="E11" s="18">
        <f>E5*'RATES '!$D$13</f>
        <v>5409.6966</v>
      </c>
      <c r="F11" s="18">
        <f>F5*'RATES '!$D$17</f>
        <v>4657.041</v>
      </c>
      <c r="G11" s="18">
        <f>G5*'RATES '!$D$21</f>
        <v>3126.1906000000004</v>
      </c>
      <c r="H11" s="18">
        <f>H5*'RATES '!$D$25</f>
        <v>4420.063999999999</v>
      </c>
      <c r="I11" s="18">
        <f>I5*'RATES '!$D$29</f>
        <v>1809.387</v>
      </c>
      <c r="J11" s="18">
        <f>J5*'RATES '!$D$33</f>
        <v>0</v>
      </c>
      <c r="K11" s="18">
        <f>K5*'RATES '!$D$37</f>
        <v>53.8096</v>
      </c>
      <c r="L11" s="37">
        <f>SUM(C11:K11)</f>
        <v>65844.06159999999</v>
      </c>
    </row>
    <row r="12" spans="1:12" ht="12.75">
      <c r="A12" s="8"/>
      <c r="C12" s="18"/>
      <c r="D12" s="18"/>
      <c r="E12" s="18"/>
      <c r="F12" s="18"/>
      <c r="G12" s="18"/>
      <c r="H12" s="18"/>
      <c r="I12" s="18"/>
      <c r="J12" s="18"/>
      <c r="K12" s="18"/>
      <c r="L12" s="37"/>
    </row>
    <row r="13" spans="3:12" ht="12.75">
      <c r="C13" s="21">
        <f aca="true" t="shared" si="0" ref="C13:K13">SUM(C7:C11)</f>
        <v>57628.68342</v>
      </c>
      <c r="D13" s="21">
        <f t="shared" si="0"/>
        <v>39075.46368</v>
      </c>
      <c r="E13" s="21">
        <f t="shared" si="0"/>
        <v>9758.585011</v>
      </c>
      <c r="F13" s="21">
        <f t="shared" si="0"/>
        <v>10548.061055000002</v>
      </c>
      <c r="G13" s="21">
        <f t="shared" si="0"/>
        <v>4495.582224</v>
      </c>
      <c r="H13" s="21">
        <f t="shared" si="0"/>
        <v>6177.389459999999</v>
      </c>
      <c r="I13" s="21">
        <f t="shared" si="0"/>
        <v>2372.257915</v>
      </c>
      <c r="J13" s="21">
        <f t="shared" si="0"/>
        <v>0</v>
      </c>
      <c r="K13" s="21">
        <f t="shared" si="0"/>
        <v>438.08637099999993</v>
      </c>
      <c r="L13" s="38">
        <f>SUM(L7:L11)-0.15</f>
        <v>130493.95913599999</v>
      </c>
    </row>
    <row r="14" spans="1:12" ht="12.75">
      <c r="A14" s="8"/>
      <c r="B14" s="9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>
      <c r="A15" s="10" t="s">
        <v>30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35"/>
    </row>
    <row r="16" spans="1:12" ht="12.75">
      <c r="A16" s="13" t="s">
        <v>24</v>
      </c>
      <c r="C16" s="14">
        <v>12193</v>
      </c>
      <c r="D16" s="14">
        <v>7680</v>
      </c>
      <c r="E16" s="14">
        <v>937</v>
      </c>
      <c r="F16" s="14">
        <v>1664</v>
      </c>
      <c r="G16" s="14">
        <v>85</v>
      </c>
      <c r="H16" s="14">
        <v>80</v>
      </c>
      <c r="I16" s="14">
        <v>21</v>
      </c>
      <c r="J16" s="15">
        <v>2666</v>
      </c>
      <c r="K16" s="15">
        <v>903</v>
      </c>
      <c r="L16" s="36"/>
    </row>
    <row r="17" spans="1:12" ht="12.75">
      <c r="A17" s="13" t="s">
        <v>25</v>
      </c>
      <c r="C17" s="14">
        <v>9430341</v>
      </c>
      <c r="D17" s="14">
        <v>9742905</v>
      </c>
      <c r="E17" s="14">
        <v>2366636</v>
      </c>
      <c r="F17" s="14">
        <v>2876721</v>
      </c>
      <c r="G17" s="16">
        <v>7712</v>
      </c>
      <c r="H17" s="16">
        <v>6724</v>
      </c>
      <c r="I17" s="16">
        <v>15277</v>
      </c>
      <c r="J17" s="16">
        <v>480</v>
      </c>
      <c r="K17" s="16">
        <v>156</v>
      </c>
      <c r="L17" s="36"/>
    </row>
    <row r="18" spans="1:3" ht="12.75">
      <c r="A18" s="8"/>
      <c r="C18" s="14"/>
    </row>
    <row r="19" spans="1:12" ht="12.75">
      <c r="A19" s="17" t="s">
        <v>26</v>
      </c>
      <c r="B19" s="14" t="s">
        <v>27</v>
      </c>
      <c r="C19" s="18">
        <f>C16*'RATES '!$C$4</f>
        <v>6003.8332</v>
      </c>
      <c r="D19" s="18">
        <f>D16*'RATES '!$C$8</f>
        <v>4220.16</v>
      </c>
      <c r="E19" s="18">
        <f>E16*'RATES '!$C$12</f>
        <v>626.3845</v>
      </c>
      <c r="F19" s="18">
        <f>F16*'RATES '!$C$16</f>
        <v>1415.3984</v>
      </c>
      <c r="G19" s="18">
        <f>G16*'RATES '!$C$20</f>
        <v>99.31400000000001</v>
      </c>
      <c r="H19" s="18">
        <f>H16*'RATES '!$C$24</f>
        <v>102.98400000000001</v>
      </c>
      <c r="I19" s="18">
        <f>I16*'RATES '!$C$28</f>
        <v>2.2028999999999996</v>
      </c>
      <c r="J19" s="18">
        <f>J16*'RATES '!$C$32</f>
        <v>73.5816</v>
      </c>
      <c r="K19" s="18">
        <f>K16*'RATES '!$C$36</f>
        <v>81.8118</v>
      </c>
      <c r="L19" s="37">
        <f>SUM(C19:K19)</f>
        <v>12625.6704</v>
      </c>
    </row>
    <row r="20" spans="1:12" ht="12.75">
      <c r="A20" s="19"/>
      <c r="B20" s="14" t="s">
        <v>28</v>
      </c>
      <c r="C20" s="18">
        <f>C17*'RATES '!$C$5</f>
        <v>6931.300635</v>
      </c>
      <c r="D20" s="18">
        <f>D17*'RATES '!$C$9</f>
        <v>7248.72132</v>
      </c>
      <c r="E20" s="18">
        <f>E17*'RATES '!$C$13</f>
        <v>1625.878932</v>
      </c>
      <c r="F20" s="18">
        <f>F17*'RATES '!$C$17</f>
        <v>1550.552619</v>
      </c>
      <c r="G20" s="18">
        <f>G17*'RATES '!$C$21</f>
        <v>970.817408</v>
      </c>
      <c r="H20" s="18">
        <f>H17*'RATES '!$C$25</f>
        <v>1423.047188</v>
      </c>
      <c r="I20" s="18">
        <f>I17*'RATES '!$C$29</f>
        <v>193.147111</v>
      </c>
      <c r="J20" s="18">
        <f>J17*'RATES '!$C$33</f>
        <v>20.66928</v>
      </c>
      <c r="K20" s="18">
        <f>K17*'RATES '!$C$37</f>
        <v>15.172404</v>
      </c>
      <c r="L20" s="37">
        <f>SUM(C20:K20)</f>
        <v>19979.306896999995</v>
      </c>
    </row>
    <row r="21" ht="12.75">
      <c r="A21" s="20"/>
    </row>
    <row r="22" spans="1:12" ht="12.75">
      <c r="A22" s="17" t="s">
        <v>29</v>
      </c>
      <c r="B22" s="14" t="s">
        <v>27</v>
      </c>
      <c r="C22" s="18">
        <f>C16*'RATES '!$D$4</f>
        <v>19653.8967</v>
      </c>
      <c r="D22" s="18">
        <f>D16*'RATES '!$D$8</f>
        <v>13813.248</v>
      </c>
      <c r="E22" s="18">
        <f>E16*'RATES '!$D$12</f>
        <v>2050.3434</v>
      </c>
      <c r="F22" s="18">
        <f>F16*'RATES '!$D$16</f>
        <v>4633.2416</v>
      </c>
      <c r="G22" s="18">
        <f>G16*'RATES '!$D$20</f>
        <v>325.108</v>
      </c>
      <c r="H22" s="18">
        <f>H16*'RATES '!$D$24</f>
        <v>337.104</v>
      </c>
      <c r="I22" s="18">
        <f>I16*'RATES '!$D$28</f>
        <v>7.2093</v>
      </c>
      <c r="J22" s="18">
        <f>J16*'RATES '!$D$32</f>
        <v>241.00639999999999</v>
      </c>
      <c r="K22" s="18">
        <f>K16*'RATES '!$D$36</f>
        <v>267.8298</v>
      </c>
      <c r="L22" s="37">
        <f>SUM(C22:K22)</f>
        <v>41328.9872</v>
      </c>
    </row>
    <row r="23" spans="1:12" ht="12.75">
      <c r="A23" s="17"/>
      <c r="B23" s="14" t="s">
        <v>28</v>
      </c>
      <c r="C23" s="18">
        <f>C17*'RATES '!$D$5</f>
        <v>22632.818399999996</v>
      </c>
      <c r="D23" s="18">
        <f>D17*'RATES '!$D$9</f>
        <v>23382.971999999998</v>
      </c>
      <c r="E23" s="18">
        <f>E17*'RATES '!$D$13</f>
        <v>5206.599200000001</v>
      </c>
      <c r="F23" s="18">
        <f>F17*'RATES '!$D$17</f>
        <v>5178.0978</v>
      </c>
      <c r="G23" s="18">
        <f>G17*'RATES '!$D$21</f>
        <v>3178.1152</v>
      </c>
      <c r="H23" s="18">
        <f>H17*'RATES '!$D$25</f>
        <v>4658.3872</v>
      </c>
      <c r="I23" s="18">
        <f>I17*'RATES '!$D$29</f>
        <v>632.4678</v>
      </c>
      <c r="J23" s="18">
        <f>J17*'RATES '!$D$33</f>
        <v>67.67999999999999</v>
      </c>
      <c r="K23" s="18">
        <f>K17*'RATES '!$D$37</f>
        <v>49.6704</v>
      </c>
      <c r="L23" s="37">
        <f>SUM(C23:K23)</f>
        <v>64986.808</v>
      </c>
    </row>
    <row r="24" spans="1:12" ht="12.75">
      <c r="A24" s="8"/>
      <c r="C24" s="18"/>
      <c r="D24" s="18"/>
      <c r="E24" s="18"/>
      <c r="F24" s="18"/>
      <c r="G24" s="18"/>
      <c r="H24" s="18"/>
      <c r="I24" s="18"/>
      <c r="J24" s="18"/>
      <c r="K24" s="18"/>
      <c r="L24" s="37"/>
    </row>
    <row r="25" spans="3:12" ht="12.75">
      <c r="C25" s="21">
        <f aca="true" t="shared" si="1" ref="C25:K25">SUM(C19:C23)</f>
        <v>55221.848935</v>
      </c>
      <c r="D25" s="21">
        <f t="shared" si="1"/>
        <v>48665.10132</v>
      </c>
      <c r="E25" s="21">
        <f t="shared" si="1"/>
        <v>9509.206032000002</v>
      </c>
      <c r="F25" s="21">
        <f t="shared" si="1"/>
        <v>12777.290419</v>
      </c>
      <c r="G25" s="21">
        <f t="shared" si="1"/>
        <v>4573.354608</v>
      </c>
      <c r="H25" s="21">
        <f t="shared" si="1"/>
        <v>6521.522388</v>
      </c>
      <c r="I25" s="21">
        <f t="shared" si="1"/>
        <v>835.027111</v>
      </c>
      <c r="J25" s="21">
        <f t="shared" si="1"/>
        <v>402.93728</v>
      </c>
      <c r="K25" s="21">
        <f t="shared" si="1"/>
        <v>414.4844039999999</v>
      </c>
      <c r="L25" s="38">
        <f>SUM(L19:L23)-1.21</f>
        <v>138919.562497</v>
      </c>
    </row>
    <row r="26" spans="1:12" ht="12.75">
      <c r="A26" s="8"/>
      <c r="B26" s="9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5">
      <c r="A27" s="10" t="s">
        <v>31</v>
      </c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35"/>
    </row>
    <row r="28" spans="1:12" ht="12.75">
      <c r="A28" s="13" t="s">
        <v>24</v>
      </c>
      <c r="C28" s="14">
        <v>12349</v>
      </c>
      <c r="D28" s="14">
        <v>5694</v>
      </c>
      <c r="E28" s="14">
        <v>958</v>
      </c>
      <c r="F28" s="14">
        <v>1453</v>
      </c>
      <c r="G28" s="14">
        <v>85</v>
      </c>
      <c r="H28" s="14">
        <v>89</v>
      </c>
      <c r="I28" s="14">
        <v>23</v>
      </c>
      <c r="J28" s="15">
        <v>5332</v>
      </c>
      <c r="K28" s="15">
        <v>769</v>
      </c>
      <c r="L28" s="36"/>
    </row>
    <row r="29" spans="1:12" ht="12.75">
      <c r="A29" s="13" t="s">
        <v>25</v>
      </c>
      <c r="C29" s="14">
        <v>8471520</v>
      </c>
      <c r="D29" s="14">
        <v>8364799</v>
      </c>
      <c r="E29" s="14">
        <v>2212286</v>
      </c>
      <c r="F29" s="14">
        <v>2620089</v>
      </c>
      <c r="G29" s="22">
        <v>7776</v>
      </c>
      <c r="H29" s="22">
        <v>6527</v>
      </c>
      <c r="I29" s="22">
        <v>14945</v>
      </c>
      <c r="J29" s="22">
        <v>961</v>
      </c>
      <c r="K29" s="22">
        <v>134</v>
      </c>
      <c r="L29" s="36"/>
    </row>
    <row r="30" spans="1:3" ht="12.75">
      <c r="A30" s="8"/>
      <c r="C30" s="14"/>
    </row>
    <row r="31" spans="1:12" ht="12.75">
      <c r="A31" s="17" t="s">
        <v>26</v>
      </c>
      <c r="B31" s="14" t="s">
        <v>27</v>
      </c>
      <c r="C31" s="18">
        <f>C28*'RATES '!$C$4</f>
        <v>6080.6476</v>
      </c>
      <c r="D31" s="18">
        <f>D28*'RATES '!$C$8</f>
        <v>3128.853</v>
      </c>
      <c r="E31" s="18">
        <f>E28*'RATES '!$C$12</f>
        <v>640.423</v>
      </c>
      <c r="F31" s="18">
        <f>F28*'RATES '!$C$16</f>
        <v>1235.9218</v>
      </c>
      <c r="G31" s="18">
        <f>G28*'RATES '!$C$20</f>
        <v>99.31400000000001</v>
      </c>
      <c r="H31" s="18">
        <f>H28*'RATES '!$C$24</f>
        <v>114.56970000000001</v>
      </c>
      <c r="I31" s="18">
        <f>I28*'RATES '!$C$28</f>
        <v>2.4127</v>
      </c>
      <c r="J31" s="18">
        <f>J28*'RATES '!$C$32</f>
        <v>147.1632</v>
      </c>
      <c r="K31" s="18">
        <f>K28*'RATES '!$C$36</f>
        <v>69.6714</v>
      </c>
      <c r="L31" s="37">
        <f>SUM(C31:K31)</f>
        <v>11518.976400000001</v>
      </c>
    </row>
    <row r="32" spans="1:12" ht="12.75">
      <c r="A32" s="19"/>
      <c r="B32" s="14" t="s">
        <v>28</v>
      </c>
      <c r="C32" s="18">
        <f>C29*'RATES '!$C$5</f>
        <v>6226.5671999999995</v>
      </c>
      <c r="D32" s="18">
        <f>D29*'RATES '!$C$9</f>
        <v>6223.410456</v>
      </c>
      <c r="E32" s="18">
        <f>E29*'RATES '!$C$13</f>
        <v>1519.840482</v>
      </c>
      <c r="F32" s="18">
        <f>F29*'RATES '!$C$17</f>
        <v>1412.227971</v>
      </c>
      <c r="G32" s="18">
        <f>G29*'RATES '!$C$21</f>
        <v>978.873984</v>
      </c>
      <c r="H32" s="18">
        <f>H29*'RATES '!$C$25</f>
        <v>1381.354699</v>
      </c>
      <c r="I32" s="18">
        <f>I29*'RATES '!$C$29</f>
        <v>188.949635</v>
      </c>
      <c r="J32" s="18">
        <f>J29*'RATES '!$C$33</f>
        <v>41.381621</v>
      </c>
      <c r="K32" s="18">
        <f>K29*'RATES '!$C$37</f>
        <v>13.032706</v>
      </c>
      <c r="L32" s="37">
        <f>SUM(C32:K32)</f>
        <v>17985.638754000003</v>
      </c>
    </row>
    <row r="33" ht="12.75">
      <c r="A33" s="20"/>
    </row>
    <row r="34" spans="1:12" ht="12.75">
      <c r="A34" s="17" t="s">
        <v>29</v>
      </c>
      <c r="B34" s="14" t="s">
        <v>27</v>
      </c>
      <c r="C34" s="18">
        <f>C28*'RATES '!$D$4</f>
        <v>19905.3531</v>
      </c>
      <c r="D34" s="18">
        <f>D28*'RATES '!$D$8</f>
        <v>10241.2284</v>
      </c>
      <c r="E34" s="18">
        <f>E28*'RATES '!$D$12</f>
        <v>2096.2956</v>
      </c>
      <c r="F34" s="18">
        <f>F28*'RATES '!$D$16</f>
        <v>4045.7332</v>
      </c>
      <c r="G34" s="18">
        <f>G28*'RATES '!$D$20</f>
        <v>325.108</v>
      </c>
      <c r="H34" s="18">
        <f>H28*'RATES '!$D$24</f>
        <v>375.0282</v>
      </c>
      <c r="I34" s="18">
        <f>I28*'RATES '!$D$28</f>
        <v>7.8959</v>
      </c>
      <c r="J34" s="18">
        <f>J28*'RATES '!$D$32</f>
        <v>482.01279999999997</v>
      </c>
      <c r="K34" s="18">
        <f>K28*'RATES '!$D$36</f>
        <v>228.0854</v>
      </c>
      <c r="L34" s="37">
        <f>SUM(C34:K34)</f>
        <v>37706.740600000005</v>
      </c>
    </row>
    <row r="35" spans="1:12" ht="12.75">
      <c r="A35" s="17"/>
      <c r="B35" s="14" t="s">
        <v>28</v>
      </c>
      <c r="C35" s="18">
        <f>C29*'RATES '!$D$5</f>
        <v>20331.647999999997</v>
      </c>
      <c r="D35" s="18">
        <f>D29*'RATES '!$D$9</f>
        <v>20075.5176</v>
      </c>
      <c r="E35" s="18">
        <f>E29*'RATES '!$D$13</f>
        <v>4867.0292</v>
      </c>
      <c r="F35" s="18">
        <f>F29*'RATES '!$D$17</f>
        <v>4716.1602</v>
      </c>
      <c r="G35" s="18">
        <f>G29*'RATES '!$D$21</f>
        <v>3204.4896000000003</v>
      </c>
      <c r="H35" s="18">
        <f>H29*'RATES '!$D$25</f>
        <v>4521.9056</v>
      </c>
      <c r="I35" s="18">
        <f>I29*'RATES '!$D$29</f>
        <v>618.723</v>
      </c>
      <c r="J35" s="18">
        <f>J29*'RATES '!$D$33</f>
        <v>135.50099999999998</v>
      </c>
      <c r="K35" s="18">
        <f>K29*'RATES '!$D$37</f>
        <v>42.665600000000005</v>
      </c>
      <c r="L35" s="37">
        <f>SUM(C35:K35)</f>
        <v>58513.63979999998</v>
      </c>
    </row>
    <row r="36" spans="1:12" ht="12.75">
      <c r="A36" s="8"/>
      <c r="C36" s="18"/>
      <c r="D36" s="18"/>
      <c r="E36" s="18"/>
      <c r="F36" s="18"/>
      <c r="G36" s="18"/>
      <c r="H36" s="18"/>
      <c r="I36" s="18"/>
      <c r="J36" s="18"/>
      <c r="K36" s="18"/>
      <c r="L36" s="37"/>
    </row>
    <row r="37" spans="3:12" ht="12.75">
      <c r="C37" s="21">
        <f aca="true" t="shared" si="2" ref="C37:K37">SUM(C31:C35)</f>
        <v>52544.215899999996</v>
      </c>
      <c r="D37" s="21">
        <f t="shared" si="2"/>
        <v>39669.009456</v>
      </c>
      <c r="E37" s="21">
        <f t="shared" si="2"/>
        <v>9123.588282</v>
      </c>
      <c r="F37" s="21">
        <f t="shared" si="2"/>
        <v>11410.043171000001</v>
      </c>
      <c r="G37" s="21">
        <f t="shared" si="2"/>
        <v>4607.785584</v>
      </c>
      <c r="H37" s="21">
        <f t="shared" si="2"/>
        <v>6392.858199</v>
      </c>
      <c r="I37" s="21">
        <f t="shared" si="2"/>
        <v>817.981235</v>
      </c>
      <c r="J37" s="21">
        <f t="shared" si="2"/>
        <v>806.0586209999999</v>
      </c>
      <c r="K37" s="21">
        <f t="shared" si="2"/>
        <v>353.455106</v>
      </c>
      <c r="L37" s="38">
        <f>SUM(L31:L35)-0.41</f>
        <v>125724.58555399999</v>
      </c>
    </row>
    <row r="38" spans="1:12" ht="12.75">
      <c r="A38" s="8"/>
      <c r="B38" s="9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5">
      <c r="A39" s="10" t="s">
        <v>32</v>
      </c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35"/>
    </row>
    <row r="40" spans="1:12" ht="12.75">
      <c r="A40" s="13" t="s">
        <v>24</v>
      </c>
      <c r="C40" s="14">
        <v>12198</v>
      </c>
      <c r="D40" s="14">
        <v>5615</v>
      </c>
      <c r="E40" s="14">
        <v>969</v>
      </c>
      <c r="F40" s="14">
        <v>1398</v>
      </c>
      <c r="G40" s="14">
        <v>84</v>
      </c>
      <c r="H40" s="14">
        <v>90</v>
      </c>
      <c r="I40" s="14">
        <v>21</v>
      </c>
      <c r="J40" s="15">
        <v>0</v>
      </c>
      <c r="K40" s="15">
        <v>796</v>
      </c>
      <c r="L40" s="36"/>
    </row>
    <row r="41" spans="1:12" ht="12.75">
      <c r="A41" s="13" t="s">
        <v>25</v>
      </c>
      <c r="C41" s="14">
        <v>8179883</v>
      </c>
      <c r="D41" s="14">
        <v>7450290</v>
      </c>
      <c r="E41" s="14">
        <v>2263956</v>
      </c>
      <c r="F41" s="14">
        <v>2535683</v>
      </c>
      <c r="G41" s="22">
        <v>6754</v>
      </c>
      <c r="H41" s="22">
        <v>8633</v>
      </c>
      <c r="I41" s="22">
        <v>12026</v>
      </c>
      <c r="J41" s="22">
        <v>0</v>
      </c>
      <c r="K41" s="22">
        <v>137</v>
      </c>
      <c r="L41" s="36"/>
    </row>
    <row r="42" spans="1:3" ht="12.75">
      <c r="A42" s="8"/>
      <c r="C42" s="14"/>
    </row>
    <row r="43" spans="1:12" ht="12.75">
      <c r="A43" s="17" t="s">
        <v>26</v>
      </c>
      <c r="B43" s="14" t="s">
        <v>27</v>
      </c>
      <c r="C43" s="18">
        <f>C40*'RATES '!$C$4</f>
        <v>6006.2952000000005</v>
      </c>
      <c r="D43" s="18">
        <f>D40*'RATES '!$C$8</f>
        <v>3085.4425</v>
      </c>
      <c r="E43" s="18">
        <f>E40*'RATES '!$C$12</f>
        <v>647.7764999999999</v>
      </c>
      <c r="F43" s="18">
        <f>F40*'RATES '!$C$16</f>
        <v>1189.1388</v>
      </c>
      <c r="G43" s="18">
        <f>G40*'RATES '!$C$20</f>
        <v>98.1456</v>
      </c>
      <c r="H43" s="18">
        <f>H40*'RATES '!$C$24</f>
        <v>115.85700000000001</v>
      </c>
      <c r="I43" s="18">
        <f>I40*'RATES '!$C$28</f>
        <v>2.2028999999999996</v>
      </c>
      <c r="J43" s="18">
        <f>J40*'RATES '!$C$32</f>
        <v>0</v>
      </c>
      <c r="K43" s="18">
        <f>K40*'RATES '!$C$36</f>
        <v>72.1176</v>
      </c>
      <c r="L43" s="37">
        <f>SUM(C43:K43)</f>
        <v>11216.976100000002</v>
      </c>
    </row>
    <row r="44" spans="1:12" ht="12.75">
      <c r="A44" s="19"/>
      <c r="B44" s="14" t="s">
        <v>28</v>
      </c>
      <c r="C44" s="18">
        <f>C41*'RATES '!$C$5</f>
        <v>6012.214005</v>
      </c>
      <c r="D44" s="18">
        <f>D41*'RATES '!$C$9</f>
        <v>5543.01576</v>
      </c>
      <c r="E44" s="18">
        <f>E41*'RATES '!$C$13</f>
        <v>1555.337772</v>
      </c>
      <c r="F44" s="18">
        <f>F41*'RATES '!$C$17</f>
        <v>1366.733137</v>
      </c>
      <c r="G44" s="18">
        <f>G41*'RATES '!$C$21</f>
        <v>850.2205359999999</v>
      </c>
      <c r="H44" s="18">
        <f>H41*'RATES '!$C$25</f>
        <v>1827.062221</v>
      </c>
      <c r="I44" s="18">
        <f>I41*'RATES '!$C$29</f>
        <v>152.044718</v>
      </c>
      <c r="J44" s="18">
        <f>J41*'RATES '!$C$33</f>
        <v>0</v>
      </c>
      <c r="K44" s="18">
        <f>K41*'RATES '!$C$37</f>
        <v>13.324482999999999</v>
      </c>
      <c r="L44" s="37">
        <f>SUM(C44:K44)</f>
        <v>17319.952632</v>
      </c>
    </row>
    <row r="45" ht="12.75">
      <c r="A45" s="20"/>
    </row>
    <row r="46" spans="1:12" ht="12.75">
      <c r="A46" s="17" t="s">
        <v>29</v>
      </c>
      <c r="B46" s="14" t="s">
        <v>27</v>
      </c>
      <c r="C46" s="18">
        <f>C40*'RATES '!$D$4</f>
        <v>19661.9562</v>
      </c>
      <c r="D46" s="18">
        <f>D40*'RATES '!$D$8</f>
        <v>10099.139</v>
      </c>
      <c r="E46" s="18">
        <f>E40*'RATES '!$D$12</f>
        <v>2120.3658</v>
      </c>
      <c r="F46" s="18">
        <f>F40*'RATES '!$D$16</f>
        <v>3892.5912000000003</v>
      </c>
      <c r="G46" s="18">
        <f>G40*'RATES '!$D$20</f>
        <v>321.2832</v>
      </c>
      <c r="H46" s="18">
        <f>H40*'RATES '!$D$24</f>
        <v>379.242</v>
      </c>
      <c r="I46" s="18">
        <f>I40*'RATES '!$D$28</f>
        <v>7.2093</v>
      </c>
      <c r="J46" s="18">
        <f>J40*'RATES '!$D$32</f>
        <v>0</v>
      </c>
      <c r="K46" s="18">
        <f>K40*'RATES '!$D$36</f>
        <v>236.09359999999998</v>
      </c>
      <c r="L46" s="37">
        <f>SUM(C46:K46)</f>
        <v>36717.8803</v>
      </c>
    </row>
    <row r="47" spans="1:12" ht="12.75">
      <c r="A47" s="17"/>
      <c r="B47" s="14" t="s">
        <v>28</v>
      </c>
      <c r="C47" s="18">
        <f>C41*'RATES '!$D$5</f>
        <v>19631.7192</v>
      </c>
      <c r="D47" s="18">
        <f>D41*'RATES '!$D$9</f>
        <v>17880.696</v>
      </c>
      <c r="E47" s="18">
        <f>E41*'RATES '!$D$13</f>
        <v>4980.7032</v>
      </c>
      <c r="F47" s="18">
        <f>F41*'RATES '!$D$17</f>
        <v>4564.2294</v>
      </c>
      <c r="G47" s="18">
        <f>G41*'RATES '!$D$21</f>
        <v>2783.3234</v>
      </c>
      <c r="H47" s="18">
        <f>H41*'RATES '!$D$25</f>
        <v>5980.9424</v>
      </c>
      <c r="I47" s="18">
        <f>I41*'RATES '!$D$29</f>
        <v>497.8764</v>
      </c>
      <c r="J47" s="18">
        <f>J41*'RATES '!$D$33</f>
        <v>0</v>
      </c>
      <c r="K47" s="18">
        <f>K41*'RATES '!$D$37</f>
        <v>43.6208</v>
      </c>
      <c r="L47" s="37">
        <f>SUM(C47:K47)</f>
        <v>56363.1108</v>
      </c>
    </row>
    <row r="48" spans="1:12" ht="12.75">
      <c r="A48" s="8"/>
      <c r="C48" s="18"/>
      <c r="D48" s="18"/>
      <c r="E48" s="18"/>
      <c r="F48" s="18"/>
      <c r="G48" s="18"/>
      <c r="H48" s="18"/>
      <c r="I48" s="18"/>
      <c r="J48" s="18"/>
      <c r="K48" s="18"/>
      <c r="L48" s="37"/>
    </row>
    <row r="49" spans="3:12" ht="12.75">
      <c r="C49" s="21">
        <f aca="true" t="shared" si="3" ref="C49:K49">SUM(C43:C47)</f>
        <v>51312.184605</v>
      </c>
      <c r="D49" s="21">
        <f t="shared" si="3"/>
        <v>36608.29326</v>
      </c>
      <c r="E49" s="21">
        <f t="shared" si="3"/>
        <v>9304.183272</v>
      </c>
      <c r="F49" s="21">
        <f t="shared" si="3"/>
        <v>11012.692537</v>
      </c>
      <c r="G49" s="21">
        <f t="shared" si="3"/>
        <v>4052.972736</v>
      </c>
      <c r="H49" s="21">
        <f t="shared" si="3"/>
        <v>8303.103621</v>
      </c>
      <c r="I49" s="21">
        <f t="shared" si="3"/>
        <v>659.333318</v>
      </c>
      <c r="J49" s="21">
        <f t="shared" si="3"/>
        <v>0</v>
      </c>
      <c r="K49" s="21">
        <f t="shared" si="3"/>
        <v>365.156483</v>
      </c>
      <c r="L49" s="38">
        <f>SUM(L43:L47)+0.16</f>
        <v>121618.079832</v>
      </c>
    </row>
    <row r="51" spans="1:12" ht="15">
      <c r="A51" s="10" t="s">
        <v>33</v>
      </c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35"/>
    </row>
    <row r="52" spans="1:12" ht="12.75">
      <c r="A52" s="13" t="s">
        <v>24</v>
      </c>
      <c r="C52" s="14">
        <v>12076</v>
      </c>
      <c r="D52" s="14">
        <v>5628</v>
      </c>
      <c r="E52" s="14">
        <v>941</v>
      </c>
      <c r="F52" s="14">
        <v>1460</v>
      </c>
      <c r="G52" s="14">
        <v>87</v>
      </c>
      <c r="H52" s="14">
        <v>85</v>
      </c>
      <c r="I52" s="14">
        <v>21</v>
      </c>
      <c r="J52" s="15">
        <v>2666</v>
      </c>
      <c r="K52" s="15">
        <v>798</v>
      </c>
      <c r="L52" s="36"/>
    </row>
    <row r="53" spans="1:12" ht="12.75">
      <c r="A53" s="13" t="s">
        <v>25</v>
      </c>
      <c r="C53" s="14">
        <v>7437215</v>
      </c>
      <c r="D53" s="14">
        <v>6605285</v>
      </c>
      <c r="E53" s="14">
        <v>1971173</v>
      </c>
      <c r="F53" s="14">
        <v>2422469</v>
      </c>
      <c r="G53" s="22">
        <v>7468</v>
      </c>
      <c r="H53" s="22">
        <v>6646</v>
      </c>
      <c r="I53" s="22">
        <v>12748</v>
      </c>
      <c r="J53" s="22">
        <v>480</v>
      </c>
      <c r="K53" s="22">
        <v>138</v>
      </c>
      <c r="L53" s="36"/>
    </row>
    <row r="54" spans="1:3" ht="12.75">
      <c r="A54" s="8"/>
      <c r="C54" s="14"/>
    </row>
    <row r="55" spans="1:12" ht="12.75">
      <c r="A55" s="17" t="s">
        <v>26</v>
      </c>
      <c r="B55" s="14" t="s">
        <v>27</v>
      </c>
      <c r="C55" s="18">
        <f>C52*'RATES '!$C$4</f>
        <v>5946.2224</v>
      </c>
      <c r="D55" s="18">
        <f>D52*'RATES '!$C$8</f>
        <v>3092.586</v>
      </c>
      <c r="E55" s="18">
        <f>E52*'RATES '!$C$12</f>
        <v>629.0585</v>
      </c>
      <c r="F55" s="18">
        <f>F52*'RATES '!$C$16</f>
        <v>1241.876</v>
      </c>
      <c r="G55" s="18">
        <f>G52*'RATES '!$C$20</f>
        <v>101.6508</v>
      </c>
      <c r="H55" s="18">
        <f>H52*'RATES '!$C$24</f>
        <v>109.4205</v>
      </c>
      <c r="I55" s="18">
        <f>I52*'RATES '!$C$28</f>
        <v>2.2028999999999996</v>
      </c>
      <c r="J55" s="18">
        <f>J52*'RATES '!$C$32</f>
        <v>73.5816</v>
      </c>
      <c r="K55" s="18">
        <f>K52*'RATES '!$C$36</f>
        <v>72.2988</v>
      </c>
      <c r="L55" s="37">
        <f>SUM(C55:K55)</f>
        <v>11268.8975</v>
      </c>
    </row>
    <row r="56" spans="1:12" ht="12.75">
      <c r="A56" s="19"/>
      <c r="B56" s="14" t="s">
        <v>28</v>
      </c>
      <c r="C56" s="18">
        <f>C53*'RATES '!$C$5</f>
        <v>5466.353024999999</v>
      </c>
      <c r="D56" s="18">
        <f>D53*'RATES '!$C$9</f>
        <v>4914.33204</v>
      </c>
      <c r="E56" s="18">
        <f>E53*'RATES '!$C$13</f>
        <v>1354.195851</v>
      </c>
      <c r="F56" s="18">
        <f>F53*'RATES '!$C$17</f>
        <v>1305.710791</v>
      </c>
      <c r="G56" s="18">
        <f>G53*'RATES '!$C$21</f>
        <v>940.101712</v>
      </c>
      <c r="H56" s="18">
        <f>H53*'RATES '!$C$25</f>
        <v>1406.5395019999999</v>
      </c>
      <c r="I56" s="18">
        <f>I53*'RATES '!$C$29</f>
        <v>161.172964</v>
      </c>
      <c r="J56" s="18">
        <f>J53*'RATES '!$C$33</f>
        <v>20.66928</v>
      </c>
      <c r="K56" s="18">
        <f>K53*'RATES '!$C$37</f>
        <v>13.421742</v>
      </c>
      <c r="L56" s="37">
        <f>SUM(C56:K56)</f>
        <v>15582.496906999999</v>
      </c>
    </row>
    <row r="57" ht="12.75">
      <c r="A57" s="20"/>
    </row>
    <row r="58" spans="1:12" ht="12.75">
      <c r="A58" s="17" t="s">
        <v>29</v>
      </c>
      <c r="B58" s="14" t="s">
        <v>27</v>
      </c>
      <c r="C58" s="18">
        <f>C52*'RATES '!$D$4</f>
        <v>19465.3044</v>
      </c>
      <c r="D58" s="18">
        <f>D52*'RATES '!$D$8</f>
        <v>10122.5208</v>
      </c>
      <c r="E58" s="18">
        <f>E52*'RATES '!$D$12</f>
        <v>2059.0962</v>
      </c>
      <c r="F58" s="18">
        <f>F52*'RATES '!$D$16</f>
        <v>4065.224</v>
      </c>
      <c r="G58" s="18">
        <f>G52*'RATES '!$D$20</f>
        <v>332.7576</v>
      </c>
      <c r="H58" s="18">
        <f>H52*'RATES '!$D$24</f>
        <v>358.173</v>
      </c>
      <c r="I58" s="18">
        <f>I52*'RATES '!$D$28</f>
        <v>7.2093</v>
      </c>
      <c r="J58" s="18">
        <f>J52*'RATES '!$D$32</f>
        <v>241.00639999999999</v>
      </c>
      <c r="K58" s="18">
        <f>K52*'RATES '!$D$36</f>
        <v>236.68679999999998</v>
      </c>
      <c r="L58" s="37">
        <f>SUM(C58:K58)</f>
        <v>36887.978500000005</v>
      </c>
    </row>
    <row r="59" spans="1:12" ht="12.75">
      <c r="A59" s="17"/>
      <c r="B59" s="14" t="s">
        <v>28</v>
      </c>
      <c r="C59" s="18">
        <f>C53*'RATES '!$D$5</f>
        <v>17849.316</v>
      </c>
      <c r="D59" s="18">
        <f>D53*'RATES '!$D$9</f>
        <v>15852.684</v>
      </c>
      <c r="E59" s="18">
        <f>E53*'RATES '!$D$13</f>
        <v>4336.5806</v>
      </c>
      <c r="F59" s="18">
        <f>F53*'RATES '!$D$17</f>
        <v>4360.4442</v>
      </c>
      <c r="G59" s="18">
        <f>G53*'RATES '!$D$21</f>
        <v>3077.5628</v>
      </c>
      <c r="H59" s="18">
        <f>H53*'RATES '!$D$25</f>
        <v>4604.3488</v>
      </c>
      <c r="I59" s="18">
        <f>I53*'RATES '!$D$29</f>
        <v>527.7672</v>
      </c>
      <c r="J59" s="18">
        <f>J53*'RATES '!$D$33</f>
        <v>67.67999999999999</v>
      </c>
      <c r="K59" s="18">
        <f>K53*'RATES '!$D$37</f>
        <v>43.9392</v>
      </c>
      <c r="L59" s="37">
        <f>SUM(C59:K59)</f>
        <v>50720.3228</v>
      </c>
    </row>
    <row r="60" spans="1:12" ht="12.75">
      <c r="A60" s="8"/>
      <c r="C60" s="18"/>
      <c r="D60" s="18"/>
      <c r="E60" s="18"/>
      <c r="F60" s="18"/>
      <c r="G60" s="18"/>
      <c r="H60" s="18"/>
      <c r="I60" s="18"/>
      <c r="J60" s="18"/>
      <c r="K60" s="18"/>
      <c r="L60" s="37"/>
    </row>
    <row r="61" spans="3:12" ht="12.75">
      <c r="C61" s="21">
        <f aca="true" t="shared" si="4" ref="C61:K61">SUM(C55:C59)</f>
        <v>48727.195825</v>
      </c>
      <c r="D61" s="21">
        <f t="shared" si="4"/>
        <v>33982.12284</v>
      </c>
      <c r="E61" s="21">
        <f t="shared" si="4"/>
        <v>8378.931151</v>
      </c>
      <c r="F61" s="21">
        <f t="shared" si="4"/>
        <v>10973.254991</v>
      </c>
      <c r="G61" s="21">
        <f t="shared" si="4"/>
        <v>4452.072912</v>
      </c>
      <c r="H61" s="21">
        <f t="shared" si="4"/>
        <v>6478.481801999999</v>
      </c>
      <c r="I61" s="21">
        <f t="shared" si="4"/>
        <v>698.3523640000001</v>
      </c>
      <c r="J61" s="21">
        <f t="shared" si="4"/>
        <v>402.93728</v>
      </c>
      <c r="K61" s="21">
        <f t="shared" si="4"/>
        <v>366.346542</v>
      </c>
      <c r="L61" s="38">
        <f>SUM(L55:L59)-0.21</f>
        <v>114459.485707</v>
      </c>
    </row>
    <row r="63" spans="1:12" ht="15">
      <c r="A63" s="10" t="s">
        <v>34</v>
      </c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35"/>
    </row>
    <row r="64" spans="1:12" ht="12.75">
      <c r="A64" s="13" t="s">
        <v>24</v>
      </c>
      <c r="C64" s="14">
        <v>12003</v>
      </c>
      <c r="D64" s="14">
        <v>5604</v>
      </c>
      <c r="E64" s="14">
        <v>981</v>
      </c>
      <c r="F64" s="14">
        <v>901</v>
      </c>
      <c r="G64" s="14">
        <v>57</v>
      </c>
      <c r="H64" s="14">
        <v>54</v>
      </c>
      <c r="I64" s="14">
        <v>34</v>
      </c>
      <c r="J64" s="15">
        <v>5332</v>
      </c>
      <c r="K64" s="15">
        <v>772</v>
      </c>
      <c r="L64" s="36"/>
    </row>
    <row r="65" spans="1:12" ht="12.75">
      <c r="A65" s="13" t="s">
        <v>25</v>
      </c>
      <c r="C65" s="14">
        <v>6492637</v>
      </c>
      <c r="D65" s="14">
        <v>5564946</v>
      </c>
      <c r="E65" s="14">
        <v>1972136</v>
      </c>
      <c r="F65" s="14">
        <v>2206716</v>
      </c>
      <c r="G65" s="22">
        <v>3484</v>
      </c>
      <c r="H65" s="22">
        <v>3766</v>
      </c>
      <c r="I65" s="22">
        <v>75657</v>
      </c>
      <c r="J65" s="22">
        <v>961</v>
      </c>
      <c r="K65" s="22">
        <v>137</v>
      </c>
      <c r="L65" s="36"/>
    </row>
    <row r="66" spans="1:3" ht="12.75">
      <c r="A66" s="8"/>
      <c r="C66" s="14"/>
    </row>
    <row r="67" spans="1:12" ht="12.75">
      <c r="A67" s="17" t="s">
        <v>26</v>
      </c>
      <c r="B67" s="14" t="s">
        <v>27</v>
      </c>
      <c r="C67" s="18">
        <f>C64*'RATES '!$C$4</f>
        <v>5910.2772</v>
      </c>
      <c r="D67" s="18">
        <f>D64*'RATES '!$C$8</f>
        <v>3079.398</v>
      </c>
      <c r="E67" s="18">
        <f>E64*'RATES '!$C$12</f>
        <v>655.7985</v>
      </c>
      <c r="F67" s="18">
        <f>F64*'RATES '!$C$16</f>
        <v>766.3906000000001</v>
      </c>
      <c r="G67" s="18">
        <f>G64*'RATES '!$C$20</f>
        <v>66.59880000000001</v>
      </c>
      <c r="H67" s="18">
        <f>H64*'RATES '!$C$24</f>
        <v>69.5142</v>
      </c>
      <c r="I67" s="18">
        <f>I64*'RATES '!$C$28</f>
        <v>3.5665999999999998</v>
      </c>
      <c r="J67" s="18">
        <f>J64*'RATES '!$C$32</f>
        <v>147.1632</v>
      </c>
      <c r="K67" s="18">
        <f>K64*'RATES '!$C$36</f>
        <v>69.9432</v>
      </c>
      <c r="L67" s="37">
        <f>SUM(C67:K67)</f>
        <v>10768.650300000003</v>
      </c>
    </row>
    <row r="68" spans="1:12" ht="12.75">
      <c r="A68" s="19"/>
      <c r="B68" s="14" t="s">
        <v>28</v>
      </c>
      <c r="C68" s="18">
        <f>C65*'RATES '!$C$5</f>
        <v>4772.088195</v>
      </c>
      <c r="D68" s="18">
        <f>D65*'RATES '!$C$9</f>
        <v>4140.319824</v>
      </c>
      <c r="E68" s="18">
        <f>E65*'RATES '!$C$13</f>
        <v>1354.857432</v>
      </c>
      <c r="F68" s="18">
        <f>F65*'RATES '!$C$17</f>
        <v>1189.419924</v>
      </c>
      <c r="G68" s="18">
        <f>G65*'RATES '!$C$21</f>
        <v>438.579856</v>
      </c>
      <c r="H68" s="18">
        <f>H65*'RATES '!$C$25</f>
        <v>797.024942</v>
      </c>
      <c r="I68" s="18">
        <f>I65*'RATES '!$C$29</f>
        <v>956.531451</v>
      </c>
      <c r="J68" s="18">
        <f>J65*'RATES '!$C$33</f>
        <v>41.381621</v>
      </c>
      <c r="K68" s="18">
        <f>K65*'RATES '!$C$37</f>
        <v>13.324482999999999</v>
      </c>
      <c r="L68" s="37">
        <f>SUM(C68:K68)</f>
        <v>13703.527728000003</v>
      </c>
    </row>
    <row r="69" ht="12.75">
      <c r="A69" s="20"/>
    </row>
    <row r="70" spans="1:12" ht="12.75">
      <c r="A70" s="17" t="s">
        <v>29</v>
      </c>
      <c r="B70" s="14" t="s">
        <v>27</v>
      </c>
      <c r="C70" s="18">
        <f>C64*'RATES '!$D$4</f>
        <v>19347.635700000003</v>
      </c>
      <c r="D70" s="18">
        <f>D64*'RATES '!$D$8</f>
        <v>10079.3544</v>
      </c>
      <c r="E70" s="18">
        <f>E64*'RATES '!$D$12</f>
        <v>2146.6242</v>
      </c>
      <c r="F70" s="18">
        <f>F64*'RATES '!$D$16</f>
        <v>2508.7444</v>
      </c>
      <c r="G70" s="18">
        <f>G64*'RATES '!$D$20</f>
        <v>218.01360000000003</v>
      </c>
      <c r="H70" s="18">
        <f>H64*'RATES '!$D$24</f>
        <v>227.5452</v>
      </c>
      <c r="I70" s="18">
        <f>I64*'RATES '!$D$28</f>
        <v>11.6722</v>
      </c>
      <c r="J70" s="18">
        <f>J64*'RATES '!$D$32</f>
        <v>482.01279999999997</v>
      </c>
      <c r="K70" s="18">
        <f>K64*'RATES '!$D$36</f>
        <v>228.97519999999997</v>
      </c>
      <c r="L70" s="37">
        <f>SUM(C70:K70)</f>
        <v>35250.5777</v>
      </c>
    </row>
    <row r="71" spans="1:12" ht="12.75">
      <c r="A71" s="17"/>
      <c r="B71" s="14" t="s">
        <v>28</v>
      </c>
      <c r="C71" s="18">
        <f>C65*'RATES '!$D$5</f>
        <v>15582.3288</v>
      </c>
      <c r="D71" s="18">
        <f>D65*'RATES '!$D$9</f>
        <v>13355.870399999998</v>
      </c>
      <c r="E71" s="18">
        <f>E65*'RATES '!$D$13</f>
        <v>4338.6992</v>
      </c>
      <c r="F71" s="18">
        <f>F65*'RATES '!$D$17</f>
        <v>3972.0888</v>
      </c>
      <c r="G71" s="18">
        <f>G65*'RATES '!$D$21</f>
        <v>1435.7564</v>
      </c>
      <c r="H71" s="18">
        <f>H65*'RATES '!$D$25</f>
        <v>2609.0848</v>
      </c>
      <c r="I71" s="18">
        <f>I65*'RATES '!$D$29</f>
        <v>3132.1998</v>
      </c>
      <c r="J71" s="18">
        <f>J65*'RATES '!$D$33</f>
        <v>135.50099999999998</v>
      </c>
      <c r="K71" s="18">
        <f>K65*'RATES '!$D$37</f>
        <v>43.6208</v>
      </c>
      <c r="L71" s="37">
        <f>SUM(C71:K71)</f>
        <v>44605.14999999999</v>
      </c>
    </row>
    <row r="72" spans="1:12" ht="12.75">
      <c r="A72" s="8"/>
      <c r="C72" s="18"/>
      <c r="D72" s="18"/>
      <c r="E72" s="18"/>
      <c r="F72" s="18"/>
      <c r="G72" s="18"/>
      <c r="H72" s="18"/>
      <c r="I72" s="18"/>
      <c r="J72" s="18"/>
      <c r="K72" s="18"/>
      <c r="L72" s="37"/>
    </row>
    <row r="73" spans="3:12" ht="12.75">
      <c r="C73" s="21">
        <f aca="true" t="shared" si="5" ref="C73:L73">SUM(C67:C71)</f>
        <v>45612.329895</v>
      </c>
      <c r="D73" s="21">
        <f t="shared" si="5"/>
        <v>30654.942623999996</v>
      </c>
      <c r="E73" s="21">
        <f t="shared" si="5"/>
        <v>8495.979331999999</v>
      </c>
      <c r="F73" s="21">
        <f t="shared" si="5"/>
        <v>8436.643724</v>
      </c>
      <c r="G73" s="21">
        <f t="shared" si="5"/>
        <v>2158.948656</v>
      </c>
      <c r="H73" s="21">
        <f t="shared" si="5"/>
        <v>3703.1691419999997</v>
      </c>
      <c r="I73" s="21">
        <f t="shared" si="5"/>
        <v>4103.970051</v>
      </c>
      <c r="J73" s="21">
        <f t="shared" si="5"/>
        <v>806.0586209999999</v>
      </c>
      <c r="K73" s="21">
        <f t="shared" si="5"/>
        <v>355.86368300000004</v>
      </c>
      <c r="L73" s="38">
        <f t="shared" si="5"/>
        <v>104327.90572799998</v>
      </c>
    </row>
    <row r="75" spans="1:12" ht="15">
      <c r="A75" s="10" t="s">
        <v>35</v>
      </c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35"/>
    </row>
    <row r="76" spans="1:12" ht="12.75">
      <c r="A76" s="13" t="s">
        <v>24</v>
      </c>
      <c r="C76" s="14">
        <v>11957</v>
      </c>
      <c r="D76" s="14">
        <v>5663</v>
      </c>
      <c r="E76" s="14">
        <v>950</v>
      </c>
      <c r="F76" s="14">
        <v>881</v>
      </c>
      <c r="G76" s="14">
        <v>99</v>
      </c>
      <c r="H76" s="14">
        <v>94</v>
      </c>
      <c r="I76" s="14">
        <v>23</v>
      </c>
      <c r="J76" s="15">
        <v>0</v>
      </c>
      <c r="K76" s="15">
        <v>892</v>
      </c>
      <c r="L76" s="36"/>
    </row>
    <row r="77" spans="1:12" ht="12.75">
      <c r="A77" s="13" t="s">
        <v>25</v>
      </c>
      <c r="C77" s="14">
        <v>7108486</v>
      </c>
      <c r="D77" s="14">
        <v>5811878</v>
      </c>
      <c r="E77" s="14">
        <v>1974476</v>
      </c>
      <c r="F77" s="14">
        <v>2446881</v>
      </c>
      <c r="G77" s="22">
        <v>7625</v>
      </c>
      <c r="H77" s="22">
        <v>7382</v>
      </c>
      <c r="I77" s="22">
        <v>22700</v>
      </c>
      <c r="J77" s="22">
        <v>0</v>
      </c>
      <c r="K77" s="22">
        <v>152</v>
      </c>
      <c r="L77" s="36"/>
    </row>
    <row r="78" spans="1:3" ht="12.75">
      <c r="A78" s="8"/>
      <c r="C78" s="14"/>
    </row>
    <row r="79" spans="1:12" ht="12.75">
      <c r="A79" s="17" t="s">
        <v>26</v>
      </c>
      <c r="B79" s="14" t="s">
        <v>27</v>
      </c>
      <c r="C79" s="18">
        <f>C76*'RATES '!$C$4</f>
        <v>5887.6268</v>
      </c>
      <c r="D79" s="18">
        <f>D76*'RATES '!$C$8</f>
        <v>3111.8185</v>
      </c>
      <c r="E79" s="18">
        <f>E76*'RATES '!$C$12</f>
        <v>635.0749999999999</v>
      </c>
      <c r="F79" s="18">
        <f>F76*'RATES '!$C$16</f>
        <v>749.3786</v>
      </c>
      <c r="G79" s="18">
        <f>G76*'RATES '!$C$20</f>
        <v>115.67160000000001</v>
      </c>
      <c r="H79" s="18">
        <f>H76*'RATES '!$C$24</f>
        <v>121.0062</v>
      </c>
      <c r="I79" s="18">
        <f>I76*'RATES '!$C$28</f>
        <v>2.4127</v>
      </c>
      <c r="J79" s="18">
        <f>J76*'RATES '!$C$32</f>
        <v>0</v>
      </c>
      <c r="K79" s="18">
        <f>K76*'RATES '!$C$36</f>
        <v>80.8152</v>
      </c>
      <c r="L79" s="37">
        <f>SUM(C79:K79)</f>
        <v>10703.8046</v>
      </c>
    </row>
    <row r="80" spans="1:12" ht="12.75">
      <c r="A80" s="19"/>
      <c r="B80" s="14" t="s">
        <v>28</v>
      </c>
      <c r="C80" s="18">
        <f>C77*'RATES '!$C$5</f>
        <v>5224.73721</v>
      </c>
      <c r="D80" s="18">
        <f>D77*'RATES '!$C$9</f>
        <v>4324.037232</v>
      </c>
      <c r="E80" s="18">
        <f>E77*'RATES '!$C$13</f>
        <v>1356.4650120000001</v>
      </c>
      <c r="F80" s="18">
        <f>F77*'RATES '!$C$17</f>
        <v>1318.868859</v>
      </c>
      <c r="G80" s="18">
        <f>G77*'RATES '!$C$21</f>
        <v>959.8655</v>
      </c>
      <c r="H80" s="18">
        <f>H77*'RATES '!$C$25</f>
        <v>1562.304334</v>
      </c>
      <c r="I80" s="18">
        <f>I77*'RATES '!$C$29</f>
        <v>286.9961</v>
      </c>
      <c r="J80" s="18">
        <f>J77*'RATES '!$C$33</f>
        <v>0</v>
      </c>
      <c r="K80" s="18">
        <f>K77*'RATES '!$C$37</f>
        <v>14.783368</v>
      </c>
      <c r="L80" s="37">
        <f>SUM(C80:K80)</f>
        <v>15048.057615000002</v>
      </c>
    </row>
    <row r="81" ht="12.75">
      <c r="A81" s="20"/>
    </row>
    <row r="82" spans="1:12" ht="12.75">
      <c r="A82" s="17" t="s">
        <v>29</v>
      </c>
      <c r="B82" s="14" t="s">
        <v>27</v>
      </c>
      <c r="C82" s="18">
        <f>C76*'RATES '!$D$4</f>
        <v>19273.4883</v>
      </c>
      <c r="D82" s="18">
        <f>D76*'RATES '!$D$8</f>
        <v>10185.4718</v>
      </c>
      <c r="E82" s="18">
        <f>E76*'RATES '!$D$12</f>
        <v>2078.79</v>
      </c>
      <c r="F82" s="18">
        <f>F76*'RATES '!$D$16</f>
        <v>2453.0564000000004</v>
      </c>
      <c r="G82" s="18">
        <f>G76*'RATES '!$D$20</f>
        <v>378.65520000000004</v>
      </c>
      <c r="H82" s="18">
        <f>H76*'RATES '!$D$24</f>
        <v>396.0972</v>
      </c>
      <c r="I82" s="18">
        <f>I76*'RATES '!$D$28</f>
        <v>7.8959</v>
      </c>
      <c r="J82" s="18">
        <f>J76*'RATES '!$D$32</f>
        <v>0</v>
      </c>
      <c r="K82" s="18">
        <f>K76*'RATES '!$D$36</f>
        <v>264.56719999999996</v>
      </c>
      <c r="L82" s="37">
        <f>SUM(C82:K82)</f>
        <v>35038.022</v>
      </c>
    </row>
    <row r="83" spans="1:12" ht="12.75">
      <c r="A83" s="17"/>
      <c r="B83" s="14" t="s">
        <v>28</v>
      </c>
      <c r="C83" s="18">
        <f>C77*'RATES '!$D$5</f>
        <v>17060.3664</v>
      </c>
      <c r="D83" s="18">
        <f>D77*'RATES '!$D$9</f>
        <v>13948.507199999998</v>
      </c>
      <c r="E83" s="18">
        <f>E77*'RATES '!$D$13</f>
        <v>4343.8472</v>
      </c>
      <c r="F83" s="18">
        <f>F77*'RATES '!$D$17</f>
        <v>4404.3858</v>
      </c>
      <c r="G83" s="18">
        <f>G77*'RATES '!$D$21</f>
        <v>3142.2625000000003</v>
      </c>
      <c r="H83" s="18">
        <f>H77*'RATES '!$D$25</f>
        <v>5114.2496</v>
      </c>
      <c r="I83" s="18">
        <f>I77*'RATES '!$D$29</f>
        <v>939.78</v>
      </c>
      <c r="J83" s="18">
        <f>J77*'RATES '!$D$33</f>
        <v>0</v>
      </c>
      <c r="K83" s="18">
        <f>K77*'RATES '!$D$37</f>
        <v>48.3968</v>
      </c>
      <c r="L83" s="37">
        <f>SUM(C83:K83)</f>
        <v>49001.7955</v>
      </c>
    </row>
    <row r="84" spans="1:12" ht="12.75">
      <c r="A84" s="8"/>
      <c r="C84" s="18"/>
      <c r="D84" s="18"/>
      <c r="E84" s="18"/>
      <c r="F84" s="18"/>
      <c r="G84" s="18"/>
      <c r="H84" s="18"/>
      <c r="I84" s="18"/>
      <c r="J84" s="18"/>
      <c r="K84" s="18"/>
      <c r="L84" s="37"/>
    </row>
    <row r="85" spans="3:12" ht="12.75">
      <c r="C85" s="21">
        <f aca="true" t="shared" si="6" ref="C85:K85">SUM(C79:C83)</f>
        <v>47446.21871</v>
      </c>
      <c r="D85" s="21">
        <f t="shared" si="6"/>
        <v>31569.834731999996</v>
      </c>
      <c r="E85" s="21">
        <f t="shared" si="6"/>
        <v>8414.177212</v>
      </c>
      <c r="F85" s="21">
        <f t="shared" si="6"/>
        <v>8925.689659</v>
      </c>
      <c r="G85" s="21">
        <f t="shared" si="6"/>
        <v>4596.4548</v>
      </c>
      <c r="H85" s="21">
        <f t="shared" si="6"/>
        <v>7193.6573339999995</v>
      </c>
      <c r="I85" s="21">
        <f t="shared" si="6"/>
        <v>1237.0846999999999</v>
      </c>
      <c r="J85" s="21">
        <f t="shared" si="6"/>
        <v>0</v>
      </c>
      <c r="K85" s="21">
        <f t="shared" si="6"/>
        <v>408.56256799999994</v>
      </c>
      <c r="L85" s="38">
        <f>SUM(L79:L83)-0.2</f>
        <v>109791.47971500001</v>
      </c>
    </row>
    <row r="87" spans="1:12" ht="15">
      <c r="A87" s="10" t="s">
        <v>36</v>
      </c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35"/>
    </row>
    <row r="88" spans="1:12" ht="12.75">
      <c r="A88" s="13" t="s">
        <v>24</v>
      </c>
      <c r="C88" s="14">
        <v>11852</v>
      </c>
      <c r="D88" s="14">
        <v>5708</v>
      </c>
      <c r="E88" s="14">
        <v>928</v>
      </c>
      <c r="F88" s="14">
        <v>1441</v>
      </c>
      <c r="G88" s="14">
        <v>95</v>
      </c>
      <c r="H88" s="14">
        <v>72</v>
      </c>
      <c r="I88" s="14">
        <v>27</v>
      </c>
      <c r="J88" s="15">
        <v>5332</v>
      </c>
      <c r="K88" s="15">
        <v>973</v>
      </c>
      <c r="L88" s="36"/>
    </row>
    <row r="89" spans="1:12" ht="12.75">
      <c r="A89" s="13" t="s">
        <v>25</v>
      </c>
      <c r="C89" s="14">
        <v>8901828</v>
      </c>
      <c r="D89" s="14">
        <v>6728230</v>
      </c>
      <c r="E89" s="14">
        <v>2298770</v>
      </c>
      <c r="F89" s="14">
        <v>2797945</v>
      </c>
      <c r="G89" s="22">
        <v>6278</v>
      </c>
      <c r="H89" s="22">
        <v>6298</v>
      </c>
      <c r="I89" s="22">
        <v>26612</v>
      </c>
      <c r="J89" s="22">
        <v>961</v>
      </c>
      <c r="K89" s="22">
        <v>165</v>
      </c>
      <c r="L89" s="36"/>
    </row>
    <row r="90" spans="1:3" ht="12.75">
      <c r="A90" s="8"/>
      <c r="C90" s="14"/>
    </row>
    <row r="91" spans="1:12" ht="12.75">
      <c r="A91" s="17" t="s">
        <v>26</v>
      </c>
      <c r="B91" s="14" t="s">
        <v>27</v>
      </c>
      <c r="C91" s="18">
        <f>C88*'RATES '!$C$4</f>
        <v>5835.9248</v>
      </c>
      <c r="D91" s="18">
        <f>D88*'RATES '!$C$8</f>
        <v>3136.546</v>
      </c>
      <c r="E91" s="18">
        <f>E88*'RATES '!$C$12</f>
        <v>620.3679999999999</v>
      </c>
      <c r="F91" s="18">
        <f>F88*'RATES '!$C$16</f>
        <v>1225.7146</v>
      </c>
      <c r="G91" s="18">
        <f>G88*'RATES '!$C$20</f>
        <v>110.998</v>
      </c>
      <c r="H91" s="18">
        <f>H88*'RATES '!$C$24</f>
        <v>92.68560000000001</v>
      </c>
      <c r="I91" s="18">
        <f>I88*'RATES '!$C$28</f>
        <v>2.8323</v>
      </c>
      <c r="J91" s="18">
        <f>J88*'RATES '!$C$32</f>
        <v>147.1632</v>
      </c>
      <c r="K91" s="18">
        <f>K88*'RATES '!$C$36</f>
        <v>88.1538</v>
      </c>
      <c r="L91" s="37">
        <f>SUM(C91:K91)</f>
        <v>11260.3863</v>
      </c>
    </row>
    <row r="92" spans="1:12" ht="12.75">
      <c r="A92" s="19"/>
      <c r="B92" s="14" t="s">
        <v>28</v>
      </c>
      <c r="C92" s="18">
        <f>C89*'RATES '!$C$5</f>
        <v>6542.84358</v>
      </c>
      <c r="D92" s="18">
        <f>D89*'RATES '!$C$9</f>
        <v>5005.80312</v>
      </c>
      <c r="E92" s="18">
        <f>E89*'RATES '!$C$13</f>
        <v>1579.25499</v>
      </c>
      <c r="F92" s="18">
        <f>F89*'RATES '!$C$17</f>
        <v>1508.092355</v>
      </c>
      <c r="G92" s="18">
        <f>G89*'RATES '!$C$21</f>
        <v>790.299752</v>
      </c>
      <c r="H92" s="18">
        <f>H89*'RATES '!$C$25</f>
        <v>1332.8898259999999</v>
      </c>
      <c r="I92" s="18">
        <f>I89*'RATES '!$C$29</f>
        <v>336.455516</v>
      </c>
      <c r="J92" s="18">
        <f>J89*'RATES '!$C$33</f>
        <v>41.381621</v>
      </c>
      <c r="K92" s="18">
        <f>K89*'RATES '!$C$37</f>
        <v>16.047735</v>
      </c>
      <c r="L92" s="37">
        <f>SUM(C92:K92)</f>
        <v>17153.068495</v>
      </c>
    </row>
    <row r="93" ht="12.75">
      <c r="A93" s="20"/>
    </row>
    <row r="94" spans="1:12" ht="12.75">
      <c r="A94" s="17" t="s">
        <v>29</v>
      </c>
      <c r="B94" s="14" t="s">
        <v>27</v>
      </c>
      <c r="C94" s="18">
        <f>C88*'RATES '!$D$4</f>
        <v>19104.238800000003</v>
      </c>
      <c r="D94" s="18">
        <f>D88*'RATES '!$D$8</f>
        <v>10266.4088</v>
      </c>
      <c r="E94" s="18">
        <f>E88*'RATES '!$D$12</f>
        <v>2030.6496000000002</v>
      </c>
      <c r="F94" s="18">
        <f>F88*'RATES '!$D$16</f>
        <v>4012.3204000000005</v>
      </c>
      <c r="G94" s="18">
        <f>G88*'RATES '!$D$20</f>
        <v>363.356</v>
      </c>
      <c r="H94" s="18">
        <f>H88*'RATES '!$D$24</f>
        <v>303.3936</v>
      </c>
      <c r="I94" s="18">
        <f>I88*'RATES '!$D$28</f>
        <v>9.2691</v>
      </c>
      <c r="J94" s="18">
        <f>J88*'RATES '!$D$32</f>
        <v>482.01279999999997</v>
      </c>
      <c r="K94" s="18">
        <f>K88*'RATES '!$D$36</f>
        <v>288.5918</v>
      </c>
      <c r="L94" s="37">
        <f>SUM(C94:K94)</f>
        <v>36860.240900000004</v>
      </c>
    </row>
    <row r="95" spans="1:12" ht="12.75">
      <c r="A95" s="17"/>
      <c r="B95" s="14" t="s">
        <v>28</v>
      </c>
      <c r="C95" s="18">
        <f>C89*'RATES '!$D$5</f>
        <v>21364.387199999997</v>
      </c>
      <c r="D95" s="18">
        <f>D89*'RATES '!$D$9</f>
        <v>16147.751999999999</v>
      </c>
      <c r="E95" s="18">
        <f>E89*'RATES '!$D$13</f>
        <v>5057.294</v>
      </c>
      <c r="F95" s="18">
        <f>F89*'RATES '!$D$17</f>
        <v>5036.3009999999995</v>
      </c>
      <c r="G95" s="18">
        <f>G89*'RATES '!$D$21</f>
        <v>2587.1638000000003</v>
      </c>
      <c r="H95" s="18">
        <f>H89*'RATES '!$D$25</f>
        <v>4363.2544</v>
      </c>
      <c r="I95" s="18">
        <f>I89*'RATES '!$D$29</f>
        <v>1101.7368</v>
      </c>
      <c r="J95" s="18">
        <f>J89*'RATES '!$D$33</f>
        <v>135.50099999999998</v>
      </c>
      <c r="K95" s="18">
        <f>K89*'RATES '!$D$37</f>
        <v>52.536</v>
      </c>
      <c r="L95" s="37">
        <f>SUM(C95:K95)</f>
        <v>55845.926199999994</v>
      </c>
    </row>
    <row r="96" spans="1:12" ht="12.75">
      <c r="A96" s="8"/>
      <c r="C96" s="18"/>
      <c r="D96" s="18"/>
      <c r="E96" s="18"/>
      <c r="F96" s="18"/>
      <c r="G96" s="18"/>
      <c r="H96" s="18"/>
      <c r="I96" s="18"/>
      <c r="J96" s="18"/>
      <c r="K96" s="18"/>
      <c r="L96" s="37"/>
    </row>
    <row r="97" spans="3:12" ht="12.75">
      <c r="C97" s="21">
        <f aca="true" t="shared" si="7" ref="C97:K97">SUM(C91:C95)</f>
        <v>52847.39438</v>
      </c>
      <c r="D97" s="21">
        <f t="shared" si="7"/>
        <v>34556.50992</v>
      </c>
      <c r="E97" s="21">
        <f t="shared" si="7"/>
        <v>9287.56659</v>
      </c>
      <c r="F97" s="21">
        <f t="shared" si="7"/>
        <v>11782.428355</v>
      </c>
      <c r="G97" s="21">
        <f t="shared" si="7"/>
        <v>3851.8175520000004</v>
      </c>
      <c r="H97" s="21">
        <f t="shared" si="7"/>
        <v>6092.223426</v>
      </c>
      <c r="I97" s="21">
        <f t="shared" si="7"/>
        <v>1450.293716</v>
      </c>
      <c r="J97" s="21">
        <f t="shared" si="7"/>
        <v>806.0586209999999</v>
      </c>
      <c r="K97" s="21">
        <f t="shared" si="7"/>
        <v>445.32933499999996</v>
      </c>
      <c r="L97" s="38">
        <f>SUM(L91:L95)+2.12</f>
        <v>121121.74189499998</v>
      </c>
    </row>
    <row r="99" spans="1:12" ht="15">
      <c r="A99" s="10" t="s">
        <v>37</v>
      </c>
      <c r="B99" s="11"/>
      <c r="C99" s="12"/>
      <c r="D99" s="12"/>
      <c r="E99" s="12"/>
      <c r="F99" s="12"/>
      <c r="G99" s="12"/>
      <c r="H99" s="12"/>
      <c r="I99" s="12"/>
      <c r="J99" s="12"/>
      <c r="K99" s="12"/>
      <c r="L99" s="35"/>
    </row>
    <row r="100" spans="1:12" ht="12.75">
      <c r="A100" s="13" t="s">
        <v>24</v>
      </c>
      <c r="C100" s="14">
        <v>12206</v>
      </c>
      <c r="D100" s="14">
        <v>5663</v>
      </c>
      <c r="E100" s="14">
        <v>932</v>
      </c>
      <c r="F100" s="14">
        <v>1423</v>
      </c>
      <c r="G100" s="14">
        <v>89</v>
      </c>
      <c r="H100" s="14">
        <v>73</v>
      </c>
      <c r="I100" s="14">
        <v>23</v>
      </c>
      <c r="J100" s="15">
        <v>2666</v>
      </c>
      <c r="K100" s="15">
        <v>860</v>
      </c>
      <c r="L100" s="36"/>
    </row>
    <row r="101" spans="1:12" ht="12.75">
      <c r="A101" s="13" t="s">
        <v>25</v>
      </c>
      <c r="C101" s="14">
        <v>9268266</v>
      </c>
      <c r="D101" s="14">
        <v>6655060</v>
      </c>
      <c r="E101" s="14">
        <v>2142395</v>
      </c>
      <c r="F101" s="14">
        <v>2590487</v>
      </c>
      <c r="G101" s="22">
        <v>7800</v>
      </c>
      <c r="H101" s="22">
        <v>5971</v>
      </c>
      <c r="I101" s="22">
        <v>26323</v>
      </c>
      <c r="J101" s="22">
        <v>480</v>
      </c>
      <c r="K101" s="22">
        <v>143</v>
      </c>
      <c r="L101" s="36"/>
    </row>
    <row r="102" spans="1:3" ht="12.75">
      <c r="A102" s="8"/>
      <c r="C102" s="14"/>
    </row>
    <row r="103" spans="1:12" ht="12.75">
      <c r="A103" s="17" t="s">
        <v>26</v>
      </c>
      <c r="B103" s="14" t="s">
        <v>27</v>
      </c>
      <c r="C103" s="18">
        <f>C100*'RATES '!$C$4</f>
        <v>6010.2344</v>
      </c>
      <c r="D103" s="18">
        <f>D100*'RATES '!$C$8</f>
        <v>3111.8185</v>
      </c>
      <c r="E103" s="18">
        <f>E100*'RATES '!$C$12</f>
        <v>623.042</v>
      </c>
      <c r="F103" s="18">
        <f>F100*'RATES '!$C$16</f>
        <v>1210.4038</v>
      </c>
      <c r="G103" s="18">
        <f>G100*'RATES '!$C$20</f>
        <v>103.98760000000001</v>
      </c>
      <c r="H103" s="18">
        <f>H100*'RATES '!$C$24</f>
        <v>93.97290000000001</v>
      </c>
      <c r="I103" s="18">
        <f>I100*'RATES '!$C$28</f>
        <v>2.4127</v>
      </c>
      <c r="J103" s="18">
        <f>J100*'RATES '!$C$32</f>
        <v>73.5816</v>
      </c>
      <c r="K103" s="18">
        <f>K100*'RATES '!$C$36</f>
        <v>77.916</v>
      </c>
      <c r="L103" s="37">
        <f>SUM(C103:K103)</f>
        <v>11307.3695</v>
      </c>
    </row>
    <row r="104" spans="1:12" ht="12.75">
      <c r="A104" s="19"/>
      <c r="B104" s="14" t="s">
        <v>28</v>
      </c>
      <c r="C104" s="18">
        <f>C101*'RATES '!$C$5</f>
        <v>6812.17551</v>
      </c>
      <c r="D104" s="18">
        <f>D101*'RATES '!$C$9</f>
        <v>4951.36464</v>
      </c>
      <c r="E104" s="18">
        <f>E101*'RATES '!$C$13</f>
        <v>1471.825365</v>
      </c>
      <c r="F104" s="18">
        <f>F101*'RATES '!$C$17</f>
        <v>1396.272493</v>
      </c>
      <c r="G104" s="18">
        <f>G101*'RATES '!$C$21</f>
        <v>981.8951999999999</v>
      </c>
      <c r="H104" s="18">
        <f>H101*'RATES '!$C$25</f>
        <v>1263.684527</v>
      </c>
      <c r="I104" s="18">
        <f>I101*'RATES '!$C$29</f>
        <v>332.801689</v>
      </c>
      <c r="J104" s="18">
        <f>J101*'RATES '!$C$33</f>
        <v>20.66928</v>
      </c>
      <c r="K104" s="18">
        <f>K101*'RATES '!$C$37</f>
        <v>13.908037</v>
      </c>
      <c r="L104" s="37">
        <f>SUM(C104:K104)</f>
        <v>17244.596741</v>
      </c>
    </row>
    <row r="105" ht="12.75">
      <c r="A105" s="20"/>
    </row>
    <row r="106" spans="1:12" ht="12.75">
      <c r="A106" s="17" t="s">
        <v>29</v>
      </c>
      <c r="B106" s="14" t="s">
        <v>27</v>
      </c>
      <c r="C106" s="18">
        <f>C100*'RATES '!$D$4</f>
        <v>19674.8514</v>
      </c>
      <c r="D106" s="18">
        <f>D100*'RATES '!$D$8</f>
        <v>10185.4718</v>
      </c>
      <c r="E106" s="18">
        <f>E100*'RATES '!$D$12</f>
        <v>2039.4024000000002</v>
      </c>
      <c r="F106" s="18">
        <f>F100*'RATES '!$D$16</f>
        <v>3962.2012000000004</v>
      </c>
      <c r="G106" s="18">
        <f>G100*'RATES '!$D$20</f>
        <v>340.40720000000005</v>
      </c>
      <c r="H106" s="18">
        <f>H100*'RATES '!$D$24</f>
        <v>307.6074</v>
      </c>
      <c r="I106" s="18">
        <f>I100*'RATES '!$D$28</f>
        <v>7.8959</v>
      </c>
      <c r="J106" s="18">
        <f>J100*'RATES '!$D$32</f>
        <v>241.00639999999999</v>
      </c>
      <c r="K106" s="18">
        <f>K100*'RATES '!$D$36</f>
        <v>255.07599999999996</v>
      </c>
      <c r="L106" s="37">
        <f>SUM(C106:K106)</f>
        <v>37013.919700000006</v>
      </c>
    </row>
    <row r="107" spans="1:12" ht="12.75">
      <c r="A107" s="17"/>
      <c r="B107" s="14" t="s">
        <v>28</v>
      </c>
      <c r="C107" s="18">
        <f>C101*'RATES '!$D$5</f>
        <v>22243.838399999997</v>
      </c>
      <c r="D107" s="18">
        <f>D101*'RATES '!$D$9</f>
        <v>15972.143999999998</v>
      </c>
      <c r="E107" s="18">
        <f>E101*'RATES '!$D$13</f>
        <v>4713.269</v>
      </c>
      <c r="F107" s="18">
        <f>F101*'RATES '!$D$17</f>
        <v>4662.8766</v>
      </c>
      <c r="G107" s="18">
        <f>G101*'RATES '!$D$21</f>
        <v>3214.38</v>
      </c>
      <c r="H107" s="18">
        <f>H101*'RATES '!$D$25</f>
        <v>4136.708799999999</v>
      </c>
      <c r="I107" s="18">
        <f>I101*'RATES '!$D$29</f>
        <v>1089.7721999999999</v>
      </c>
      <c r="J107" s="18">
        <f>J101*'RATES '!$D$33</f>
        <v>67.67999999999999</v>
      </c>
      <c r="K107" s="18">
        <f>K101*'RATES '!$D$37</f>
        <v>45.531200000000005</v>
      </c>
      <c r="L107" s="37">
        <f>SUM(C107:K107)</f>
        <v>56146.20019999999</v>
      </c>
    </row>
    <row r="108" spans="1:12" ht="12.75">
      <c r="A108" s="8"/>
      <c r="C108" s="18"/>
      <c r="D108" s="18"/>
      <c r="E108" s="18"/>
      <c r="F108" s="18"/>
      <c r="G108" s="18"/>
      <c r="H108" s="18"/>
      <c r="I108" s="18"/>
      <c r="J108" s="18"/>
      <c r="K108" s="18"/>
      <c r="L108" s="37"/>
    </row>
    <row r="109" spans="3:12" ht="12.75">
      <c r="C109" s="21">
        <f aca="true" t="shared" si="8" ref="C109:K109">SUM(C103:C107)</f>
        <v>54741.099709999995</v>
      </c>
      <c r="D109" s="21">
        <f t="shared" si="8"/>
        <v>34220.79894</v>
      </c>
      <c r="E109" s="21">
        <f t="shared" si="8"/>
        <v>8847.538765000001</v>
      </c>
      <c r="F109" s="21">
        <f t="shared" si="8"/>
        <v>11231.754093</v>
      </c>
      <c r="G109" s="21">
        <f t="shared" si="8"/>
        <v>4640.67</v>
      </c>
      <c r="H109" s="21">
        <f t="shared" si="8"/>
        <v>5801.973626999999</v>
      </c>
      <c r="I109" s="21">
        <f t="shared" si="8"/>
        <v>1432.8824889999999</v>
      </c>
      <c r="J109" s="21">
        <f t="shared" si="8"/>
        <v>402.93728</v>
      </c>
      <c r="K109" s="21">
        <f t="shared" si="8"/>
        <v>392.431237</v>
      </c>
      <c r="L109" s="38">
        <f>SUM(L103:L107)-2.37</f>
        <v>121709.71614100001</v>
      </c>
    </row>
    <row r="111" spans="1:12" ht="15">
      <c r="A111" s="10" t="s">
        <v>38</v>
      </c>
      <c r="B111" s="11"/>
      <c r="C111" s="12"/>
      <c r="D111" s="12"/>
      <c r="E111" s="12"/>
      <c r="F111" s="12"/>
      <c r="G111" s="12"/>
      <c r="H111" s="12"/>
      <c r="I111" s="12"/>
      <c r="J111" s="12"/>
      <c r="K111" s="12"/>
      <c r="L111" s="35"/>
    </row>
    <row r="112" spans="1:12" ht="12.75">
      <c r="A112" s="13" t="s">
        <v>24</v>
      </c>
      <c r="C112" s="14">
        <v>12002</v>
      </c>
      <c r="D112" s="14">
        <v>5661</v>
      </c>
      <c r="E112" s="14">
        <v>922</v>
      </c>
      <c r="F112" s="14">
        <v>1428</v>
      </c>
      <c r="G112" s="14">
        <v>86</v>
      </c>
      <c r="H112" s="14">
        <v>89</v>
      </c>
      <c r="I112" s="14">
        <v>23</v>
      </c>
      <c r="J112" s="15">
        <v>2666</v>
      </c>
      <c r="K112" s="15">
        <v>893</v>
      </c>
      <c r="L112" s="36"/>
    </row>
    <row r="113" spans="1:12" ht="12.75">
      <c r="A113" s="13" t="s">
        <v>25</v>
      </c>
      <c r="C113" s="14">
        <v>7444688</v>
      </c>
      <c r="D113" s="14">
        <v>5907393</v>
      </c>
      <c r="E113" s="14">
        <v>1970453</v>
      </c>
      <c r="F113" s="14">
        <v>2595311</v>
      </c>
      <c r="G113" s="22">
        <v>7820</v>
      </c>
      <c r="H113" s="22">
        <v>7433</v>
      </c>
      <c r="I113" s="22">
        <v>27394</v>
      </c>
      <c r="J113" s="22">
        <v>480</v>
      </c>
      <c r="K113" s="22">
        <v>157</v>
      </c>
      <c r="L113" s="36"/>
    </row>
    <row r="114" spans="1:3" ht="12.75">
      <c r="A114" s="8"/>
      <c r="C114" s="14"/>
    </row>
    <row r="115" spans="1:12" ht="12.75">
      <c r="A115" s="17" t="s">
        <v>26</v>
      </c>
      <c r="B115" s="14" t="s">
        <v>27</v>
      </c>
      <c r="C115" s="18">
        <f>C112*'RATES '!$C$4</f>
        <v>5909.7848</v>
      </c>
      <c r="D115" s="18">
        <f>D112*'RATES '!$C$8</f>
        <v>3110.7195</v>
      </c>
      <c r="E115" s="18">
        <f>E112*'RATES '!$C$12</f>
        <v>616.357</v>
      </c>
      <c r="F115" s="18">
        <f>F112*'RATES '!$C$16</f>
        <v>1214.6568</v>
      </c>
      <c r="G115" s="18">
        <f>G112*'RATES '!$C$20</f>
        <v>100.48240000000001</v>
      </c>
      <c r="H115" s="18">
        <f>H112*'RATES '!$C$24</f>
        <v>114.56970000000001</v>
      </c>
      <c r="I115" s="18">
        <f>I112*'RATES '!$C$28</f>
        <v>2.4127</v>
      </c>
      <c r="J115" s="18">
        <f>J112*'RATES '!$C$32</f>
        <v>73.5816</v>
      </c>
      <c r="K115" s="18">
        <f>K112*'RATES '!$C$36</f>
        <v>80.9058</v>
      </c>
      <c r="L115" s="37">
        <f>SUM(C115:K115)</f>
        <v>11223.470300000003</v>
      </c>
    </row>
    <row r="116" spans="1:12" ht="12.75">
      <c r="A116" s="19"/>
      <c r="B116" s="14" t="s">
        <v>28</v>
      </c>
      <c r="C116" s="18">
        <f>C113*'RATES '!$C$5</f>
        <v>5471.845679999999</v>
      </c>
      <c r="D116" s="18">
        <f>D113*'RATES '!$C$9</f>
        <v>4395.100392</v>
      </c>
      <c r="E116" s="18">
        <f>E113*'RATES '!$C$13</f>
        <v>1353.701211</v>
      </c>
      <c r="F116" s="18">
        <f>F113*'RATES '!$C$17</f>
        <v>1398.872629</v>
      </c>
      <c r="G116" s="18">
        <f>G113*'RATES '!$C$21</f>
        <v>984.41288</v>
      </c>
      <c r="H116" s="18">
        <f>H113*'RATES '!$C$25</f>
        <v>1573.0978209999998</v>
      </c>
      <c r="I116" s="18">
        <f>I113*'RATES '!$C$29</f>
        <v>346.342342</v>
      </c>
      <c r="J116" s="18">
        <f>J113*'RATES '!$C$33</f>
        <v>20.66928</v>
      </c>
      <c r="K116" s="18">
        <f>K113*'RATES '!$C$37</f>
        <v>15.269663</v>
      </c>
      <c r="L116" s="37">
        <f>SUM(C116:K116)</f>
        <v>15559.311897999996</v>
      </c>
    </row>
    <row r="117" ht="12.75">
      <c r="A117" s="20"/>
    </row>
    <row r="118" spans="1:12" ht="12.75">
      <c r="A118" s="17" t="s">
        <v>29</v>
      </c>
      <c r="B118" s="14" t="s">
        <v>27</v>
      </c>
      <c r="C118" s="18">
        <f>C112*'RATES '!$D$4</f>
        <v>19346.023800000003</v>
      </c>
      <c r="D118" s="18">
        <f>D112*'RATES '!$D$8</f>
        <v>10181.8746</v>
      </c>
      <c r="E118" s="18">
        <f>E112*'RATES '!$D$12</f>
        <v>2017.5204</v>
      </c>
      <c r="F118" s="18">
        <f>F112*'RATES '!$D$16</f>
        <v>3976.1232000000005</v>
      </c>
      <c r="G118" s="18">
        <f>G112*'RATES '!$D$20</f>
        <v>328.93280000000004</v>
      </c>
      <c r="H118" s="18">
        <f>H112*'RATES '!$D$24</f>
        <v>375.0282</v>
      </c>
      <c r="I118" s="18">
        <f>I112*'RATES '!$D$28</f>
        <v>7.8959</v>
      </c>
      <c r="J118" s="18">
        <f>J112*'RATES '!$D$32</f>
        <v>241.00639999999999</v>
      </c>
      <c r="K118" s="18">
        <f>K112*'RATES '!$D$36</f>
        <v>264.86379999999997</v>
      </c>
      <c r="L118" s="37">
        <f>SUM(C118:K118)</f>
        <v>36739.269100000005</v>
      </c>
    </row>
    <row r="119" spans="1:12" ht="12.75">
      <c r="A119" s="17"/>
      <c r="B119" s="14" t="s">
        <v>28</v>
      </c>
      <c r="C119" s="18">
        <f>C113*'RATES '!$D$5</f>
        <v>17867.2512</v>
      </c>
      <c r="D119" s="18">
        <f>D113*'RATES '!$D$9</f>
        <v>14177.743199999999</v>
      </c>
      <c r="E119" s="18">
        <f>E113*'RATES '!$D$13</f>
        <v>4334.9966</v>
      </c>
      <c r="F119" s="18">
        <f>F113*'RATES '!$D$17</f>
        <v>4671.5598</v>
      </c>
      <c r="G119" s="18">
        <f>G113*'RATES '!$D$21</f>
        <v>3222.6220000000003</v>
      </c>
      <c r="H119" s="18">
        <f>H113*'RATES '!$D$25</f>
        <v>5149.5824</v>
      </c>
      <c r="I119" s="18">
        <f>I113*'RATES '!$D$29</f>
        <v>1134.1116</v>
      </c>
      <c r="J119" s="18">
        <f>J113*'RATES '!$D$33</f>
        <v>67.67999999999999</v>
      </c>
      <c r="K119" s="18">
        <f>K113*'RATES '!$D$37</f>
        <v>49.988800000000005</v>
      </c>
      <c r="L119" s="37">
        <f>SUM(C119:K119)</f>
        <v>50675.535599999996</v>
      </c>
    </row>
    <row r="120" spans="1:12" ht="12.75">
      <c r="A120" s="8"/>
      <c r="C120" s="18"/>
      <c r="D120" s="18"/>
      <c r="E120" s="18"/>
      <c r="F120" s="18"/>
      <c r="G120" s="18"/>
      <c r="H120" s="18"/>
      <c r="I120" s="18"/>
      <c r="J120" s="18"/>
      <c r="K120" s="18"/>
      <c r="L120" s="37"/>
    </row>
    <row r="121" spans="3:12" ht="12.75">
      <c r="C121" s="21">
        <f aca="true" t="shared" si="9" ref="C121:K121">SUM(C115:C119)</f>
        <v>48594.90548</v>
      </c>
      <c r="D121" s="21">
        <f t="shared" si="9"/>
        <v>31865.437692</v>
      </c>
      <c r="E121" s="21">
        <f t="shared" si="9"/>
        <v>8322.575211</v>
      </c>
      <c r="F121" s="21">
        <f t="shared" si="9"/>
        <v>11261.212429</v>
      </c>
      <c r="G121" s="21">
        <f t="shared" si="9"/>
        <v>4636.4500800000005</v>
      </c>
      <c r="H121" s="21">
        <f t="shared" si="9"/>
        <v>7212.278121</v>
      </c>
      <c r="I121" s="21">
        <f t="shared" si="9"/>
        <v>1490.762542</v>
      </c>
      <c r="J121" s="21">
        <f t="shared" si="9"/>
        <v>402.93728</v>
      </c>
      <c r="K121" s="21">
        <f t="shared" si="9"/>
        <v>411.028063</v>
      </c>
      <c r="L121" s="38">
        <f>SUM(L115:L119)-0.31</f>
        <v>114197.27689800001</v>
      </c>
    </row>
    <row r="123" spans="1:12" ht="15">
      <c r="A123" s="10" t="s">
        <v>39</v>
      </c>
      <c r="B123" s="11"/>
      <c r="C123" s="12"/>
      <c r="D123" s="12"/>
      <c r="E123" s="12"/>
      <c r="F123" s="12"/>
      <c r="G123" s="12"/>
      <c r="H123" s="12"/>
      <c r="I123" s="12"/>
      <c r="J123" s="12"/>
      <c r="K123" s="12"/>
      <c r="L123" s="35"/>
    </row>
    <row r="124" spans="1:12" ht="12.75">
      <c r="A124" s="13" t="s">
        <v>24</v>
      </c>
      <c r="C124" s="14">
        <v>11998</v>
      </c>
      <c r="D124" s="14">
        <v>5634</v>
      </c>
      <c r="E124" s="14">
        <v>930</v>
      </c>
      <c r="F124" s="14">
        <v>1398</v>
      </c>
      <c r="G124" s="14">
        <v>91</v>
      </c>
      <c r="H124" s="14">
        <v>117</v>
      </c>
      <c r="I124" s="14">
        <v>19</v>
      </c>
      <c r="J124" s="15">
        <v>2666</v>
      </c>
      <c r="K124" s="15">
        <v>815</v>
      </c>
      <c r="L124" s="36"/>
    </row>
    <row r="125" spans="1:12" ht="12.75">
      <c r="A125" s="13" t="s">
        <v>25</v>
      </c>
      <c r="C125" s="14">
        <v>6741582</v>
      </c>
      <c r="D125" s="14">
        <v>5910110</v>
      </c>
      <c r="E125" s="14">
        <v>1865419</v>
      </c>
      <c r="F125" s="14">
        <v>2216413</v>
      </c>
      <c r="G125" s="22">
        <v>8817</v>
      </c>
      <c r="H125" s="22">
        <v>12644</v>
      </c>
      <c r="I125" s="22">
        <v>25725</v>
      </c>
      <c r="J125" s="22">
        <v>491</v>
      </c>
      <c r="K125" s="22">
        <v>139</v>
      </c>
      <c r="L125" s="36"/>
    </row>
    <row r="126" spans="1:3" ht="12.75">
      <c r="A126" s="8"/>
      <c r="C126" s="14"/>
    </row>
    <row r="127" spans="1:12" ht="12.75">
      <c r="A127" s="17" t="s">
        <v>26</v>
      </c>
      <c r="B127" s="14" t="s">
        <v>27</v>
      </c>
      <c r="C127" s="18">
        <f>C124*'RATES '!$C$4</f>
        <v>5907.8152</v>
      </c>
      <c r="D127" s="18">
        <f>D124*'RATES '!$C$8</f>
        <v>3095.883</v>
      </c>
      <c r="E127" s="18">
        <f>E124*'RATES '!$C$12</f>
        <v>621.705</v>
      </c>
      <c r="F127" s="18">
        <f>F124*'RATES '!$C$16</f>
        <v>1189.1388</v>
      </c>
      <c r="G127" s="18">
        <f>G124*'RATES '!$C$20</f>
        <v>106.32440000000001</v>
      </c>
      <c r="H127" s="18">
        <f>H124*'RATES '!$C$24</f>
        <v>150.6141</v>
      </c>
      <c r="I127" s="18">
        <f>I124*'RATES '!$C$28</f>
        <v>1.9930999999999999</v>
      </c>
      <c r="J127" s="18">
        <f>J124*'RATES '!$C$32</f>
        <v>73.5816</v>
      </c>
      <c r="K127" s="18">
        <f>K124*'RATES '!$C$36</f>
        <v>73.839</v>
      </c>
      <c r="L127" s="37">
        <f>SUM(C127:K127)</f>
        <v>11220.894199999999</v>
      </c>
    </row>
    <row r="128" spans="1:12" ht="12.75">
      <c r="A128" s="19"/>
      <c r="B128" s="14" t="s">
        <v>28</v>
      </c>
      <c r="C128" s="18">
        <f>C125*'RATES '!$C$5</f>
        <v>4955.06277</v>
      </c>
      <c r="D128" s="18">
        <f>D125*'RATES '!$C$9</f>
        <v>4397.12184</v>
      </c>
      <c r="E128" s="18">
        <f>E125*'RATES '!$C$13</f>
        <v>1281.542853</v>
      </c>
      <c r="F128" s="18">
        <f>F125*'RATES '!$C$17</f>
        <v>1194.646607</v>
      </c>
      <c r="G128" s="18">
        <f>G125*'RATES '!$C$21</f>
        <v>1109.919228</v>
      </c>
      <c r="H128" s="18">
        <f>H125*'RATES '!$C$25</f>
        <v>2675.938228</v>
      </c>
      <c r="I128" s="18">
        <f>I125*'RATES '!$C$29</f>
        <v>325.241175</v>
      </c>
      <c r="J128" s="18">
        <f>J125*'RATES '!$C$33</f>
        <v>21.142951</v>
      </c>
      <c r="K128" s="18">
        <f>K125*'RATES '!$C$37</f>
        <v>13.519001</v>
      </c>
      <c r="L128" s="37">
        <f>SUM(C128:K128)</f>
        <v>15974.134653</v>
      </c>
    </row>
    <row r="129" ht="12.75">
      <c r="A129" s="20"/>
    </row>
    <row r="130" spans="1:12" ht="12.75">
      <c r="A130" s="17" t="s">
        <v>29</v>
      </c>
      <c r="B130" s="14" t="s">
        <v>27</v>
      </c>
      <c r="C130" s="18">
        <f>C124*'RATES '!$D$4</f>
        <v>19339.5762</v>
      </c>
      <c r="D130" s="18">
        <f>D124*'RATES '!$D$8</f>
        <v>10133.3124</v>
      </c>
      <c r="E130" s="18">
        <f>E124*'RATES '!$D$12</f>
        <v>2035.026</v>
      </c>
      <c r="F130" s="18">
        <f>F124*'RATES '!$D$16</f>
        <v>3892.5912000000003</v>
      </c>
      <c r="G130" s="18">
        <f>G124*'RATES '!$D$20</f>
        <v>348.0568</v>
      </c>
      <c r="H130" s="18">
        <f>H124*'RATES '!$D$24</f>
        <v>493.0146</v>
      </c>
      <c r="I130" s="18">
        <f>I124*'RATES '!$D$28</f>
        <v>6.5226999999999995</v>
      </c>
      <c r="J130" s="18">
        <f>J124*'RATES '!$D$32</f>
        <v>241.00639999999999</v>
      </c>
      <c r="K130" s="18">
        <f>K124*'RATES '!$D$36</f>
        <v>241.72899999999998</v>
      </c>
      <c r="L130" s="37">
        <f>SUM(C130:K130)</f>
        <v>36730.8353</v>
      </c>
    </row>
    <row r="131" spans="1:12" ht="12.75">
      <c r="A131" s="17"/>
      <c r="B131" s="14" t="s">
        <v>28</v>
      </c>
      <c r="C131" s="18">
        <f>C125*'RATES '!$D$5</f>
        <v>16179.796799999998</v>
      </c>
      <c r="D131" s="18">
        <f>D125*'RATES '!$D$9</f>
        <v>14184.264</v>
      </c>
      <c r="E131" s="18">
        <f>E125*'RATES '!$D$13</f>
        <v>4103.9218</v>
      </c>
      <c r="F131" s="18">
        <f>F125*'RATES '!$D$17</f>
        <v>3989.5434</v>
      </c>
      <c r="G131" s="18">
        <f>G125*'RATES '!$D$21</f>
        <v>3633.4857</v>
      </c>
      <c r="H131" s="18">
        <f>H125*'RATES '!$D$25</f>
        <v>8759.7632</v>
      </c>
      <c r="I131" s="18">
        <f>I125*'RATES '!$D$29</f>
        <v>1065.0149999999999</v>
      </c>
      <c r="J131" s="18">
        <f>J125*'RATES '!$D$33</f>
        <v>69.231</v>
      </c>
      <c r="K131" s="18">
        <f>K125*'RATES '!$D$37</f>
        <v>44.257600000000004</v>
      </c>
      <c r="L131" s="37">
        <f>SUM(C131:K131)</f>
        <v>52029.2785</v>
      </c>
    </row>
    <row r="132" spans="1:12" ht="12.75">
      <c r="A132" s="8"/>
      <c r="C132" s="18"/>
      <c r="D132" s="18"/>
      <c r="E132" s="18"/>
      <c r="F132" s="18"/>
      <c r="G132" s="18"/>
      <c r="H132" s="18"/>
      <c r="I132" s="18"/>
      <c r="J132" s="18"/>
      <c r="K132" s="18"/>
      <c r="L132" s="37"/>
    </row>
    <row r="133" spans="3:12" ht="12.75">
      <c r="C133" s="21">
        <f aca="true" t="shared" si="10" ref="C133:K133">SUM(C127:C131)</f>
        <v>46382.250969999994</v>
      </c>
      <c r="D133" s="21">
        <f t="shared" si="10"/>
        <v>31810.58124</v>
      </c>
      <c r="E133" s="21">
        <f t="shared" si="10"/>
        <v>8042.195653</v>
      </c>
      <c r="F133" s="21">
        <f t="shared" si="10"/>
        <v>10265.920007</v>
      </c>
      <c r="G133" s="21">
        <f t="shared" si="10"/>
        <v>5197.786128</v>
      </c>
      <c r="H133" s="21">
        <f t="shared" si="10"/>
        <v>12079.330128</v>
      </c>
      <c r="I133" s="21">
        <f t="shared" si="10"/>
        <v>1398.7719749999999</v>
      </c>
      <c r="J133" s="21">
        <f t="shared" si="10"/>
        <v>404.961951</v>
      </c>
      <c r="K133" s="21">
        <f t="shared" si="10"/>
        <v>373.344601</v>
      </c>
      <c r="L133" s="38">
        <f>SUM(L127:L131)+0.19</f>
        <v>115955.33265299999</v>
      </c>
    </row>
    <row r="135" spans="1:12" ht="15">
      <c r="A135" s="10" t="s">
        <v>40</v>
      </c>
      <c r="B135" s="11"/>
      <c r="C135" s="12"/>
      <c r="D135" s="12"/>
      <c r="E135" s="12"/>
      <c r="F135" s="12"/>
      <c r="G135" s="12"/>
      <c r="H135" s="12"/>
      <c r="I135" s="12"/>
      <c r="J135" s="12"/>
      <c r="K135" s="12"/>
      <c r="L135" s="35"/>
    </row>
    <row r="136" spans="1:12" ht="12.75">
      <c r="A136" s="13" t="s">
        <v>24</v>
      </c>
      <c r="C136" s="14">
        <v>11911</v>
      </c>
      <c r="D136" s="14">
        <v>5601</v>
      </c>
      <c r="E136" s="14">
        <v>949</v>
      </c>
      <c r="F136" s="14">
        <v>1384</v>
      </c>
      <c r="G136" s="14">
        <v>95</v>
      </c>
      <c r="H136" s="14">
        <v>98</v>
      </c>
      <c r="I136" s="14">
        <v>26</v>
      </c>
      <c r="J136" s="15">
        <v>2666</v>
      </c>
      <c r="K136" s="15">
        <v>762</v>
      </c>
      <c r="L136" s="36"/>
    </row>
    <row r="137" spans="1:12" ht="12.75">
      <c r="A137" s="13" t="s">
        <v>25</v>
      </c>
      <c r="C137" s="14">
        <v>6997733</v>
      </c>
      <c r="D137" s="14">
        <v>6162827</v>
      </c>
      <c r="E137" s="14">
        <v>1857153</v>
      </c>
      <c r="F137" s="14">
        <v>2238335</v>
      </c>
      <c r="G137" s="22">
        <v>8202</v>
      </c>
      <c r="H137" s="22">
        <v>8928</v>
      </c>
      <c r="I137" s="22">
        <v>30979</v>
      </c>
      <c r="J137" s="22">
        <v>495</v>
      </c>
      <c r="K137" s="22">
        <v>131</v>
      </c>
      <c r="L137" s="36"/>
    </row>
    <row r="138" spans="1:3" ht="12.75">
      <c r="A138" s="8"/>
      <c r="C138" s="14"/>
    </row>
    <row r="139" spans="1:12" ht="12.75">
      <c r="A139" s="17" t="s">
        <v>26</v>
      </c>
      <c r="B139" s="14" t="s">
        <v>27</v>
      </c>
      <c r="C139" s="18">
        <f>C136*'RATES '!$C$4</f>
        <v>5864.9764000000005</v>
      </c>
      <c r="D139" s="18">
        <f>D136*'RATES '!$C$8</f>
        <v>3077.7495</v>
      </c>
      <c r="E139" s="18">
        <f>E136*'RATES '!$C$12</f>
        <v>634.4064999999999</v>
      </c>
      <c r="F139" s="18">
        <f>F136*'RATES '!$C$16</f>
        <v>1177.2304</v>
      </c>
      <c r="G139" s="18">
        <f>G136*'RATES '!$C$20</f>
        <v>110.998</v>
      </c>
      <c r="H139" s="18">
        <f>H136*'RATES '!$C$24</f>
        <v>126.15540000000001</v>
      </c>
      <c r="I139" s="18">
        <f>I136*'RATES '!$C$28</f>
        <v>2.7274</v>
      </c>
      <c r="J139" s="18">
        <f>J136*'RATES '!$C$32</f>
        <v>73.5816</v>
      </c>
      <c r="K139" s="18">
        <f>K136*'RATES '!$C$36</f>
        <v>69.0372</v>
      </c>
      <c r="L139" s="37">
        <f>SUM(C139:K139)</f>
        <v>11136.8624</v>
      </c>
    </row>
    <row r="140" spans="1:12" ht="12.75">
      <c r="A140" s="19"/>
      <c r="B140" s="14" t="s">
        <v>28</v>
      </c>
      <c r="C140" s="18">
        <f>C137*'RATES '!$C$5</f>
        <v>5143.333755</v>
      </c>
      <c r="D140" s="18">
        <f>D137*'RATES '!$C$9</f>
        <v>4585.143288</v>
      </c>
      <c r="E140" s="18">
        <f>E137*'RATES '!$C$13</f>
        <v>1275.864111</v>
      </c>
      <c r="F140" s="18">
        <f>F137*'RATES '!$C$17</f>
        <v>1206.462565</v>
      </c>
      <c r="G140" s="18">
        <f>G137*'RATES '!$C$21</f>
        <v>1032.500568</v>
      </c>
      <c r="H140" s="18">
        <f>H137*'RATES '!$C$25</f>
        <v>1889.495136</v>
      </c>
      <c r="I140" s="18">
        <f>I137*'RATES '!$C$29</f>
        <v>391.66749699999997</v>
      </c>
      <c r="J140" s="18">
        <f>J137*'RATES '!$C$33</f>
        <v>21.315195000000003</v>
      </c>
      <c r="K140" s="18">
        <f>K137*'RATES '!$C$37</f>
        <v>12.740929</v>
      </c>
      <c r="L140" s="37">
        <f>SUM(C140:K140)</f>
        <v>15558.523043999998</v>
      </c>
    </row>
    <row r="141" ht="12.75">
      <c r="A141" s="20"/>
    </row>
    <row r="142" spans="1:12" ht="12.75">
      <c r="A142" s="17" t="s">
        <v>29</v>
      </c>
      <c r="B142" s="14" t="s">
        <v>27</v>
      </c>
      <c r="C142" s="18">
        <f>C136*'RATES '!$D$4</f>
        <v>19199.340900000003</v>
      </c>
      <c r="D142" s="18">
        <f>D136*'RATES '!$D$8</f>
        <v>10073.9586</v>
      </c>
      <c r="E142" s="18">
        <f>E136*'RATES '!$D$12</f>
        <v>2076.6018</v>
      </c>
      <c r="F142" s="18">
        <f>F136*'RATES '!$D$16</f>
        <v>3853.6096000000002</v>
      </c>
      <c r="G142" s="18">
        <f>G136*'RATES '!$D$20</f>
        <v>363.356</v>
      </c>
      <c r="H142" s="18">
        <f>H136*'RATES '!$D$24</f>
        <v>412.9524</v>
      </c>
      <c r="I142" s="18">
        <f>I136*'RATES '!$D$28</f>
        <v>8.9258</v>
      </c>
      <c r="J142" s="18">
        <f>J136*'RATES '!$D$32</f>
        <v>241.00639999999999</v>
      </c>
      <c r="K142" s="18">
        <f>K136*'RATES '!$D$36</f>
        <v>226.0092</v>
      </c>
      <c r="L142" s="37">
        <f>SUM(C142:K142)</f>
        <v>36455.7607</v>
      </c>
    </row>
    <row r="143" spans="1:12" ht="12.75">
      <c r="A143" s="17"/>
      <c r="B143" s="14" t="s">
        <v>28</v>
      </c>
      <c r="C143" s="18">
        <f>C137*'RATES '!$D$5</f>
        <v>16794.5592</v>
      </c>
      <c r="D143" s="18">
        <f>D137*'RATES '!$D$9</f>
        <v>14790.7848</v>
      </c>
      <c r="E143" s="18">
        <f>E137*'RATES '!$D$13</f>
        <v>4085.7366</v>
      </c>
      <c r="F143" s="18">
        <f>F137*'RATES '!$D$17</f>
        <v>4029.0029999999997</v>
      </c>
      <c r="G143" s="18">
        <f>G137*'RATES '!$D$21</f>
        <v>3380.0442000000003</v>
      </c>
      <c r="H143" s="18">
        <f>H137*'RATES '!$D$25</f>
        <v>6185.3184</v>
      </c>
      <c r="I143" s="18">
        <f>I137*'RATES '!$D$29</f>
        <v>1282.5306</v>
      </c>
      <c r="J143" s="18">
        <f>J137*'RATES '!$D$33</f>
        <v>69.79499999999999</v>
      </c>
      <c r="K143" s="18">
        <f>K137*'RATES '!$D$37</f>
        <v>41.7104</v>
      </c>
      <c r="L143" s="37">
        <f>SUM(C143:K143)</f>
        <v>50659.482200000006</v>
      </c>
    </row>
    <row r="144" spans="1:12" ht="12.75">
      <c r="A144" s="8"/>
      <c r="C144" s="18"/>
      <c r="D144" s="18"/>
      <c r="E144" s="18"/>
      <c r="F144" s="18"/>
      <c r="G144" s="18"/>
      <c r="H144" s="18"/>
      <c r="I144" s="18"/>
      <c r="J144" s="18"/>
      <c r="K144" s="18"/>
      <c r="L144" s="37"/>
    </row>
    <row r="145" spans="3:12" ht="12.75">
      <c r="C145" s="21">
        <f aca="true" t="shared" si="11" ref="C145:K145">SUM(C139:C143)</f>
        <v>47002.210255</v>
      </c>
      <c r="D145" s="21">
        <f t="shared" si="11"/>
        <v>32527.636187999997</v>
      </c>
      <c r="E145" s="21">
        <f t="shared" si="11"/>
        <v>8072.6090110000005</v>
      </c>
      <c r="F145" s="21">
        <f t="shared" si="11"/>
        <v>10266.305564999999</v>
      </c>
      <c r="G145" s="21">
        <f t="shared" si="11"/>
        <v>4886.898768</v>
      </c>
      <c r="H145" s="21">
        <f t="shared" si="11"/>
        <v>8613.921336</v>
      </c>
      <c r="I145" s="21">
        <f t="shared" si="11"/>
        <v>1685.851297</v>
      </c>
      <c r="J145" s="21">
        <f t="shared" si="11"/>
        <v>405.69819499999994</v>
      </c>
      <c r="K145" s="21">
        <f t="shared" si="11"/>
        <v>349.497729</v>
      </c>
      <c r="L145" s="38">
        <f>SUM(L139:L143)+0.11</f>
        <v>113810.738344</v>
      </c>
    </row>
    <row r="146" ht="13.5" thickBot="1"/>
    <row r="147" spans="11:12" ht="13.5" thickBot="1">
      <c r="K147" s="28" t="s">
        <v>57</v>
      </c>
      <c r="L147" s="27">
        <f>SUM(L13,L25,L37,L49,L61,L73,L85,L97,L109,L121,L133,L145)</f>
        <v>1432129.8641</v>
      </c>
    </row>
  </sheetData>
  <sheetProtection/>
  <printOptions gridLines="1" horizontalCentered="1"/>
  <pageMargins left="0.31496062992125984" right="0.2362204724409449" top="0.5118110236220472" bottom="0.5118110236220472" header="0.2362204724409449" footer="0.2362204724409449"/>
  <pageSetup horizontalDpi="600" verticalDpi="600" orientation="portrait" scale="62" r:id="rId3"/>
  <headerFooter alignWithMargins="0">
    <oddFooter>&amp;LHaldimand County Hydro Inc.
Page &amp;P of &amp;N&amp;C&amp;"Arial,Bold"&amp;F
&amp;A&amp;R&amp;8J. Scott
September 29, 2011</oddFooter>
  </headerFooter>
  <rowBreaks count="1" manualBreakCount="1">
    <brk id="7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8"/>
  <sheetViews>
    <sheetView view="pageBreakPreview" zoomScale="60" zoomScaleNormal="75" zoomScalePageLayoutView="0" workbookViewId="0" topLeftCell="A1">
      <pane xSplit="2" ySplit="1" topLeftCell="C2" activePane="bottomRight" state="frozen"/>
      <selection pane="topLeft" activeCell="L184" sqref="L184"/>
      <selection pane="topRight" activeCell="L184" sqref="L184"/>
      <selection pane="bottomLeft" activeCell="L184" sqref="L184"/>
      <selection pane="bottomRight" activeCell="C1" sqref="C1:L1"/>
    </sheetView>
  </sheetViews>
  <sheetFormatPr defaultColWidth="9.140625" defaultRowHeight="12.75"/>
  <cols>
    <col min="1" max="1" width="39.140625" style="0" bestFit="1" customWidth="1"/>
    <col min="2" max="2" width="9.7109375" style="14" customWidth="1"/>
    <col min="3" max="3" width="14.140625" style="0" bestFit="1" customWidth="1"/>
    <col min="4" max="4" width="12.57421875" style="0" bestFit="1" customWidth="1"/>
    <col min="5" max="5" width="11.57421875" style="0" bestFit="1" customWidth="1"/>
    <col min="6" max="6" width="11.28125" style="0" bestFit="1" customWidth="1"/>
    <col min="7" max="7" width="11.7109375" style="0" customWidth="1"/>
    <col min="8" max="8" width="11.28125" style="0" bestFit="1" customWidth="1"/>
    <col min="9" max="10" width="10.28125" style="0" bestFit="1" customWidth="1"/>
    <col min="12" max="12" width="14.7109375" style="6" bestFit="1" customWidth="1"/>
  </cols>
  <sheetData>
    <row r="1" spans="1:12" s="30" customFormat="1" ht="51">
      <c r="A1" s="29" t="s">
        <v>61</v>
      </c>
      <c r="B1" s="34"/>
      <c r="C1" s="32" t="s">
        <v>17</v>
      </c>
      <c r="D1" s="32" t="s">
        <v>18</v>
      </c>
      <c r="E1" s="32" t="s">
        <v>97</v>
      </c>
      <c r="F1" s="32" t="s">
        <v>96</v>
      </c>
      <c r="G1" s="32" t="s">
        <v>95</v>
      </c>
      <c r="H1" s="32" t="s">
        <v>98</v>
      </c>
      <c r="I1" s="32" t="s">
        <v>19</v>
      </c>
      <c r="J1" s="32" t="s">
        <v>20</v>
      </c>
      <c r="K1" s="32" t="s">
        <v>21</v>
      </c>
      <c r="L1" s="32" t="s">
        <v>22</v>
      </c>
    </row>
    <row r="2" spans="1:12" ht="12.75">
      <c r="A2" s="8"/>
      <c r="B2" s="9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10" t="s">
        <v>42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35"/>
    </row>
    <row r="4" spans="1:12" ht="12.75">
      <c r="A4" s="13" t="s">
        <v>24</v>
      </c>
      <c r="C4" s="14">
        <v>11997</v>
      </c>
      <c r="D4" s="14">
        <v>5655</v>
      </c>
      <c r="E4" s="14">
        <v>952</v>
      </c>
      <c r="F4" s="14">
        <v>1405</v>
      </c>
      <c r="G4" s="14">
        <v>92</v>
      </c>
      <c r="H4" s="14">
        <v>96</v>
      </c>
      <c r="I4" s="14">
        <v>4</v>
      </c>
      <c r="J4" s="15">
        <v>2751</v>
      </c>
      <c r="K4" s="15">
        <v>845</v>
      </c>
      <c r="L4" s="36"/>
    </row>
    <row r="5" spans="1:12" ht="12.75">
      <c r="A5" s="13" t="s">
        <v>25</v>
      </c>
      <c r="C5" s="14">
        <v>8286479</v>
      </c>
      <c r="D5" s="14">
        <v>7205115</v>
      </c>
      <c r="E5" s="14">
        <v>1951135</v>
      </c>
      <c r="F5" s="14">
        <v>2390843</v>
      </c>
      <c r="G5" s="16">
        <v>10091</v>
      </c>
      <c r="H5" s="16">
        <v>16188</v>
      </c>
      <c r="I5" s="16">
        <v>6927</v>
      </c>
      <c r="J5" s="16">
        <v>495</v>
      </c>
      <c r="K5" s="16">
        <v>148</v>
      </c>
      <c r="L5" s="36"/>
    </row>
    <row r="6" spans="1:3" ht="12.75">
      <c r="A6" s="8"/>
      <c r="C6" s="14"/>
    </row>
    <row r="7" spans="1:12" ht="12.75">
      <c r="A7" s="17" t="s">
        <v>26</v>
      </c>
      <c r="B7" s="14" t="s">
        <v>27</v>
      </c>
      <c r="C7" s="18">
        <f>C4*'RATES '!$C$4</f>
        <v>5907.3228</v>
      </c>
      <c r="D7" s="18">
        <f>D4*'RATES '!$C$8</f>
        <v>3107.4225</v>
      </c>
      <c r="E7" s="18">
        <f>E4*'RATES '!$C$12</f>
        <v>636.412</v>
      </c>
      <c r="F7" s="18">
        <f>F4*'RATES '!$C$16</f>
        <v>1195.093</v>
      </c>
      <c r="G7" s="18">
        <f>G4*'RATES '!$C$20</f>
        <v>107.49280000000002</v>
      </c>
      <c r="H7" s="18">
        <f>H4*'RATES '!$C$24</f>
        <v>123.58080000000001</v>
      </c>
      <c r="I7" s="18">
        <f>I4*'RATES '!$C$28</f>
        <v>0.4196</v>
      </c>
      <c r="J7" s="18">
        <f>J4*'RATES '!$C$32</f>
        <v>75.9276</v>
      </c>
      <c r="K7" s="18">
        <f>K4*'RATES '!$C$36</f>
        <v>76.557</v>
      </c>
      <c r="L7" s="37">
        <f>SUM(C7:K7)</f>
        <v>11230.228100000002</v>
      </c>
    </row>
    <row r="8" spans="1:12" ht="12.75">
      <c r="A8" s="19"/>
      <c r="B8" s="14" t="s">
        <v>28</v>
      </c>
      <c r="C8" s="18">
        <f>C5*'RATES '!$C$5</f>
        <v>6090.562065</v>
      </c>
      <c r="D8" s="18">
        <f>D5*'RATES '!$C$9</f>
        <v>5360.60556</v>
      </c>
      <c r="E8" s="18">
        <f>E5*'RATES '!$C$13</f>
        <v>1340.429745</v>
      </c>
      <c r="F8" s="18">
        <f>F5*'RATES '!$C$17</f>
        <v>1288.664377</v>
      </c>
      <c r="G8" s="18">
        <f>G5*'RATES '!$C$21</f>
        <v>1270.2954439999999</v>
      </c>
      <c r="H8" s="18">
        <f>H5*'RATES '!$C$25</f>
        <v>3425.9797559999997</v>
      </c>
      <c r="I8" s="18">
        <f>I5*'RATES '!$C$29</f>
        <v>87.57806099999999</v>
      </c>
      <c r="J8" s="18">
        <f>J5*'RATES '!$C$33</f>
        <v>21.315195000000003</v>
      </c>
      <c r="K8" s="18">
        <f>K5*'RATES '!$C$37</f>
        <v>14.394332</v>
      </c>
      <c r="L8" s="37">
        <f>SUM(C8:K8)</f>
        <v>18899.824535</v>
      </c>
    </row>
    <row r="9" spans="1:12" ht="12.75">
      <c r="A9" s="17" t="s">
        <v>29</v>
      </c>
      <c r="B9" s="14" t="s">
        <v>27</v>
      </c>
      <c r="C9" s="18">
        <f>C4*'RATES '!$D$4</f>
        <v>19337.9643</v>
      </c>
      <c r="D9" s="18">
        <f>D4*'RATES '!$D$8</f>
        <v>10171.083</v>
      </c>
      <c r="E9" s="18">
        <f>E4*'RATES '!$D$12</f>
        <v>2083.1664</v>
      </c>
      <c r="F9" s="18">
        <f>F4*'RATES '!$D$16</f>
        <v>3912.0820000000003</v>
      </c>
      <c r="G9" s="18">
        <f>G4*'RATES '!$D$20</f>
        <v>351.8816</v>
      </c>
      <c r="H9" s="18">
        <f>H4*'RATES '!$D$24</f>
        <v>404.5248</v>
      </c>
      <c r="I9" s="18">
        <f>I4*'RATES '!$D$28</f>
        <v>1.3732</v>
      </c>
      <c r="J9" s="18">
        <f>J4*'RATES '!$D$32</f>
        <v>248.69039999999998</v>
      </c>
      <c r="K9" s="18">
        <f>K4*'RATES '!$D$36</f>
        <v>250.62699999999998</v>
      </c>
      <c r="L9" s="37">
        <f>SUM(C9:K9)</f>
        <v>36761.392700000004</v>
      </c>
    </row>
    <row r="10" spans="1:12" ht="12.75">
      <c r="A10" s="17"/>
      <c r="B10" s="14" t="s">
        <v>28</v>
      </c>
      <c r="C10" s="18">
        <f>C5*'RATES '!$D$5</f>
        <v>19887.5496</v>
      </c>
      <c r="D10" s="18">
        <f>D5*'RATES '!$D$9</f>
        <v>17292.275999999998</v>
      </c>
      <c r="E10" s="18">
        <f>E5*'RATES '!$D$13</f>
        <v>4292.497</v>
      </c>
      <c r="F10" s="18">
        <f>F5*'RATES '!$D$17</f>
        <v>4303.5174</v>
      </c>
      <c r="G10" s="18">
        <f>G5*'RATES '!$D$21</f>
        <v>4158.5011</v>
      </c>
      <c r="H10" s="18">
        <f>H5*'RATES '!$D$25</f>
        <v>11215.0464</v>
      </c>
      <c r="I10" s="18">
        <f>I5*'RATES '!$D$29</f>
        <v>286.7778</v>
      </c>
      <c r="J10" s="18">
        <f>J5*'RATES '!$D$33</f>
        <v>69.79499999999999</v>
      </c>
      <c r="K10" s="18">
        <f>K5*'RATES '!$D$37</f>
        <v>47.123200000000004</v>
      </c>
      <c r="L10" s="37">
        <f>SUM(C10:K10)</f>
        <v>61553.0835</v>
      </c>
    </row>
    <row r="11" spans="1:12" ht="12.75">
      <c r="A11" s="8"/>
      <c r="C11" s="18"/>
      <c r="D11" s="18"/>
      <c r="E11" s="18"/>
      <c r="F11" s="18"/>
      <c r="G11" s="18"/>
      <c r="H11" s="18"/>
      <c r="I11" s="18"/>
      <c r="J11" s="18"/>
      <c r="K11" s="18"/>
      <c r="L11" s="37"/>
    </row>
    <row r="12" spans="3:12" ht="12.75">
      <c r="C12" s="21">
        <f aca="true" t="shared" si="0" ref="C12:K12">SUM(C7:C10)</f>
        <v>51223.398765</v>
      </c>
      <c r="D12" s="21">
        <f t="shared" si="0"/>
        <v>35931.38706</v>
      </c>
      <c r="E12" s="21">
        <f t="shared" si="0"/>
        <v>8352.505145</v>
      </c>
      <c r="F12" s="21">
        <f t="shared" si="0"/>
        <v>10699.356777</v>
      </c>
      <c r="G12" s="21">
        <f t="shared" si="0"/>
        <v>5888.170944</v>
      </c>
      <c r="H12" s="21">
        <f t="shared" si="0"/>
        <v>15169.131755999999</v>
      </c>
      <c r="I12" s="21">
        <f t="shared" si="0"/>
        <v>376.148661</v>
      </c>
      <c r="J12" s="21">
        <f t="shared" si="0"/>
        <v>415.7281949999999</v>
      </c>
      <c r="K12" s="21">
        <f t="shared" si="0"/>
        <v>388.701532</v>
      </c>
      <c r="L12" s="38">
        <f>SUM(L7:L10)-0.02</f>
        <v>128444.508835</v>
      </c>
    </row>
    <row r="13" spans="1:12" ht="12.75">
      <c r="A13" s="8"/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5">
      <c r="A14" s="10" t="s">
        <v>43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35"/>
    </row>
    <row r="15" spans="1:12" ht="12.75">
      <c r="A15" s="13" t="s">
        <v>24</v>
      </c>
      <c r="C15" s="14">
        <v>11956</v>
      </c>
      <c r="D15" s="14">
        <v>5616</v>
      </c>
      <c r="E15" s="14">
        <v>941</v>
      </c>
      <c r="F15" s="14">
        <v>1508</v>
      </c>
      <c r="G15" s="14">
        <v>101</v>
      </c>
      <c r="H15" s="14">
        <v>107</v>
      </c>
      <c r="I15" s="14">
        <v>4</v>
      </c>
      <c r="J15" s="15">
        <v>3840</v>
      </c>
      <c r="K15" s="15">
        <v>719</v>
      </c>
      <c r="L15" s="36"/>
    </row>
    <row r="16" spans="1:12" ht="12.75">
      <c r="A16" s="13" t="s">
        <v>25</v>
      </c>
      <c r="C16" s="14">
        <v>9266254</v>
      </c>
      <c r="D16" s="14">
        <v>8473145</v>
      </c>
      <c r="E16" s="14">
        <v>2205036</v>
      </c>
      <c r="F16" s="14">
        <v>2705277</v>
      </c>
      <c r="G16" s="16">
        <v>10862</v>
      </c>
      <c r="H16" s="16">
        <v>17188</v>
      </c>
      <c r="I16" s="16">
        <v>7019</v>
      </c>
      <c r="J16" s="16">
        <v>796</v>
      </c>
      <c r="K16" s="16">
        <v>122</v>
      </c>
      <c r="L16" s="36"/>
    </row>
    <row r="17" spans="1:3" ht="12.75">
      <c r="A17" s="8"/>
      <c r="C17" s="14"/>
    </row>
    <row r="18" spans="1:12" ht="12.75">
      <c r="A18" s="17" t="s">
        <v>26</v>
      </c>
      <c r="B18" s="14" t="s">
        <v>27</v>
      </c>
      <c r="C18" s="18">
        <f>C15*'RATES '!$C$4</f>
        <v>5887.1344</v>
      </c>
      <c r="D18" s="18">
        <f>D15*'RATES '!$C$8</f>
        <v>3085.9919999999997</v>
      </c>
      <c r="E18" s="18">
        <f>E15*'RATES '!$C$12</f>
        <v>629.0585</v>
      </c>
      <c r="F18" s="18">
        <f>F15*'RATES '!$C$16</f>
        <v>1282.7048</v>
      </c>
      <c r="G18" s="18">
        <f>G15*'RATES '!$C$20</f>
        <v>118.00840000000001</v>
      </c>
      <c r="H18" s="18">
        <f>H15*'RATES '!$C$24</f>
        <v>137.74110000000002</v>
      </c>
      <c r="I18" s="18">
        <f>I15*'RATES '!$C$28</f>
        <v>0.4196</v>
      </c>
      <c r="J18" s="18">
        <f>J15*'RATES '!$C$32</f>
        <v>105.984</v>
      </c>
      <c r="K18" s="18">
        <f>K15*'RATES '!$C$36</f>
        <v>65.1414</v>
      </c>
      <c r="L18" s="37">
        <f>SUM(C18:K18)</f>
        <v>11312.184199999998</v>
      </c>
    </row>
    <row r="19" spans="1:12" ht="12.75">
      <c r="A19" s="19"/>
      <c r="B19" s="14" t="s">
        <v>28</v>
      </c>
      <c r="C19" s="18">
        <f>C16*'RATES '!$C$5</f>
        <v>6810.69669</v>
      </c>
      <c r="D19" s="18">
        <f>D16*'RATES '!$C$9</f>
        <v>6304.01988</v>
      </c>
      <c r="E19" s="18">
        <f>E16*'RATES '!$C$13</f>
        <v>1514.859732</v>
      </c>
      <c r="F19" s="18">
        <f>F16*'RATES '!$C$17</f>
        <v>1458.144303</v>
      </c>
      <c r="G19" s="18">
        <f>G16*'RATES '!$C$21</f>
        <v>1367.352008</v>
      </c>
      <c r="H19" s="18">
        <f>H16*'RATES '!$C$25</f>
        <v>3637.616756</v>
      </c>
      <c r="I19" s="18">
        <f>I16*'RATES '!$C$29</f>
        <v>88.74121699999999</v>
      </c>
      <c r="J19" s="18">
        <f>J16*'RATES '!$C$33</f>
        <v>34.276556</v>
      </c>
      <c r="K19" s="18">
        <f>K16*'RATES '!$C$37</f>
        <v>11.865598</v>
      </c>
      <c r="L19" s="37">
        <f>SUM(C19:K19)</f>
        <v>21227.572740000003</v>
      </c>
    </row>
    <row r="20" spans="1:12" ht="12.75">
      <c r="A20" s="17" t="s">
        <v>29</v>
      </c>
      <c r="B20" s="14" t="s">
        <v>27</v>
      </c>
      <c r="C20" s="18">
        <f>C15*'RATES '!$D$4</f>
        <v>19271.8764</v>
      </c>
      <c r="D20" s="18">
        <f>D15*'RATES '!$D$8</f>
        <v>10100.9376</v>
      </c>
      <c r="E20" s="18">
        <f>E15*'RATES '!$D$12</f>
        <v>2059.0962</v>
      </c>
      <c r="F20" s="18">
        <f>F15*'RATES '!$D$16</f>
        <v>4198.8752</v>
      </c>
      <c r="G20" s="18">
        <f>G15*'RATES '!$D$20</f>
        <v>386.3048</v>
      </c>
      <c r="H20" s="18">
        <f>H15*'RATES '!$D$24</f>
        <v>450.8766</v>
      </c>
      <c r="I20" s="18">
        <f>I15*'RATES '!$D$28</f>
        <v>1.3732</v>
      </c>
      <c r="J20" s="18">
        <f>J15*'RATES '!$D$32</f>
        <v>347.13599999999997</v>
      </c>
      <c r="K20" s="18">
        <f>K15*'RATES '!$D$36</f>
        <v>213.25539999999998</v>
      </c>
      <c r="L20" s="37">
        <f>SUM(C20:K20)</f>
        <v>37029.731400000004</v>
      </c>
    </row>
    <row r="21" spans="1:12" ht="12.75">
      <c r="A21" s="17"/>
      <c r="B21" s="14" t="s">
        <v>28</v>
      </c>
      <c r="C21" s="18">
        <f>C16*'RATES '!$D$5</f>
        <v>22239.009599999998</v>
      </c>
      <c r="D21" s="18">
        <f>D16*'RATES '!$D$9</f>
        <v>20335.548</v>
      </c>
      <c r="E21" s="18">
        <f>E16*'RATES '!$D$13</f>
        <v>4851.0792</v>
      </c>
      <c r="F21" s="18">
        <f>F16*'RATES '!$D$17</f>
        <v>4869.4986</v>
      </c>
      <c r="G21" s="18">
        <f>G16*'RATES '!$D$21</f>
        <v>4476.2302</v>
      </c>
      <c r="H21" s="18">
        <f>H16*'RATES '!$D$25</f>
        <v>11907.8464</v>
      </c>
      <c r="I21" s="18">
        <f>I16*'RATES '!$D$29</f>
        <v>290.5866</v>
      </c>
      <c r="J21" s="18">
        <f>J16*'RATES '!$D$33</f>
        <v>112.23599999999999</v>
      </c>
      <c r="K21" s="18">
        <f>K16*'RATES '!$D$37</f>
        <v>38.8448</v>
      </c>
      <c r="L21" s="37">
        <f>SUM(C21:K21)</f>
        <v>69120.8794</v>
      </c>
    </row>
    <row r="22" spans="1:12" ht="12.75">
      <c r="A22" s="8"/>
      <c r="C22" s="18"/>
      <c r="D22" s="18"/>
      <c r="E22" s="18"/>
      <c r="F22" s="18"/>
      <c r="G22" s="18"/>
      <c r="H22" s="18"/>
      <c r="I22" s="18"/>
      <c r="J22" s="18"/>
      <c r="K22" s="18"/>
      <c r="L22" s="37"/>
    </row>
    <row r="23" spans="3:12" ht="12.75">
      <c r="C23" s="21">
        <f aca="true" t="shared" si="1" ref="C23:K23">SUM(C18:C21)</f>
        <v>54208.71709</v>
      </c>
      <c r="D23" s="21">
        <f t="shared" si="1"/>
        <v>39826.49748</v>
      </c>
      <c r="E23" s="21">
        <f t="shared" si="1"/>
        <v>9054.093632</v>
      </c>
      <c r="F23" s="21">
        <f t="shared" si="1"/>
        <v>11809.222903000002</v>
      </c>
      <c r="G23" s="21">
        <f t="shared" si="1"/>
        <v>6347.895408</v>
      </c>
      <c r="H23" s="21">
        <f t="shared" si="1"/>
        <v>16134.080856</v>
      </c>
      <c r="I23" s="21">
        <f t="shared" si="1"/>
        <v>381.120617</v>
      </c>
      <c r="J23" s="21">
        <f t="shared" si="1"/>
        <v>599.632556</v>
      </c>
      <c r="K23" s="21">
        <f t="shared" si="1"/>
        <v>329.107198</v>
      </c>
      <c r="L23" s="38">
        <f>SUM(L18:L21)-0.92</f>
        <v>138689.44774</v>
      </c>
    </row>
    <row r="24" spans="1:12" ht="12.75">
      <c r="A24" s="8"/>
      <c r="B24" s="9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5">
      <c r="A25" s="10" t="s">
        <v>44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35"/>
    </row>
    <row r="26" spans="1:12" ht="12.75">
      <c r="A26" s="13" t="s">
        <v>24</v>
      </c>
      <c r="C26" s="14">
        <v>11973</v>
      </c>
      <c r="D26" s="14">
        <v>5639</v>
      </c>
      <c r="E26" s="14">
        <v>931</v>
      </c>
      <c r="F26" s="14">
        <v>1435</v>
      </c>
      <c r="G26" s="14">
        <v>96</v>
      </c>
      <c r="H26" s="14">
        <v>103</v>
      </c>
      <c r="I26" s="14">
        <v>4</v>
      </c>
      <c r="J26" s="15">
        <v>2472</v>
      </c>
      <c r="K26" s="15">
        <v>814</v>
      </c>
      <c r="L26" s="36"/>
    </row>
    <row r="27" spans="1:12" ht="12.75">
      <c r="A27" s="13" t="s">
        <v>25</v>
      </c>
      <c r="C27" s="14">
        <v>8533446</v>
      </c>
      <c r="D27" s="14">
        <v>8106410</v>
      </c>
      <c r="E27" s="14">
        <v>2155070</v>
      </c>
      <c r="F27" s="14">
        <v>2677506</v>
      </c>
      <c r="G27" s="22">
        <v>10292</v>
      </c>
      <c r="H27" s="22">
        <v>14472</v>
      </c>
      <c r="I27" s="22">
        <v>6685</v>
      </c>
      <c r="J27" s="22">
        <v>436</v>
      </c>
      <c r="K27" s="22">
        <v>141</v>
      </c>
      <c r="L27" s="36"/>
    </row>
    <row r="28" spans="1:3" ht="12.75">
      <c r="A28" s="8"/>
      <c r="C28" s="14"/>
    </row>
    <row r="29" spans="1:12" ht="12.75">
      <c r="A29" s="17" t="s">
        <v>26</v>
      </c>
      <c r="B29" s="14" t="s">
        <v>27</v>
      </c>
      <c r="C29" s="18">
        <f>C26*'RATES '!$C$4</f>
        <v>5895.5052</v>
      </c>
      <c r="D29" s="18">
        <f>D26*'RATES '!$C$8</f>
        <v>3098.6304999999998</v>
      </c>
      <c r="E29" s="18">
        <f>E26*'RATES '!$C$12</f>
        <v>622.3735</v>
      </c>
      <c r="F29" s="18">
        <f>F26*'RATES '!$C$16</f>
        <v>1220.611</v>
      </c>
      <c r="G29" s="18">
        <f>G26*'RATES '!$C$20</f>
        <v>112.16640000000001</v>
      </c>
      <c r="H29" s="18">
        <f>H26*'RATES '!$C$24</f>
        <v>132.5919</v>
      </c>
      <c r="I29" s="18">
        <f>I26*'RATES '!$C$28</f>
        <v>0.4196</v>
      </c>
      <c r="J29" s="18">
        <f>J26*'RATES '!$C$32</f>
        <v>68.2272</v>
      </c>
      <c r="K29" s="18">
        <f>K26*'RATES '!$C$36</f>
        <v>73.7484</v>
      </c>
      <c r="L29" s="37">
        <f>SUM(C29:K29)</f>
        <v>11224.273699999998</v>
      </c>
    </row>
    <row r="30" spans="1:12" ht="12.75">
      <c r="A30" s="19"/>
      <c r="B30" s="14" t="s">
        <v>28</v>
      </c>
      <c r="C30" s="18">
        <f>C27*'RATES '!$C$5</f>
        <v>6272.08281</v>
      </c>
      <c r="D30" s="18">
        <f>D27*'RATES '!$C$9</f>
        <v>6031.16904</v>
      </c>
      <c r="E30" s="18">
        <f>E27*'RATES '!$C$13</f>
        <v>1480.53309</v>
      </c>
      <c r="F30" s="18">
        <f>F27*'RATES '!$C$17</f>
        <v>1443.175734</v>
      </c>
      <c r="G30" s="18">
        <f>G27*'RATES '!$C$21</f>
        <v>1295.5981279999999</v>
      </c>
      <c r="H30" s="18">
        <f>H27*'RATES '!$C$25</f>
        <v>3062.810664</v>
      </c>
      <c r="I30" s="18">
        <f>I27*'RATES '!$C$29</f>
        <v>84.518455</v>
      </c>
      <c r="J30" s="18">
        <f>J27*'RATES '!$C$33</f>
        <v>18.774596000000003</v>
      </c>
      <c r="K30" s="18">
        <f>K27*'RATES '!$C$37</f>
        <v>13.713519</v>
      </c>
      <c r="L30" s="37">
        <f>SUM(C30:K30)</f>
        <v>19702.376036000005</v>
      </c>
    </row>
    <row r="31" spans="1:12" ht="12.75">
      <c r="A31" s="17" t="s">
        <v>29</v>
      </c>
      <c r="B31" s="14" t="s">
        <v>27</v>
      </c>
      <c r="C31" s="18">
        <f>C26*'RATES '!$D$4</f>
        <v>19299.278700000003</v>
      </c>
      <c r="D31" s="18">
        <f>D26*'RATES '!$D$8</f>
        <v>10142.3054</v>
      </c>
      <c r="E31" s="18">
        <f>E26*'RATES '!$D$12</f>
        <v>2037.2142000000001</v>
      </c>
      <c r="F31" s="18">
        <f>F26*'RATES '!$D$16</f>
        <v>3995.6140000000005</v>
      </c>
      <c r="G31" s="18">
        <f>G26*'RATES '!$D$20</f>
        <v>367.18080000000003</v>
      </c>
      <c r="H31" s="18">
        <f>H26*'RATES '!$D$24</f>
        <v>434.02139999999997</v>
      </c>
      <c r="I31" s="18">
        <f>I26*'RATES '!$D$28</f>
        <v>1.3732</v>
      </c>
      <c r="J31" s="18">
        <f>J26*'RATES '!$D$32</f>
        <v>223.4688</v>
      </c>
      <c r="K31" s="18">
        <f>K26*'RATES '!$D$36</f>
        <v>241.43239999999997</v>
      </c>
      <c r="L31" s="37">
        <f>SUM(C31:K31)</f>
        <v>36741.8889</v>
      </c>
    </row>
    <row r="32" spans="1:12" ht="12.75">
      <c r="A32" s="17"/>
      <c r="B32" s="14" t="s">
        <v>28</v>
      </c>
      <c r="C32" s="18">
        <f>C27*'RATES '!$D$5</f>
        <v>20480.270399999998</v>
      </c>
      <c r="D32" s="18">
        <f>D27*'RATES '!$D$9</f>
        <v>19455.384</v>
      </c>
      <c r="E32" s="18">
        <f>E27*'RATES '!$D$13</f>
        <v>4741.154</v>
      </c>
      <c r="F32" s="18">
        <f>F27*'RATES '!$D$17</f>
        <v>4819.5108</v>
      </c>
      <c r="G32" s="18">
        <f>G27*'RATES '!$D$21</f>
        <v>4241.3332</v>
      </c>
      <c r="H32" s="18">
        <f>H27*'RATES '!$D$25</f>
        <v>10026.2016</v>
      </c>
      <c r="I32" s="18">
        <f>I27*'RATES '!$D$29</f>
        <v>276.759</v>
      </c>
      <c r="J32" s="18">
        <f>J27*'RATES '!$D$33</f>
        <v>61.47599999999999</v>
      </c>
      <c r="K32" s="18">
        <f>K27*'RATES '!$D$37</f>
        <v>44.894400000000005</v>
      </c>
      <c r="L32" s="37">
        <f>SUM(C32:K32)</f>
        <v>64146.9834</v>
      </c>
    </row>
    <row r="33" spans="1:12" ht="12.75">
      <c r="A33" s="8"/>
      <c r="C33" s="18"/>
      <c r="D33" s="18"/>
      <c r="E33" s="18"/>
      <c r="F33" s="18"/>
      <c r="G33" s="18"/>
      <c r="H33" s="18"/>
      <c r="I33" s="18"/>
      <c r="J33" s="18"/>
      <c r="K33" s="18"/>
      <c r="L33" s="37"/>
    </row>
    <row r="34" spans="3:12" ht="12.75">
      <c r="C34" s="21">
        <f aca="true" t="shared" si="2" ref="C34:K34">SUM(C29:C32)</f>
        <v>51947.137109999996</v>
      </c>
      <c r="D34" s="21">
        <f t="shared" si="2"/>
        <v>38727.488939999996</v>
      </c>
      <c r="E34" s="21">
        <f t="shared" si="2"/>
        <v>8881.27479</v>
      </c>
      <c r="F34" s="21">
        <f t="shared" si="2"/>
        <v>11478.911534</v>
      </c>
      <c r="G34" s="21">
        <f t="shared" si="2"/>
        <v>6016.278528</v>
      </c>
      <c r="H34" s="21">
        <f t="shared" si="2"/>
        <v>13655.625564</v>
      </c>
      <c r="I34" s="21">
        <f t="shared" si="2"/>
        <v>363.07025500000003</v>
      </c>
      <c r="J34" s="21">
        <f t="shared" si="2"/>
        <v>371.946596</v>
      </c>
      <c r="K34" s="21">
        <f t="shared" si="2"/>
        <v>373.788719</v>
      </c>
      <c r="L34" s="38">
        <f>SUM(L29:L32)+0.29</f>
        <v>131815.812036</v>
      </c>
    </row>
    <row r="35" spans="1:12" ht="12.75">
      <c r="A35" s="8"/>
      <c r="B35" s="9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5">
      <c r="A36" s="10" t="s">
        <v>45</v>
      </c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35"/>
    </row>
    <row r="37" spans="1:12" ht="15">
      <c r="A37" s="25" t="s">
        <v>54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35"/>
    </row>
    <row r="38" spans="1:12" ht="12.75">
      <c r="A38" s="19" t="s">
        <v>24</v>
      </c>
      <c r="C38" s="14">
        <v>11812</v>
      </c>
      <c r="D38" s="14">
        <v>5520</v>
      </c>
      <c r="E38" s="14">
        <v>947</v>
      </c>
      <c r="F38" s="14">
        <v>1409</v>
      </c>
      <c r="G38" s="14">
        <v>94</v>
      </c>
      <c r="H38" s="14">
        <v>99</v>
      </c>
      <c r="I38" s="14">
        <v>4</v>
      </c>
      <c r="J38" s="15">
        <v>2841</v>
      </c>
      <c r="K38" s="15">
        <v>788</v>
      </c>
      <c r="L38" s="36"/>
    </row>
    <row r="39" spans="1:12" ht="12.75">
      <c r="A39" s="19" t="s">
        <v>25</v>
      </c>
      <c r="C39" s="14">
        <v>7558850</v>
      </c>
      <c r="D39" s="14">
        <v>6856058</v>
      </c>
      <c r="E39" s="14">
        <v>2010106</v>
      </c>
      <c r="F39" s="14">
        <v>2408693</v>
      </c>
      <c r="G39" s="16">
        <v>10339</v>
      </c>
      <c r="H39" s="16">
        <v>15322</v>
      </c>
      <c r="I39" s="16">
        <v>4384</v>
      </c>
      <c r="J39" s="16">
        <v>531</v>
      </c>
      <c r="K39" s="16">
        <v>133</v>
      </c>
      <c r="L39" s="36"/>
    </row>
    <row r="40" spans="1:12" ht="12.75">
      <c r="A40" s="19"/>
      <c r="C40" s="14"/>
      <c r="D40" s="14"/>
      <c r="E40" s="14"/>
      <c r="F40" s="14"/>
      <c r="G40" s="26"/>
      <c r="H40" s="26"/>
      <c r="I40" s="26"/>
      <c r="J40" s="26"/>
      <c r="K40" s="26"/>
      <c r="L40" s="36"/>
    </row>
    <row r="41" spans="1:12" ht="12.75">
      <c r="A41" s="23" t="s">
        <v>26</v>
      </c>
      <c r="B41" s="14" t="s">
        <v>27</v>
      </c>
      <c r="C41" s="18">
        <f>C38*'RATES '!$C$4</f>
        <v>5816.2288</v>
      </c>
      <c r="D41" s="18">
        <f>D38*'RATES '!$C$8</f>
        <v>3033.24</v>
      </c>
      <c r="E41" s="18">
        <f>E38*'RATES '!$C$12</f>
        <v>633.0695</v>
      </c>
      <c r="F41" s="18">
        <f>F38*'RATES '!$C$16</f>
        <v>1198.4954</v>
      </c>
      <c r="G41" s="18">
        <f>G38*'RATES '!$C$20</f>
        <v>109.82960000000001</v>
      </c>
      <c r="H41" s="18">
        <f>H38*'RATES '!$C$24</f>
        <v>127.44270000000002</v>
      </c>
      <c r="I41" s="18">
        <f>I38*'RATES '!$C$28</f>
        <v>0.4196</v>
      </c>
      <c r="J41" s="18">
        <f>J38*'RATES '!$C$32</f>
        <v>78.41159999999999</v>
      </c>
      <c r="K41" s="18">
        <f>K38*'RATES '!$C$36</f>
        <v>71.3928</v>
      </c>
      <c r="L41" s="37">
        <f>SUM(C41:K41)</f>
        <v>11068.529999999995</v>
      </c>
    </row>
    <row r="42" spans="1:12" ht="12.75">
      <c r="A42" s="24"/>
      <c r="B42" s="14" t="s">
        <v>28</v>
      </c>
      <c r="C42" s="18">
        <f>C39*'RATES '!$C$5</f>
        <v>5555.75475</v>
      </c>
      <c r="D42" s="18">
        <f>D39*'RATES '!$C$9</f>
        <v>5100.907152</v>
      </c>
      <c r="E42" s="18">
        <f>E39*'RATES '!$C$13</f>
        <v>1380.942822</v>
      </c>
      <c r="F42" s="18">
        <f>F39*'RATES '!$C$17</f>
        <v>1298.285527</v>
      </c>
      <c r="G42" s="18">
        <f>G39*'RATES '!$C$21</f>
        <v>1301.514676</v>
      </c>
      <c r="H42" s="18">
        <f>H39*'RATES '!$C$25</f>
        <v>3242.7021139999997</v>
      </c>
      <c r="I42" s="18">
        <f>I39*'RATES '!$C$29</f>
        <v>55.426912</v>
      </c>
      <c r="J42" s="18">
        <f>J39*'RATES '!$C$33</f>
        <v>22.865391000000002</v>
      </c>
      <c r="K42" s="18">
        <f>K39*'RATES '!$C$37</f>
        <v>12.935447</v>
      </c>
      <c r="L42" s="37">
        <f>SUM(C42:K42)</f>
        <v>17971.334791</v>
      </c>
    </row>
    <row r="43" spans="1:12" ht="12.75">
      <c r="A43" s="23" t="s">
        <v>29</v>
      </c>
      <c r="B43" s="14" t="s">
        <v>27</v>
      </c>
      <c r="C43" s="18">
        <f>C38*'RATES '!$D$4</f>
        <v>19039.7628</v>
      </c>
      <c r="D43" s="18">
        <f>D38*'RATES '!$D$8</f>
        <v>9928.271999999999</v>
      </c>
      <c r="E43" s="18">
        <f>E38*'RATES '!$D$12</f>
        <v>2072.2254000000003</v>
      </c>
      <c r="F43" s="18">
        <f>F38*'RATES '!$D$16</f>
        <v>3923.2196000000004</v>
      </c>
      <c r="G43" s="18">
        <f>G38*'RATES '!$D$20</f>
        <v>359.5312</v>
      </c>
      <c r="H43" s="18">
        <f>H38*'RATES '!$D$24</f>
        <v>417.1662</v>
      </c>
      <c r="I43" s="18">
        <f>I38*'RATES '!$D$28</f>
        <v>1.3732</v>
      </c>
      <c r="J43" s="18">
        <f>J38*'RATES '!$D$32</f>
        <v>256.8264</v>
      </c>
      <c r="K43" s="18">
        <f>K38*'RATES '!$D$36</f>
        <v>233.72079999999997</v>
      </c>
      <c r="L43" s="37">
        <f>SUM(C43:K43)</f>
        <v>36232.0976</v>
      </c>
    </row>
    <row r="44" spans="1:12" ht="12.75">
      <c r="A44" s="17"/>
      <c r="B44" s="14" t="s">
        <v>28</v>
      </c>
      <c r="C44" s="18">
        <f>C39*'RATES '!$D$5</f>
        <v>18141.239999999998</v>
      </c>
      <c r="D44" s="18">
        <f>D39*'RATES '!$D$9</f>
        <v>16454.5392</v>
      </c>
      <c r="E44" s="18">
        <f>E39*'RATES '!$D$13</f>
        <v>4422.233200000001</v>
      </c>
      <c r="F44" s="18">
        <f>F39*'RATES '!$D$17</f>
        <v>4335.6474</v>
      </c>
      <c r="G44" s="18">
        <f>G39*'RATES '!$D$21</f>
        <v>4260.7019</v>
      </c>
      <c r="H44" s="18">
        <f>H39*'RATES '!$D$25</f>
        <v>10615.0816</v>
      </c>
      <c r="I44" s="18">
        <f>I39*'RATES '!$D$29</f>
        <v>181.4976</v>
      </c>
      <c r="J44" s="18">
        <f>J39*'RATES '!$D$33</f>
        <v>74.871</v>
      </c>
      <c r="K44" s="18">
        <f>K39*'RATES '!$D$37</f>
        <v>42.3472</v>
      </c>
      <c r="L44" s="37">
        <f>SUM(C44:K44)</f>
        <v>58528.1591</v>
      </c>
    </row>
    <row r="45" spans="1:12" ht="12.75">
      <c r="A45" s="17"/>
      <c r="C45" s="18"/>
      <c r="D45" s="18"/>
      <c r="E45" s="18"/>
      <c r="F45" s="18"/>
      <c r="G45" s="18"/>
      <c r="H45" s="18"/>
      <c r="I45" s="18"/>
      <c r="J45" s="18"/>
      <c r="K45" s="18"/>
      <c r="L45" s="37"/>
    </row>
    <row r="46" spans="1:12" ht="15">
      <c r="A46" s="25" t="s">
        <v>55</v>
      </c>
      <c r="C46" s="14"/>
      <c r="D46" s="14"/>
      <c r="E46" s="14"/>
      <c r="F46" s="14"/>
      <c r="G46" s="26"/>
      <c r="H46" s="26"/>
      <c r="I46" s="26"/>
      <c r="J46" s="26"/>
      <c r="K46" s="26"/>
      <c r="L46" s="36"/>
    </row>
    <row r="47" spans="1:12" ht="12.75">
      <c r="A47" s="19" t="s">
        <v>25</v>
      </c>
      <c r="C47" s="14">
        <v>75251</v>
      </c>
      <c r="D47" s="14">
        <v>116463</v>
      </c>
      <c r="E47" s="14">
        <v>2810</v>
      </c>
      <c r="F47" s="14">
        <v>23391</v>
      </c>
      <c r="G47" s="16">
        <v>3</v>
      </c>
      <c r="H47" s="16">
        <v>43</v>
      </c>
      <c r="I47" s="16"/>
      <c r="J47" s="16"/>
      <c r="K47" s="16">
        <v>2</v>
      </c>
      <c r="L47" s="36"/>
    </row>
    <row r="48" spans="1:12" ht="12.75">
      <c r="A48" s="17"/>
      <c r="C48" s="18"/>
      <c r="D48" s="18"/>
      <c r="E48" s="18"/>
      <c r="F48" s="18"/>
      <c r="G48" s="18"/>
      <c r="H48" s="18"/>
      <c r="I48" s="18"/>
      <c r="J48" s="18"/>
      <c r="K48" s="18"/>
      <c r="L48" s="37"/>
    </row>
    <row r="49" spans="1:12" ht="12.75">
      <c r="A49" s="23" t="s">
        <v>56</v>
      </c>
      <c r="B49" s="14" t="s">
        <v>28</v>
      </c>
      <c r="C49" s="18">
        <f>C47*'RATES '!$E$5</f>
        <v>313.26991300000003</v>
      </c>
      <c r="D49" s="18">
        <f>D47*'RATES '!$E$9</f>
        <v>432.660045</v>
      </c>
      <c r="E49" s="18">
        <f>E47*'RATES '!$E$13</f>
        <v>8.269829999999999</v>
      </c>
      <c r="F49" s="18">
        <f>F47*'RATES '!$E$17</f>
        <v>92.207322</v>
      </c>
      <c r="G49" s="18">
        <f>G47*'RATES '!$E$21</f>
        <v>1.8371549999999999</v>
      </c>
      <c r="H49" s="18">
        <f>H47*'RATES '!$E$25</f>
        <v>33.908897</v>
      </c>
      <c r="I49" s="18">
        <f>I47*'RATES '!$E$29</f>
        <v>0</v>
      </c>
      <c r="J49" s="18">
        <f>J47*'RATES '!$E$33</f>
        <v>0</v>
      </c>
      <c r="K49" s="18">
        <f>K47*'RATES '!$E$37</f>
        <v>5.423548</v>
      </c>
      <c r="L49" s="37">
        <f>SUM(C49:K49)</f>
        <v>887.57671</v>
      </c>
    </row>
    <row r="50" spans="1:12" ht="12.75">
      <c r="A50" s="19"/>
      <c r="C50" s="18"/>
      <c r="D50" s="18"/>
      <c r="E50" s="18"/>
      <c r="F50" s="18"/>
      <c r="G50" s="18"/>
      <c r="H50" s="18"/>
      <c r="I50" s="18"/>
      <c r="J50" s="18"/>
      <c r="K50" s="18"/>
      <c r="L50" s="37"/>
    </row>
    <row r="51" spans="3:12" ht="12.75">
      <c r="C51" s="21">
        <f aca="true" t="shared" si="3" ref="C51:K51">SUM(C41:C44)+C49</f>
        <v>48866.256262999996</v>
      </c>
      <c r="D51" s="21">
        <f t="shared" si="3"/>
        <v>34949.618397</v>
      </c>
      <c r="E51" s="21">
        <f t="shared" si="3"/>
        <v>8516.740752</v>
      </c>
      <c r="F51" s="21">
        <f t="shared" si="3"/>
        <v>10847.855249</v>
      </c>
      <c r="G51" s="21">
        <f t="shared" si="3"/>
        <v>6033.414531</v>
      </c>
      <c r="H51" s="21">
        <f t="shared" si="3"/>
        <v>14436.301511</v>
      </c>
      <c r="I51" s="21">
        <f t="shared" si="3"/>
        <v>238.717312</v>
      </c>
      <c r="J51" s="21">
        <f t="shared" si="3"/>
        <v>432.97439099999997</v>
      </c>
      <c r="K51" s="21">
        <f t="shared" si="3"/>
        <v>365.81979499999994</v>
      </c>
      <c r="L51" s="38">
        <f>SUM(L41:L44)+L49-0.24</f>
        <v>124687.45820099999</v>
      </c>
    </row>
    <row r="52" spans="1:12" ht="12.75">
      <c r="A52" s="8"/>
      <c r="B52" s="9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5">
      <c r="A53" s="10" t="s">
        <v>46</v>
      </c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35"/>
    </row>
    <row r="54" spans="1:12" ht="15">
      <c r="A54" s="25" t="s">
        <v>54</v>
      </c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35"/>
    </row>
    <row r="55" spans="1:12" ht="12.75">
      <c r="A55" s="19" t="s">
        <v>24</v>
      </c>
      <c r="C55" s="14">
        <v>3568</v>
      </c>
      <c r="D55" s="14">
        <v>1778</v>
      </c>
      <c r="E55" s="14">
        <v>324</v>
      </c>
      <c r="F55" s="14">
        <v>521</v>
      </c>
      <c r="G55" s="14">
        <v>29</v>
      </c>
      <c r="H55" s="14">
        <v>27</v>
      </c>
      <c r="I55" s="14"/>
      <c r="J55" s="15">
        <v>2</v>
      </c>
      <c r="K55" s="15">
        <v>319</v>
      </c>
      <c r="L55" s="36"/>
    </row>
    <row r="56" spans="1:12" ht="12.75">
      <c r="A56" s="19" t="s">
        <v>25</v>
      </c>
      <c r="C56" s="14">
        <v>2241411</v>
      </c>
      <c r="D56" s="14">
        <v>2011873</v>
      </c>
      <c r="E56" s="14">
        <v>662435</v>
      </c>
      <c r="F56" s="14">
        <v>853814</v>
      </c>
      <c r="G56" s="16">
        <v>2448</v>
      </c>
      <c r="H56" s="16">
        <v>3628</v>
      </c>
      <c r="I56" s="16"/>
      <c r="J56" s="16">
        <v>0</v>
      </c>
      <c r="K56" s="16">
        <v>46</v>
      </c>
      <c r="L56" s="36"/>
    </row>
    <row r="57" spans="1:12" ht="12.75">
      <c r="A57" s="19"/>
      <c r="C57" s="14"/>
      <c r="D57" s="14"/>
      <c r="E57" s="14"/>
      <c r="F57" s="14"/>
      <c r="G57" s="26"/>
      <c r="H57" s="26"/>
      <c r="I57" s="26"/>
      <c r="J57" s="26"/>
      <c r="K57" s="26"/>
      <c r="L57" s="36"/>
    </row>
    <row r="58" spans="1:12" ht="12.75">
      <c r="A58" s="23" t="s">
        <v>26</v>
      </c>
      <c r="B58" s="14" t="s">
        <v>27</v>
      </c>
      <c r="C58" s="18">
        <f>C55*'RATES '!$C$4</f>
        <v>1756.8832</v>
      </c>
      <c r="D58" s="18">
        <f>D55*'RATES '!$C$8</f>
        <v>977.011</v>
      </c>
      <c r="E58" s="18">
        <f>E55*'RATES '!$C$12</f>
        <v>216.594</v>
      </c>
      <c r="F58" s="18">
        <f>F55*'RATES '!$C$16</f>
        <v>443.1626</v>
      </c>
      <c r="G58" s="18">
        <f>G55*'RATES '!$C$20</f>
        <v>33.8836</v>
      </c>
      <c r="H58" s="18">
        <f>H55*'RATES '!$C$24</f>
        <v>34.7571</v>
      </c>
      <c r="I58" s="18">
        <f>I55*'RATES '!$C$28</f>
        <v>0</v>
      </c>
      <c r="J58" s="18">
        <f>J55*'RATES '!$C$32</f>
        <v>0.0552</v>
      </c>
      <c r="K58" s="18">
        <f>K55*'RATES '!$C$36</f>
        <v>28.9014</v>
      </c>
      <c r="L58" s="37">
        <f>SUM(C58:K58)</f>
        <v>3491.2481</v>
      </c>
    </row>
    <row r="59" spans="1:12" ht="12.75">
      <c r="A59" s="24"/>
      <c r="B59" s="14" t="s">
        <v>28</v>
      </c>
      <c r="C59" s="18">
        <f>C56*'RATES '!$C$5</f>
        <v>1647.437085</v>
      </c>
      <c r="D59" s="18">
        <f>D56*'RATES '!$C$9</f>
        <v>1496.833512</v>
      </c>
      <c r="E59" s="18">
        <f>E56*'RATES '!$C$13</f>
        <v>455.092845</v>
      </c>
      <c r="F59" s="18">
        <f>F56*'RATES '!$C$17</f>
        <v>460.205746</v>
      </c>
      <c r="G59" s="18">
        <f>G56*'RATES '!$C$21</f>
        <v>308.16403199999996</v>
      </c>
      <c r="H59" s="18">
        <f>H56*'RATES '!$C$25</f>
        <v>767.819036</v>
      </c>
      <c r="I59" s="18">
        <f>I56*'RATES '!$C$29</f>
        <v>0</v>
      </c>
      <c r="J59" s="18">
        <f>J56*'RATES '!$C$33</f>
        <v>0</v>
      </c>
      <c r="K59" s="18">
        <f>K56*'RATES '!$C$37</f>
        <v>4.473914</v>
      </c>
      <c r="L59" s="37">
        <f>SUM(C59:K59)</f>
        <v>5140.02617</v>
      </c>
    </row>
    <row r="60" spans="1:12" ht="12.75">
      <c r="A60" s="23" t="s">
        <v>29</v>
      </c>
      <c r="B60" s="14" t="s">
        <v>27</v>
      </c>
      <c r="C60" s="18">
        <f>C55*'RATES '!$D$4</f>
        <v>5751.2592</v>
      </c>
      <c r="D60" s="18">
        <f>D55*'RATES '!$D$8</f>
        <v>3197.9108</v>
      </c>
      <c r="E60" s="18">
        <f>E55*'RATES '!$D$12</f>
        <v>708.9768</v>
      </c>
      <c r="F60" s="18">
        <f>F55*'RATES '!$D$16</f>
        <v>1450.6724000000002</v>
      </c>
      <c r="G60" s="18">
        <f>G55*'RATES '!$D$20</f>
        <v>110.9192</v>
      </c>
      <c r="H60" s="18">
        <f>H55*'RATES '!$D$24</f>
        <v>113.7726</v>
      </c>
      <c r="I60" s="18">
        <f>I55*'RATES '!$D$28</f>
        <v>0</v>
      </c>
      <c r="J60" s="18">
        <f>J55*'RATES '!$D$32</f>
        <v>0.1808</v>
      </c>
      <c r="K60" s="18">
        <f>K55*'RATES '!$D$36</f>
        <v>94.6154</v>
      </c>
      <c r="L60" s="37">
        <f>SUM(C60:K60)</f>
        <v>11428.307200000001</v>
      </c>
    </row>
    <row r="61" spans="1:12" ht="12.75">
      <c r="A61" s="17"/>
      <c r="B61" s="14" t="s">
        <v>28</v>
      </c>
      <c r="C61" s="18">
        <f>C56*'RATES '!$D$5</f>
        <v>5379.386399999999</v>
      </c>
      <c r="D61" s="18">
        <f>D56*'RATES '!$D$9</f>
        <v>4828.495199999999</v>
      </c>
      <c r="E61" s="18">
        <f>E56*'RATES '!$D$13</f>
        <v>1457.3570000000002</v>
      </c>
      <c r="F61" s="18">
        <f>F56*'RATES '!$D$17</f>
        <v>1536.8652</v>
      </c>
      <c r="G61" s="18">
        <f>G56*'RATES '!$D$21</f>
        <v>1008.8208000000001</v>
      </c>
      <c r="H61" s="18">
        <f>H56*'RATES '!$D$25</f>
        <v>2513.4784</v>
      </c>
      <c r="I61" s="18">
        <f>I56*'RATES '!$D$29</f>
        <v>0</v>
      </c>
      <c r="J61" s="18">
        <f>J56*'RATES '!$D$33</f>
        <v>0</v>
      </c>
      <c r="K61" s="18">
        <f>K56*'RATES '!$D$37</f>
        <v>14.6464</v>
      </c>
      <c r="L61" s="37">
        <f>SUM(C61:K61)</f>
        <v>16739.0494</v>
      </c>
    </row>
    <row r="62" spans="1:12" ht="12.75">
      <c r="A62" s="17"/>
      <c r="C62" s="18"/>
      <c r="D62" s="18"/>
      <c r="E62" s="18"/>
      <c r="F62" s="18"/>
      <c r="G62" s="18"/>
      <c r="H62" s="18"/>
      <c r="I62" s="18"/>
      <c r="J62" s="18"/>
      <c r="K62" s="18"/>
      <c r="L62" s="37"/>
    </row>
    <row r="63" spans="1:12" ht="15">
      <c r="A63" s="25" t="s">
        <v>55</v>
      </c>
      <c r="C63" s="14"/>
      <c r="D63" s="14"/>
      <c r="E63" s="14"/>
      <c r="F63" s="14"/>
      <c r="G63" s="26"/>
      <c r="H63" s="26"/>
      <c r="I63" s="26"/>
      <c r="J63" s="26"/>
      <c r="K63" s="26"/>
      <c r="L63" s="36"/>
    </row>
    <row r="64" spans="1:12" ht="12.75">
      <c r="A64" s="19" t="s">
        <v>25</v>
      </c>
      <c r="C64" s="14">
        <v>4884097</v>
      </c>
      <c r="D64" s="14">
        <v>4279100</v>
      </c>
      <c r="E64" s="14">
        <v>1208479</v>
      </c>
      <c r="F64" s="14">
        <v>1414270</v>
      </c>
      <c r="G64" s="16">
        <v>7399</v>
      </c>
      <c r="H64" s="16">
        <v>14212</v>
      </c>
      <c r="I64" s="16">
        <v>2392</v>
      </c>
      <c r="J64" s="16">
        <v>508</v>
      </c>
      <c r="K64" s="16">
        <v>84</v>
      </c>
      <c r="L64" s="36"/>
    </row>
    <row r="65" spans="1:12" ht="12.75">
      <c r="A65" s="17"/>
      <c r="C65" s="18"/>
      <c r="D65" s="18"/>
      <c r="E65" s="18"/>
      <c r="F65" s="18"/>
      <c r="G65" s="18"/>
      <c r="H65" s="18"/>
      <c r="I65" s="18"/>
      <c r="J65" s="18"/>
      <c r="K65" s="18"/>
      <c r="L65" s="37"/>
    </row>
    <row r="66" spans="1:12" ht="12.75">
      <c r="A66" s="23" t="s">
        <v>56</v>
      </c>
      <c r="B66" s="14" t="s">
        <v>28</v>
      </c>
      <c r="C66" s="18">
        <f>C64*'RATES '!$E$5</f>
        <v>20332.495811</v>
      </c>
      <c r="D66" s="18">
        <f>D64*'RATES '!$E$9</f>
        <v>15896.8565</v>
      </c>
      <c r="E66" s="18">
        <f>E64*'RATES '!$E$13</f>
        <v>3556.553697</v>
      </c>
      <c r="F66" s="18">
        <f>F64*'RATES '!$E$17</f>
        <v>5575.05234</v>
      </c>
      <c r="G66" s="18">
        <f>G64*'RATES '!$E$21</f>
        <v>4531.036615</v>
      </c>
      <c r="H66" s="18">
        <f>H64*'RATES '!$E$25</f>
        <v>11207.284748</v>
      </c>
      <c r="I66" s="18">
        <f>I64*'RATES '!$E$29</f>
        <v>305.396208</v>
      </c>
      <c r="J66" s="18">
        <f>J64*'RATES '!$E$33</f>
        <v>486.10875599999997</v>
      </c>
      <c r="K66" s="18">
        <f>K64*'RATES '!$E$37</f>
        <v>227.789016</v>
      </c>
      <c r="L66" s="37">
        <f>SUM(C66:K66)</f>
        <v>62118.573691000005</v>
      </c>
    </row>
    <row r="67" spans="1:12" ht="12.75">
      <c r="A67" s="19"/>
      <c r="C67" s="18"/>
      <c r="D67" s="18"/>
      <c r="E67" s="18"/>
      <c r="F67" s="18"/>
      <c r="G67" s="18"/>
      <c r="H67" s="18"/>
      <c r="I67" s="18"/>
      <c r="J67" s="18"/>
      <c r="K67" s="18"/>
      <c r="L67" s="37"/>
    </row>
    <row r="68" spans="3:12" ht="12.75">
      <c r="C68" s="21">
        <f aca="true" t="shared" si="4" ref="C68:K68">SUM(C58:C61)+C66</f>
        <v>34867.461696</v>
      </c>
      <c r="D68" s="21">
        <f t="shared" si="4"/>
        <v>26397.107012</v>
      </c>
      <c r="E68" s="21">
        <f t="shared" si="4"/>
        <v>6394.574342</v>
      </c>
      <c r="F68" s="21">
        <f t="shared" si="4"/>
        <v>9465.958286000001</v>
      </c>
      <c r="G68" s="21">
        <f t="shared" si="4"/>
        <v>5992.8242470000005</v>
      </c>
      <c r="H68" s="21">
        <f t="shared" si="4"/>
        <v>14637.111884</v>
      </c>
      <c r="I68" s="21">
        <f t="shared" si="4"/>
        <v>305.396208</v>
      </c>
      <c r="J68" s="21">
        <f t="shared" si="4"/>
        <v>486.34475599999996</v>
      </c>
      <c r="K68" s="21">
        <f t="shared" si="4"/>
        <v>370.42613</v>
      </c>
      <c r="L68" s="38">
        <f>SUM(L58:L61)+L66-0.55</f>
        <v>98916.654561</v>
      </c>
    </row>
    <row r="70" spans="1:12" ht="15">
      <c r="A70" s="10" t="s">
        <v>47</v>
      </c>
      <c r="B70" s="11"/>
      <c r="C70" s="12"/>
      <c r="D70" s="12"/>
      <c r="E70" s="12"/>
      <c r="F70" s="12"/>
      <c r="G70" s="12"/>
      <c r="H70" s="12"/>
      <c r="I70" s="12"/>
      <c r="J70" s="12"/>
      <c r="K70" s="12"/>
      <c r="L70" s="35"/>
    </row>
    <row r="71" spans="1:12" ht="15">
      <c r="A71" s="25" t="s">
        <v>54</v>
      </c>
      <c r="B71" s="11"/>
      <c r="C71" s="12"/>
      <c r="D71" s="12"/>
      <c r="E71" s="12"/>
      <c r="F71" s="12"/>
      <c r="G71" s="12"/>
      <c r="H71" s="12"/>
      <c r="I71" s="12"/>
      <c r="J71" s="12"/>
      <c r="K71" s="12"/>
      <c r="L71" s="35"/>
    </row>
    <row r="72" spans="1:12" ht="12.75">
      <c r="A72" s="19" t="s">
        <v>24</v>
      </c>
      <c r="C72" s="14">
        <v>-1</v>
      </c>
      <c r="D72" s="14"/>
      <c r="E72" s="14">
        <v>-4</v>
      </c>
      <c r="F72" s="14"/>
      <c r="G72" s="14">
        <v>4</v>
      </c>
      <c r="H72" s="14">
        <v>1</v>
      </c>
      <c r="I72" s="14"/>
      <c r="J72" s="15"/>
      <c r="K72" s="15">
        <v>2</v>
      </c>
      <c r="L72" s="36"/>
    </row>
    <row r="73" spans="1:12" ht="12.75">
      <c r="A73" s="19" t="s">
        <v>25</v>
      </c>
      <c r="C73" s="14">
        <v>1309</v>
      </c>
      <c r="D73" s="14">
        <v>221</v>
      </c>
      <c r="E73" s="14">
        <v>-60</v>
      </c>
      <c r="F73" s="14"/>
      <c r="G73" s="16">
        <v>411</v>
      </c>
      <c r="H73" s="16">
        <v>127</v>
      </c>
      <c r="I73" s="16"/>
      <c r="J73" s="16"/>
      <c r="K73" s="16"/>
      <c r="L73" s="36"/>
    </row>
    <row r="74" spans="1:12" ht="12.75">
      <c r="A74" s="19"/>
      <c r="C74" s="14"/>
      <c r="D74" s="14"/>
      <c r="E74" s="14"/>
      <c r="F74" s="14"/>
      <c r="G74" s="26"/>
      <c r="H74" s="26"/>
      <c r="I74" s="26"/>
      <c r="J74" s="26"/>
      <c r="K74" s="26"/>
      <c r="L74" s="36"/>
    </row>
    <row r="75" spans="1:12" ht="12.75">
      <c r="A75" s="23" t="s">
        <v>26</v>
      </c>
      <c r="B75" s="14" t="s">
        <v>27</v>
      </c>
      <c r="C75" s="18">
        <f>C72*'RATES '!$C$4</f>
        <v>-0.4924</v>
      </c>
      <c r="D75" s="18">
        <f>D72*'RATES '!$C$8</f>
        <v>0</v>
      </c>
      <c r="E75" s="18">
        <f>E72*'RATES '!$C$12</f>
        <v>-2.674</v>
      </c>
      <c r="F75" s="18">
        <f>F72*'RATES '!$C$16</f>
        <v>0</v>
      </c>
      <c r="G75" s="18">
        <f>G72*'RATES '!$C$20</f>
        <v>4.6736</v>
      </c>
      <c r="H75" s="18">
        <f>H72*'RATES '!$C$24</f>
        <v>1.2873</v>
      </c>
      <c r="I75" s="18">
        <f>I72*'RATES '!$C$28</f>
        <v>0</v>
      </c>
      <c r="J75" s="18">
        <f>J72*'RATES '!$C$32</f>
        <v>0</v>
      </c>
      <c r="K75" s="18">
        <f>K72*'RATES '!$C$36</f>
        <v>0.1812</v>
      </c>
      <c r="L75" s="37">
        <f>SUM(C75:K75)</f>
        <v>2.9757000000000007</v>
      </c>
    </row>
    <row r="76" spans="1:12" ht="12.75">
      <c r="A76" s="24"/>
      <c r="B76" s="14" t="s">
        <v>28</v>
      </c>
      <c r="C76" s="18">
        <f>C73*'RATES '!$C$5</f>
        <v>0.9621149999999999</v>
      </c>
      <c r="D76" s="18">
        <f>D73*'RATES '!$C$9</f>
        <v>0.164424</v>
      </c>
      <c r="E76" s="18">
        <f>E73*'RATES '!$C$13</f>
        <v>-0.04122</v>
      </c>
      <c r="F76" s="18">
        <f>F73*'RATES '!$C$17</f>
        <v>0</v>
      </c>
      <c r="G76" s="18">
        <f>G73*'RATES '!$C$21</f>
        <v>51.738324</v>
      </c>
      <c r="H76" s="18">
        <f>H73*'RATES '!$C$25</f>
        <v>26.877899</v>
      </c>
      <c r="I76" s="18">
        <f>I73*'RATES '!$C$29</f>
        <v>0</v>
      </c>
      <c r="J76" s="18">
        <f>J73*'RATES '!$C$33</f>
        <v>0</v>
      </c>
      <c r="K76" s="18">
        <f>K73*'RATES '!$C$37</f>
        <v>0</v>
      </c>
      <c r="L76" s="37">
        <f>SUM(C76:K76)</f>
        <v>79.70154199999999</v>
      </c>
    </row>
    <row r="77" spans="1:12" ht="12.75">
      <c r="A77" s="23" t="s">
        <v>29</v>
      </c>
      <c r="B77" s="14" t="s">
        <v>27</v>
      </c>
      <c r="C77" s="18">
        <f>C72*'RATES '!$D$4</f>
        <v>-1.6119</v>
      </c>
      <c r="D77" s="18">
        <f>D72*'RATES '!$D$8</f>
        <v>0</v>
      </c>
      <c r="E77" s="18">
        <f>E72*'RATES '!$D$12</f>
        <v>-8.7528</v>
      </c>
      <c r="F77" s="18">
        <f>F72*'RATES '!$D$16</f>
        <v>0</v>
      </c>
      <c r="G77" s="18">
        <f>G72*'RATES '!$D$20</f>
        <v>15.2992</v>
      </c>
      <c r="H77" s="18">
        <f>H72*'RATES '!$D$24</f>
        <v>4.2138</v>
      </c>
      <c r="I77" s="18">
        <f>I72*'RATES '!$D$28</f>
        <v>0</v>
      </c>
      <c r="J77" s="18">
        <f>J72*'RATES '!$D$32</f>
        <v>0</v>
      </c>
      <c r="K77" s="18">
        <f>K72*'RATES '!$D$36</f>
        <v>0.5932</v>
      </c>
      <c r="L77" s="37">
        <f>SUM(C77:K77)</f>
        <v>9.741499999999998</v>
      </c>
    </row>
    <row r="78" spans="1:12" ht="12.75">
      <c r="A78" s="17"/>
      <c r="B78" s="14" t="s">
        <v>28</v>
      </c>
      <c r="C78" s="18">
        <f>C73*'RATES '!$D$5</f>
        <v>3.1415999999999995</v>
      </c>
      <c r="D78" s="18">
        <f>D73*'RATES '!$D$9</f>
        <v>0.5304</v>
      </c>
      <c r="E78" s="18">
        <f>E73*'RATES '!$D$13</f>
        <v>-0.132</v>
      </c>
      <c r="F78" s="18">
        <f>F73*'RATES '!$D$17</f>
        <v>0</v>
      </c>
      <c r="G78" s="18">
        <f>G73*'RATES '!$D$21</f>
        <v>169.37310000000002</v>
      </c>
      <c r="H78" s="18">
        <f>H73*'RATES '!$D$25</f>
        <v>87.98559999999999</v>
      </c>
      <c r="I78" s="18">
        <f>I73*'RATES '!$D$29</f>
        <v>0</v>
      </c>
      <c r="J78" s="18">
        <f>J73*'RATES '!$D$33</f>
        <v>0</v>
      </c>
      <c r="K78" s="18">
        <f>K73*'RATES '!$D$37</f>
        <v>0</v>
      </c>
      <c r="L78" s="37">
        <f>SUM(C78:K78)</f>
        <v>260.8987</v>
      </c>
    </row>
    <row r="79" spans="1:12" ht="12.75">
      <c r="A79" s="17"/>
      <c r="C79" s="18"/>
      <c r="D79" s="18"/>
      <c r="E79" s="18"/>
      <c r="F79" s="18"/>
      <c r="G79" s="18"/>
      <c r="H79" s="18"/>
      <c r="I79" s="18"/>
      <c r="J79" s="18"/>
      <c r="K79" s="18"/>
      <c r="L79" s="37"/>
    </row>
    <row r="80" spans="1:12" ht="15">
      <c r="A80" s="25" t="s">
        <v>55</v>
      </c>
      <c r="C80" s="14"/>
      <c r="D80" s="14"/>
      <c r="E80" s="14"/>
      <c r="F80" s="14"/>
      <c r="G80" s="26"/>
      <c r="H80" s="26"/>
      <c r="I80" s="26"/>
      <c r="J80" s="26"/>
      <c r="K80" s="26"/>
      <c r="L80" s="36"/>
    </row>
    <row r="81" spans="1:12" ht="12.75">
      <c r="A81" s="19" t="s">
        <v>25</v>
      </c>
      <c r="C81" s="14">
        <v>7545554</v>
      </c>
      <c r="D81" s="14">
        <v>6702672</v>
      </c>
      <c r="E81" s="14">
        <v>2063886</v>
      </c>
      <c r="F81" s="14">
        <v>2772573</v>
      </c>
      <c r="G81" s="16">
        <v>11189</v>
      </c>
      <c r="H81" s="16">
        <v>19344</v>
      </c>
      <c r="I81" s="16">
        <v>2266</v>
      </c>
      <c r="J81" s="16">
        <v>508</v>
      </c>
      <c r="K81" s="16">
        <v>164</v>
      </c>
      <c r="L81" s="36"/>
    </row>
    <row r="82" spans="1:12" ht="12.75">
      <c r="A82" s="17"/>
      <c r="C82" s="18"/>
      <c r="D82" s="18"/>
      <c r="E82" s="18"/>
      <c r="F82" s="18"/>
      <c r="G82" s="18"/>
      <c r="H82" s="18"/>
      <c r="I82" s="18"/>
      <c r="J82" s="18"/>
      <c r="K82" s="18"/>
      <c r="L82" s="37"/>
    </row>
    <row r="83" spans="1:12" ht="12.75">
      <c r="A83" s="23" t="s">
        <v>56</v>
      </c>
      <c r="B83" s="14" t="s">
        <v>28</v>
      </c>
      <c r="C83" s="18">
        <f>C81*'RATES '!$E$5</f>
        <v>31412.141302</v>
      </c>
      <c r="D83" s="18">
        <f>D81*'RATES '!$E$9</f>
        <v>24900.42648</v>
      </c>
      <c r="E83" s="18">
        <f>E81*'RATES '!$E$13</f>
        <v>6074.016498</v>
      </c>
      <c r="F83" s="18">
        <f>F81*'RATES '!$E$17</f>
        <v>10929.482766000001</v>
      </c>
      <c r="G83" s="18">
        <f>G81*'RATES '!$E$21</f>
        <v>6851.975764999999</v>
      </c>
      <c r="H83" s="18">
        <f>H81*'RATES '!$E$25</f>
        <v>15254.272176</v>
      </c>
      <c r="I83" s="18">
        <f>I81*'RATES '!$E$29</f>
        <v>289.30928400000005</v>
      </c>
      <c r="J83" s="18">
        <f>J81*'RATES '!$E$33</f>
        <v>486.10875599999997</v>
      </c>
      <c r="K83" s="18">
        <f>K81*'RATES '!$E$37</f>
        <v>444.73093600000004</v>
      </c>
      <c r="L83" s="37">
        <f>SUM(C83:K83)</f>
        <v>96642.463963</v>
      </c>
    </row>
    <row r="84" spans="1:12" ht="12.75">
      <c r="A84" s="19"/>
      <c r="C84" s="18"/>
      <c r="D84" s="18"/>
      <c r="E84" s="18"/>
      <c r="F84" s="18"/>
      <c r="G84" s="18"/>
      <c r="H84" s="18"/>
      <c r="I84" s="18"/>
      <c r="J84" s="18"/>
      <c r="K84" s="18"/>
      <c r="L84" s="37"/>
    </row>
    <row r="85" spans="3:12" ht="12.75">
      <c r="C85" s="21">
        <f aca="true" t="shared" si="5" ref="C85:K85">SUM(C75:C78)+C83</f>
        <v>31414.140717</v>
      </c>
      <c r="D85" s="21">
        <f t="shared" si="5"/>
        <v>24901.121303999997</v>
      </c>
      <c r="E85" s="21">
        <f t="shared" si="5"/>
        <v>6062.416478</v>
      </c>
      <c r="F85" s="21">
        <f t="shared" si="5"/>
        <v>10929.482766000001</v>
      </c>
      <c r="G85" s="21">
        <f t="shared" si="5"/>
        <v>7093.059988999999</v>
      </c>
      <c r="H85" s="21">
        <f t="shared" si="5"/>
        <v>15374.636775</v>
      </c>
      <c r="I85" s="21">
        <f t="shared" si="5"/>
        <v>289.30928400000005</v>
      </c>
      <c r="J85" s="21">
        <f t="shared" si="5"/>
        <v>486.10875599999997</v>
      </c>
      <c r="K85" s="21">
        <f t="shared" si="5"/>
        <v>445.50533600000006</v>
      </c>
      <c r="L85" s="38">
        <f>SUM(L75:L78)+L83+2.21</f>
        <v>96997.99140500001</v>
      </c>
    </row>
    <row r="87" spans="1:12" ht="15">
      <c r="A87" s="10" t="s">
        <v>48</v>
      </c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35"/>
    </row>
    <row r="88" spans="1:12" ht="15">
      <c r="A88" s="25" t="s">
        <v>54</v>
      </c>
      <c r="B88" s="11"/>
      <c r="C88" s="12"/>
      <c r="D88" s="12"/>
      <c r="E88" s="12"/>
      <c r="F88" s="12"/>
      <c r="G88" s="12"/>
      <c r="H88" s="12"/>
      <c r="I88" s="12"/>
      <c r="J88" s="12"/>
      <c r="K88" s="12"/>
      <c r="L88" s="35"/>
    </row>
    <row r="89" spans="1:12" ht="12.75">
      <c r="A89" s="19" t="s">
        <v>24</v>
      </c>
      <c r="C89" s="14">
        <v>7</v>
      </c>
      <c r="D89" s="14"/>
      <c r="E89" s="14">
        <v>7</v>
      </c>
      <c r="F89" s="14"/>
      <c r="G89" s="14"/>
      <c r="H89" s="14"/>
      <c r="I89" s="14"/>
      <c r="J89" s="15"/>
      <c r="K89" s="15"/>
      <c r="L89" s="36"/>
    </row>
    <row r="90" spans="1:12" ht="12.75">
      <c r="A90" s="19" t="s">
        <v>25</v>
      </c>
      <c r="C90" s="14">
        <v>-963</v>
      </c>
      <c r="D90" s="14"/>
      <c r="E90" s="14">
        <v>-29</v>
      </c>
      <c r="F90" s="14"/>
      <c r="G90" s="16"/>
      <c r="H90" s="16"/>
      <c r="I90" s="16"/>
      <c r="J90" s="16"/>
      <c r="K90" s="16"/>
      <c r="L90" s="36"/>
    </row>
    <row r="91" spans="1:12" ht="12.75">
      <c r="A91" s="19"/>
      <c r="C91" s="14"/>
      <c r="D91" s="14"/>
      <c r="E91" s="14"/>
      <c r="F91" s="14"/>
      <c r="G91" s="26"/>
      <c r="H91" s="26"/>
      <c r="I91" s="26"/>
      <c r="J91" s="26"/>
      <c r="K91" s="26"/>
      <c r="L91" s="36"/>
    </row>
    <row r="92" spans="1:12" ht="12.75">
      <c r="A92" s="23" t="s">
        <v>26</v>
      </c>
      <c r="B92" s="14" t="s">
        <v>27</v>
      </c>
      <c r="C92" s="18">
        <f>C89*'RATES '!$C$4</f>
        <v>3.4468</v>
      </c>
      <c r="D92" s="18">
        <f>D89*'RATES '!$C$8</f>
        <v>0</v>
      </c>
      <c r="E92" s="18">
        <f>E89*'RATES '!$C$12</f>
        <v>4.6795</v>
      </c>
      <c r="F92" s="18">
        <f>F89*'RATES '!$C$16</f>
        <v>0</v>
      </c>
      <c r="G92" s="18">
        <f>G89*'RATES '!$C$20</f>
        <v>0</v>
      </c>
      <c r="H92" s="18">
        <f>H89*'RATES '!$C$24</f>
        <v>0</v>
      </c>
      <c r="I92" s="18">
        <f>I89*'RATES '!$C$28</f>
        <v>0</v>
      </c>
      <c r="J92" s="18">
        <f>J89*'RATES '!$C$32</f>
        <v>0</v>
      </c>
      <c r="K92" s="18">
        <f>K89*'RATES '!$C$36</f>
        <v>0</v>
      </c>
      <c r="L92" s="37">
        <f>SUM(C92:K92)</f>
        <v>8.1263</v>
      </c>
    </row>
    <row r="93" spans="1:12" ht="12.75">
      <c r="A93" s="24"/>
      <c r="B93" s="14" t="s">
        <v>28</v>
      </c>
      <c r="C93" s="18">
        <f>C90*'RATES '!$C$5</f>
        <v>-0.707805</v>
      </c>
      <c r="D93" s="18">
        <f>D90*'RATES '!$C$9</f>
        <v>0</v>
      </c>
      <c r="E93" s="18">
        <f>E90*'RATES '!$C$13</f>
        <v>-0.019923</v>
      </c>
      <c r="F93" s="18">
        <f>F90*'RATES '!$C$17</f>
        <v>0</v>
      </c>
      <c r="G93" s="18">
        <f>G90*'RATES '!$C$21</f>
        <v>0</v>
      </c>
      <c r="H93" s="18">
        <f>H90*'RATES '!$C$25</f>
        <v>0</v>
      </c>
      <c r="I93" s="18">
        <f>I90*'RATES '!$C$29</f>
        <v>0</v>
      </c>
      <c r="J93" s="18">
        <f>J90*'RATES '!$C$33</f>
        <v>0</v>
      </c>
      <c r="K93" s="18">
        <f>K90*'RATES '!$C$37</f>
        <v>0</v>
      </c>
      <c r="L93" s="37">
        <f>SUM(C93:K93)</f>
        <v>-0.727728</v>
      </c>
    </row>
    <row r="94" spans="1:12" ht="12.75">
      <c r="A94" s="23" t="s">
        <v>29</v>
      </c>
      <c r="B94" s="14" t="s">
        <v>27</v>
      </c>
      <c r="C94" s="18">
        <f>C89*'RATES '!$D$4</f>
        <v>11.2833</v>
      </c>
      <c r="D94" s="18">
        <f>D89*'RATES '!$D$8</f>
        <v>0</v>
      </c>
      <c r="E94" s="18">
        <f>E89*'RATES '!$D$12</f>
        <v>15.317400000000001</v>
      </c>
      <c r="F94" s="18">
        <f>F89*'RATES '!$D$16</f>
        <v>0</v>
      </c>
      <c r="G94" s="18">
        <f>G89*'RATES '!$D$20</f>
        <v>0</v>
      </c>
      <c r="H94" s="18">
        <f>H89*'RATES '!$D$24</f>
        <v>0</v>
      </c>
      <c r="I94" s="18">
        <f>I89*'RATES '!$D$28</f>
        <v>0</v>
      </c>
      <c r="J94" s="18">
        <f>J89*'RATES '!$D$32</f>
        <v>0</v>
      </c>
      <c r="K94" s="18">
        <f>K89*'RATES '!$D$36</f>
        <v>0</v>
      </c>
      <c r="L94" s="37">
        <f>SUM(C94:K94)</f>
        <v>26.600700000000003</v>
      </c>
    </row>
    <row r="95" spans="1:12" ht="12.75">
      <c r="A95" s="17"/>
      <c r="B95" s="14" t="s">
        <v>28</v>
      </c>
      <c r="C95" s="18">
        <f>C90*'RATES '!$D$5</f>
        <v>-2.3112</v>
      </c>
      <c r="D95" s="18">
        <f>D90*'RATES '!$D$9</f>
        <v>0</v>
      </c>
      <c r="E95" s="18">
        <f>E90*'RATES '!$D$13</f>
        <v>-0.06380000000000001</v>
      </c>
      <c r="F95" s="18">
        <f>F90*'RATES '!$D$17</f>
        <v>0</v>
      </c>
      <c r="G95" s="18">
        <f>G90*'RATES '!$D$21</f>
        <v>0</v>
      </c>
      <c r="H95" s="18">
        <f>H90*'RATES '!$D$25</f>
        <v>0</v>
      </c>
      <c r="I95" s="18">
        <f>I90*'RATES '!$D$29</f>
        <v>0</v>
      </c>
      <c r="J95" s="18">
        <f>J90*'RATES '!$D$33</f>
        <v>0</v>
      </c>
      <c r="K95" s="18">
        <f>K90*'RATES '!$D$37</f>
        <v>0</v>
      </c>
      <c r="L95" s="37">
        <f>SUM(C95:K95)</f>
        <v>-2.375</v>
      </c>
    </row>
    <row r="96" spans="1:12" ht="12.75">
      <c r="A96" s="17"/>
      <c r="C96" s="18"/>
      <c r="D96" s="18"/>
      <c r="E96" s="18"/>
      <c r="F96" s="18"/>
      <c r="G96" s="18"/>
      <c r="H96" s="18"/>
      <c r="I96" s="18"/>
      <c r="J96" s="18"/>
      <c r="K96" s="18"/>
      <c r="L96" s="37"/>
    </row>
    <row r="97" spans="1:12" ht="15">
      <c r="A97" s="25" t="s">
        <v>55</v>
      </c>
      <c r="C97" s="14"/>
      <c r="D97" s="14"/>
      <c r="E97" s="14"/>
      <c r="F97" s="14"/>
      <c r="G97" s="26"/>
      <c r="H97" s="26"/>
      <c r="I97" s="26"/>
      <c r="J97" s="26"/>
      <c r="K97" s="26"/>
      <c r="L97" s="36"/>
    </row>
    <row r="98" spans="1:12" ht="12.75">
      <c r="A98" s="19" t="s">
        <v>25</v>
      </c>
      <c r="C98" s="14">
        <v>7068464</v>
      </c>
      <c r="D98" s="14">
        <v>5633423</v>
      </c>
      <c r="E98" s="14">
        <v>2167146</v>
      </c>
      <c r="F98" s="14">
        <v>2324203</v>
      </c>
      <c r="G98" s="16">
        <v>10690</v>
      </c>
      <c r="H98" s="16">
        <v>16063</v>
      </c>
      <c r="I98" s="16">
        <v>3579</v>
      </c>
      <c r="J98" s="16">
        <v>508</v>
      </c>
      <c r="K98" s="16">
        <v>131</v>
      </c>
      <c r="L98" s="36"/>
    </row>
    <row r="99" spans="1:12" ht="12.75">
      <c r="A99" s="17"/>
      <c r="C99" s="18"/>
      <c r="D99" s="18"/>
      <c r="E99" s="18"/>
      <c r="F99" s="18"/>
      <c r="G99" s="18"/>
      <c r="H99" s="18"/>
      <c r="I99" s="18"/>
      <c r="J99" s="18"/>
      <c r="K99" s="18"/>
      <c r="L99" s="37"/>
    </row>
    <row r="100" spans="1:12" ht="12.75">
      <c r="A100" s="23" t="s">
        <v>56</v>
      </c>
      <c r="B100" s="14" t="s">
        <v>28</v>
      </c>
      <c r="C100" s="18">
        <f>C98*'RATES '!$E$5</f>
        <v>29426.015632</v>
      </c>
      <c r="D100" s="18">
        <f>D98*'RATES '!$E$9</f>
        <v>20928.166445</v>
      </c>
      <c r="E100" s="18">
        <f>E98*'RATES '!$E$13</f>
        <v>6377.910677999999</v>
      </c>
      <c r="F100" s="18">
        <f>F98*'RATES '!$E$17</f>
        <v>9162.008226</v>
      </c>
      <c r="G100" s="18">
        <f>G98*'RATES '!$E$21</f>
        <v>6546.3956499999995</v>
      </c>
      <c r="H100" s="18">
        <f>H98*'RATES '!$E$25</f>
        <v>12666.944477000001</v>
      </c>
      <c r="I100" s="18">
        <f>I98*'RATES '!$E$29</f>
        <v>456.94524600000005</v>
      </c>
      <c r="J100" s="18">
        <f>J98*'RATES '!$E$33</f>
        <v>486.10875599999997</v>
      </c>
      <c r="K100" s="18">
        <f>K98*'RATES '!$E$37</f>
        <v>355.242394</v>
      </c>
      <c r="L100" s="37">
        <f>SUM(C100:K100)</f>
        <v>86405.737504</v>
      </c>
    </row>
    <row r="101" spans="1:12" ht="12.75">
      <c r="A101" s="19"/>
      <c r="C101" s="18"/>
      <c r="D101" s="18"/>
      <c r="E101" s="18"/>
      <c r="F101" s="18"/>
      <c r="G101" s="18"/>
      <c r="H101" s="18"/>
      <c r="I101" s="18"/>
      <c r="J101" s="18"/>
      <c r="K101" s="18"/>
      <c r="L101" s="37"/>
    </row>
    <row r="102" spans="3:12" ht="12.75">
      <c r="C102" s="21">
        <f aca="true" t="shared" si="6" ref="C102:K102">SUM(C92:C95)+C100</f>
        <v>29437.726726999997</v>
      </c>
      <c r="D102" s="21">
        <f t="shared" si="6"/>
        <v>20928.166445</v>
      </c>
      <c r="E102" s="21">
        <f t="shared" si="6"/>
        <v>6397.823855</v>
      </c>
      <c r="F102" s="21">
        <f t="shared" si="6"/>
        <v>9162.008226</v>
      </c>
      <c r="G102" s="21">
        <f t="shared" si="6"/>
        <v>6546.3956499999995</v>
      </c>
      <c r="H102" s="21">
        <f t="shared" si="6"/>
        <v>12666.944477000001</v>
      </c>
      <c r="I102" s="21">
        <f t="shared" si="6"/>
        <v>456.94524600000005</v>
      </c>
      <c r="J102" s="21">
        <f t="shared" si="6"/>
        <v>486.10875599999997</v>
      </c>
      <c r="K102" s="21">
        <f t="shared" si="6"/>
        <v>355.242394</v>
      </c>
      <c r="L102" s="38">
        <f>SUM(L92:L95)+L100+0.57</f>
        <v>86437.93177600001</v>
      </c>
    </row>
    <row r="104" spans="1:12" ht="15">
      <c r="A104" s="10" t="s">
        <v>49</v>
      </c>
      <c r="B104" s="11"/>
      <c r="C104" s="12"/>
      <c r="D104" s="12"/>
      <c r="E104" s="12"/>
      <c r="F104" s="12"/>
      <c r="G104" s="12"/>
      <c r="H104" s="12"/>
      <c r="I104" s="12"/>
      <c r="J104" s="12"/>
      <c r="K104" s="12"/>
      <c r="L104" s="35"/>
    </row>
    <row r="105" spans="1:12" ht="15">
      <c r="A105" s="25" t="s">
        <v>54</v>
      </c>
      <c r="B105" s="11"/>
      <c r="C105" s="12"/>
      <c r="D105" s="12"/>
      <c r="E105" s="12"/>
      <c r="F105" s="12"/>
      <c r="G105" s="12"/>
      <c r="H105" s="12"/>
      <c r="I105" s="12"/>
      <c r="J105" s="12"/>
      <c r="K105" s="12"/>
      <c r="L105" s="35"/>
    </row>
    <row r="106" spans="1:12" ht="12.75">
      <c r="A106" s="19" t="s">
        <v>24</v>
      </c>
      <c r="C106" s="14">
        <v>-10</v>
      </c>
      <c r="D106" s="14"/>
      <c r="E106" s="14">
        <v>-5</v>
      </c>
      <c r="F106" s="14"/>
      <c r="G106" s="14"/>
      <c r="H106" s="14"/>
      <c r="I106" s="14"/>
      <c r="J106" s="15"/>
      <c r="K106" s="15"/>
      <c r="L106" s="36"/>
    </row>
    <row r="107" spans="1:12" ht="12.75">
      <c r="A107" s="19" t="s">
        <v>25</v>
      </c>
      <c r="C107" s="14">
        <v>-1788</v>
      </c>
      <c r="D107" s="14"/>
      <c r="E107" s="14">
        <v>-2021</v>
      </c>
      <c r="F107" s="14"/>
      <c r="G107" s="16"/>
      <c r="H107" s="16"/>
      <c r="I107" s="16"/>
      <c r="J107" s="16"/>
      <c r="K107" s="16"/>
      <c r="L107" s="36"/>
    </row>
    <row r="108" spans="1:12" ht="12.75">
      <c r="A108" s="19"/>
      <c r="C108" s="14"/>
      <c r="D108" s="14"/>
      <c r="E108" s="14"/>
      <c r="F108" s="14"/>
      <c r="G108" s="26"/>
      <c r="H108" s="26"/>
      <c r="I108" s="26"/>
      <c r="J108" s="26"/>
      <c r="K108" s="26"/>
      <c r="L108" s="36"/>
    </row>
    <row r="109" spans="1:12" ht="12.75">
      <c r="A109" s="23" t="s">
        <v>26</v>
      </c>
      <c r="B109" s="14" t="s">
        <v>27</v>
      </c>
      <c r="C109" s="18">
        <f>C106*'RATES '!$C$4</f>
        <v>-4.924</v>
      </c>
      <c r="D109" s="18">
        <f>D106*'RATES '!$C$8</f>
        <v>0</v>
      </c>
      <c r="E109" s="18">
        <f>E106*'RATES '!$C$12</f>
        <v>-3.3425</v>
      </c>
      <c r="F109" s="18">
        <f>F106*'RATES '!$C$16</f>
        <v>0</v>
      </c>
      <c r="G109" s="18">
        <f>G106*'RATES '!$C$20</f>
        <v>0</v>
      </c>
      <c r="H109" s="18">
        <f>H106*'RATES '!$C$24</f>
        <v>0</v>
      </c>
      <c r="I109" s="18">
        <f>I106*'RATES '!$C$28</f>
        <v>0</v>
      </c>
      <c r="J109" s="18">
        <f>J106*'RATES '!$C$32</f>
        <v>0</v>
      </c>
      <c r="K109" s="18">
        <f>K106*'RATES '!$C$36</f>
        <v>0</v>
      </c>
      <c r="L109" s="37">
        <f>SUM(C109:K109)</f>
        <v>-8.2665</v>
      </c>
    </row>
    <row r="110" spans="1:12" ht="12.75">
      <c r="A110" s="24"/>
      <c r="B110" s="14" t="s">
        <v>28</v>
      </c>
      <c r="C110" s="18">
        <f>C107*'RATES '!$C$5</f>
        <v>-1.31418</v>
      </c>
      <c r="D110" s="18">
        <f>D107*'RATES '!$C$9</f>
        <v>0</v>
      </c>
      <c r="E110" s="18">
        <f>E107*'RATES '!$C$13</f>
        <v>-1.388427</v>
      </c>
      <c r="F110" s="18">
        <f>F107*'RATES '!$C$17</f>
        <v>0</v>
      </c>
      <c r="G110" s="18">
        <f>G107*'RATES '!$C$21</f>
        <v>0</v>
      </c>
      <c r="H110" s="18">
        <f>H107*'RATES '!$C$25</f>
        <v>0</v>
      </c>
      <c r="I110" s="18">
        <f>I107*'RATES '!$C$29</f>
        <v>0</v>
      </c>
      <c r="J110" s="18">
        <f>J107*'RATES '!$C$33</f>
        <v>0</v>
      </c>
      <c r="K110" s="18">
        <f>K107*'RATES '!$C$37</f>
        <v>0</v>
      </c>
      <c r="L110" s="37">
        <f>SUM(C110:K110)</f>
        <v>-2.702607</v>
      </c>
    </row>
    <row r="111" spans="1:12" ht="12.75">
      <c r="A111" s="23" t="s">
        <v>29</v>
      </c>
      <c r="B111" s="14" t="s">
        <v>27</v>
      </c>
      <c r="C111" s="18">
        <f>C106*'RATES '!$D$4</f>
        <v>-16.119</v>
      </c>
      <c r="D111" s="18">
        <f>D106*'RATES '!$D$8</f>
        <v>0</v>
      </c>
      <c r="E111" s="18">
        <f>E106*'RATES '!$D$12</f>
        <v>-10.941</v>
      </c>
      <c r="F111" s="18">
        <f>F106*'RATES '!$D$16</f>
        <v>0</v>
      </c>
      <c r="G111" s="18">
        <f>G106*'RATES '!$D$20</f>
        <v>0</v>
      </c>
      <c r="H111" s="18">
        <f>H106*'RATES '!$D$24</f>
        <v>0</v>
      </c>
      <c r="I111" s="18">
        <f>I106*'RATES '!$D$28</f>
        <v>0</v>
      </c>
      <c r="J111" s="18">
        <f>J106*'RATES '!$D$32</f>
        <v>0</v>
      </c>
      <c r="K111" s="18">
        <f>K106*'RATES '!$D$36</f>
        <v>0</v>
      </c>
      <c r="L111" s="37">
        <f>SUM(C111:K111)</f>
        <v>-27.060000000000002</v>
      </c>
    </row>
    <row r="112" spans="1:12" ht="12.75">
      <c r="A112" s="17"/>
      <c r="B112" s="14" t="s">
        <v>28</v>
      </c>
      <c r="C112" s="18">
        <f>C107*'RATES '!$D$5</f>
        <v>-4.2912</v>
      </c>
      <c r="D112" s="18">
        <f>D107*'RATES '!$D$9</f>
        <v>0</v>
      </c>
      <c r="E112" s="18">
        <f>E107*'RATES '!$D$13</f>
        <v>-4.4462</v>
      </c>
      <c r="F112" s="18">
        <f>F107*'RATES '!$D$17</f>
        <v>0</v>
      </c>
      <c r="G112" s="18">
        <f>G107*'RATES '!$D$21</f>
        <v>0</v>
      </c>
      <c r="H112" s="18">
        <f>H107*'RATES '!$D$25</f>
        <v>0</v>
      </c>
      <c r="I112" s="18">
        <f>I107*'RATES '!$D$29</f>
        <v>0</v>
      </c>
      <c r="J112" s="18">
        <f>J107*'RATES '!$D$33</f>
        <v>0</v>
      </c>
      <c r="K112" s="18">
        <f>K107*'RATES '!$D$37</f>
        <v>0</v>
      </c>
      <c r="L112" s="37">
        <f>SUM(C112:K112)</f>
        <v>-8.737400000000001</v>
      </c>
    </row>
    <row r="113" spans="1:12" ht="12.75">
      <c r="A113" s="17"/>
      <c r="C113" s="18"/>
      <c r="D113" s="18"/>
      <c r="E113" s="18"/>
      <c r="F113" s="18"/>
      <c r="G113" s="18"/>
      <c r="H113" s="18"/>
      <c r="I113" s="18"/>
      <c r="J113" s="18"/>
      <c r="K113" s="18"/>
      <c r="L113" s="37"/>
    </row>
    <row r="114" spans="1:12" ht="15">
      <c r="A114" s="25" t="s">
        <v>55</v>
      </c>
      <c r="C114" s="14"/>
      <c r="D114" s="14"/>
      <c r="E114" s="14"/>
      <c r="F114" s="14"/>
      <c r="G114" s="26"/>
      <c r="H114" s="26"/>
      <c r="I114" s="26"/>
      <c r="J114" s="26"/>
      <c r="K114" s="26"/>
      <c r="L114" s="36"/>
    </row>
    <row r="115" spans="1:12" ht="12.75">
      <c r="A115" s="19" t="s">
        <v>25</v>
      </c>
      <c r="C115" s="14">
        <v>8513432</v>
      </c>
      <c r="D115" s="14">
        <v>6263599</v>
      </c>
      <c r="E115" s="14">
        <v>1811492</v>
      </c>
      <c r="F115" s="14">
        <v>2659055</v>
      </c>
      <c r="G115" s="16">
        <v>9663</v>
      </c>
      <c r="H115" s="16">
        <v>16710</v>
      </c>
      <c r="I115" s="16">
        <v>2249</v>
      </c>
      <c r="J115" s="16">
        <v>508</v>
      </c>
      <c r="K115" s="16">
        <v>132</v>
      </c>
      <c r="L115" s="36"/>
    </row>
    <row r="116" spans="1:12" ht="12.75">
      <c r="A116" s="17"/>
      <c r="C116" s="18"/>
      <c r="D116" s="18"/>
      <c r="E116" s="18"/>
      <c r="F116" s="18"/>
      <c r="G116" s="18"/>
      <c r="H116" s="18"/>
      <c r="I116" s="18"/>
      <c r="J116" s="18"/>
      <c r="K116" s="18"/>
      <c r="L116" s="37"/>
    </row>
    <row r="117" spans="1:12" ht="12.75">
      <c r="A117" s="23" t="s">
        <v>56</v>
      </c>
      <c r="B117" s="14" t="s">
        <v>28</v>
      </c>
      <c r="C117" s="18">
        <f>C115*'RATES '!$E$5</f>
        <v>35441.417416000004</v>
      </c>
      <c r="D117" s="18">
        <f>D115*'RATES '!$E$9</f>
        <v>23269.270285</v>
      </c>
      <c r="E117" s="18">
        <f>E115*'RATES '!$E$13</f>
        <v>5331.220956</v>
      </c>
      <c r="F117" s="18">
        <f>F115*'RATES '!$E$17</f>
        <v>10481.99481</v>
      </c>
      <c r="G117" s="18">
        <f>G115*'RATES '!$E$21</f>
        <v>5917.476255</v>
      </c>
      <c r="H117" s="18">
        <f>H115*'RATES '!$E$25</f>
        <v>13177.15509</v>
      </c>
      <c r="I117" s="18">
        <f>I115*'RATES '!$E$29</f>
        <v>287.138826</v>
      </c>
      <c r="J117" s="18">
        <f>J115*'RATES '!$E$33</f>
        <v>486.10875599999997</v>
      </c>
      <c r="K117" s="18">
        <f>K115*'RATES '!$E$37</f>
        <v>357.95416800000004</v>
      </c>
      <c r="L117" s="37">
        <f>SUM(C117:K117)</f>
        <v>94749.73656199999</v>
      </c>
    </row>
    <row r="118" spans="1:12" ht="12.75">
      <c r="A118" s="19"/>
      <c r="C118" s="18"/>
      <c r="D118" s="18"/>
      <c r="E118" s="18"/>
      <c r="F118" s="18"/>
      <c r="G118" s="18"/>
      <c r="H118" s="18"/>
      <c r="I118" s="18"/>
      <c r="J118" s="18"/>
      <c r="K118" s="18"/>
      <c r="L118" s="37"/>
    </row>
    <row r="119" spans="3:12" ht="12.75">
      <c r="C119" s="21">
        <f aca="true" t="shared" si="7" ref="C119:K119">SUM(C109:C112)+C117</f>
        <v>35414.769036000005</v>
      </c>
      <c r="D119" s="21">
        <f t="shared" si="7"/>
        <v>23269.270285</v>
      </c>
      <c r="E119" s="21">
        <f t="shared" si="7"/>
        <v>5311.102829</v>
      </c>
      <c r="F119" s="21">
        <f t="shared" si="7"/>
        <v>10481.99481</v>
      </c>
      <c r="G119" s="21">
        <f t="shared" si="7"/>
        <v>5917.476255</v>
      </c>
      <c r="H119" s="21">
        <f t="shared" si="7"/>
        <v>13177.15509</v>
      </c>
      <c r="I119" s="21">
        <f t="shared" si="7"/>
        <v>287.138826</v>
      </c>
      <c r="J119" s="21">
        <f t="shared" si="7"/>
        <v>486.10875599999997</v>
      </c>
      <c r="K119" s="21">
        <f t="shared" si="7"/>
        <v>357.95416800000004</v>
      </c>
      <c r="L119" s="38">
        <f>SUM(L109:L112)+L117+0.39</f>
        <v>94703.360055</v>
      </c>
    </row>
    <row r="121" spans="1:12" ht="15">
      <c r="A121" s="10" t="s">
        <v>50</v>
      </c>
      <c r="B121" s="11"/>
      <c r="C121" s="12"/>
      <c r="D121" s="12"/>
      <c r="E121" s="12"/>
      <c r="F121" s="12"/>
      <c r="G121" s="12"/>
      <c r="H121" s="12"/>
      <c r="I121" s="12"/>
      <c r="J121" s="12"/>
      <c r="K121" s="12"/>
      <c r="L121" s="35"/>
    </row>
    <row r="122" spans="1:12" ht="15">
      <c r="A122" s="25" t="s">
        <v>54</v>
      </c>
      <c r="B122" s="11"/>
      <c r="C122" s="12"/>
      <c r="D122" s="12"/>
      <c r="E122" s="12"/>
      <c r="F122" s="12"/>
      <c r="G122" s="12"/>
      <c r="H122" s="12"/>
      <c r="I122" s="12"/>
      <c r="J122" s="12"/>
      <c r="K122" s="12"/>
      <c r="L122" s="35"/>
    </row>
    <row r="123" spans="1:12" ht="12.75">
      <c r="A123" s="19" t="s">
        <v>24</v>
      </c>
      <c r="C123" s="14"/>
      <c r="D123" s="14"/>
      <c r="E123" s="14"/>
      <c r="F123" s="14"/>
      <c r="G123" s="14"/>
      <c r="H123" s="14"/>
      <c r="I123" s="14"/>
      <c r="J123" s="15"/>
      <c r="K123" s="15"/>
      <c r="L123" s="36"/>
    </row>
    <row r="124" spans="1:12" ht="12.75">
      <c r="A124" s="19" t="s">
        <v>25</v>
      </c>
      <c r="C124" s="14"/>
      <c r="D124" s="14"/>
      <c r="E124" s="14"/>
      <c r="F124" s="14">
        <v>-4033</v>
      </c>
      <c r="G124" s="16"/>
      <c r="H124" s="16"/>
      <c r="I124" s="16"/>
      <c r="J124" s="16"/>
      <c r="K124" s="16"/>
      <c r="L124" s="36"/>
    </row>
    <row r="125" spans="1:12" ht="12.75">
      <c r="A125" s="19"/>
      <c r="C125" s="14"/>
      <c r="D125" s="14"/>
      <c r="E125" s="14"/>
      <c r="F125" s="14"/>
      <c r="G125" s="26"/>
      <c r="H125" s="26"/>
      <c r="I125" s="26"/>
      <c r="J125" s="26"/>
      <c r="K125" s="26"/>
      <c r="L125" s="36"/>
    </row>
    <row r="126" spans="1:12" ht="12.75">
      <c r="A126" s="23" t="s">
        <v>26</v>
      </c>
      <c r="B126" s="14" t="s">
        <v>27</v>
      </c>
      <c r="C126" s="18">
        <f>C123*'RATES '!$C$4</f>
        <v>0</v>
      </c>
      <c r="D126" s="18">
        <f>D123*'RATES '!$C$8</f>
        <v>0</v>
      </c>
      <c r="E126" s="18">
        <f>E123*'RATES '!$C$12</f>
        <v>0</v>
      </c>
      <c r="F126" s="18">
        <f>F123*'RATES '!$C$16</f>
        <v>0</v>
      </c>
      <c r="G126" s="18">
        <f>G123*'RATES '!$C$20</f>
        <v>0</v>
      </c>
      <c r="H126" s="18">
        <f>H123*'RATES '!$C$24</f>
        <v>0</v>
      </c>
      <c r="I126" s="18">
        <f>I123*'RATES '!$C$28</f>
        <v>0</v>
      </c>
      <c r="J126" s="18">
        <f>J123*'RATES '!$C$32</f>
        <v>0</v>
      </c>
      <c r="K126" s="18">
        <f>K123*'RATES '!$C$36</f>
        <v>0</v>
      </c>
      <c r="L126" s="37">
        <f>SUM(C126:K126)</f>
        <v>0</v>
      </c>
    </row>
    <row r="127" spans="1:12" ht="12.75">
      <c r="A127" s="24"/>
      <c r="B127" s="14" t="s">
        <v>28</v>
      </c>
      <c r="C127" s="18">
        <f>C124*'RATES '!$C$5</f>
        <v>0</v>
      </c>
      <c r="D127" s="18">
        <f>D124*'RATES '!$C$9</f>
        <v>0</v>
      </c>
      <c r="E127" s="18">
        <f>E124*'RATES '!$C$13</f>
        <v>0</v>
      </c>
      <c r="F127" s="18">
        <f>F124*'RATES '!$C$17</f>
        <v>-2.173787</v>
      </c>
      <c r="G127" s="18">
        <f>G124*'RATES '!$C$21</f>
        <v>0</v>
      </c>
      <c r="H127" s="18">
        <f>H124*'RATES '!$C$25</f>
        <v>0</v>
      </c>
      <c r="I127" s="18">
        <f>I124*'RATES '!$C$29</f>
        <v>0</v>
      </c>
      <c r="J127" s="18">
        <f>J124*'RATES '!$C$33</f>
        <v>0</v>
      </c>
      <c r="K127" s="18">
        <f>K124*'RATES '!$C$37</f>
        <v>0</v>
      </c>
      <c r="L127" s="37">
        <f>SUM(C127:K127)</f>
        <v>-2.173787</v>
      </c>
    </row>
    <row r="128" spans="1:12" ht="12.75">
      <c r="A128" s="23" t="s">
        <v>29</v>
      </c>
      <c r="B128" s="14" t="s">
        <v>27</v>
      </c>
      <c r="C128" s="18">
        <f>C123*'RATES '!$D$4</f>
        <v>0</v>
      </c>
      <c r="D128" s="18">
        <f>D123*'RATES '!$D$8</f>
        <v>0</v>
      </c>
      <c r="E128" s="18">
        <f>E123*'RATES '!$D$12</f>
        <v>0</v>
      </c>
      <c r="F128" s="18">
        <f>F123*'RATES '!$D$16</f>
        <v>0</v>
      </c>
      <c r="G128" s="18">
        <f>G123*'RATES '!$D$20</f>
        <v>0</v>
      </c>
      <c r="H128" s="18">
        <f>H123*'RATES '!$D$24</f>
        <v>0</v>
      </c>
      <c r="I128" s="18">
        <f>I123*'RATES '!$D$28</f>
        <v>0</v>
      </c>
      <c r="J128" s="18">
        <f>J123*'RATES '!$D$32</f>
        <v>0</v>
      </c>
      <c r="K128" s="18">
        <f>K123*'RATES '!$D$36</f>
        <v>0</v>
      </c>
      <c r="L128" s="37">
        <f>SUM(C128:K128)</f>
        <v>0</v>
      </c>
    </row>
    <row r="129" spans="1:12" ht="12.75">
      <c r="A129" s="17"/>
      <c r="B129" s="14" t="s">
        <v>28</v>
      </c>
      <c r="C129" s="18">
        <f>C124*'RATES '!$D$5</f>
        <v>0</v>
      </c>
      <c r="D129" s="18">
        <f>D124*'RATES '!$D$9</f>
        <v>0</v>
      </c>
      <c r="E129" s="18">
        <f>E124*'RATES '!$D$13</f>
        <v>0</v>
      </c>
      <c r="F129" s="18">
        <f>F124*'RATES '!$D$17</f>
        <v>-7.259399999999999</v>
      </c>
      <c r="G129" s="18">
        <f>G124*'RATES '!$D$21</f>
        <v>0</v>
      </c>
      <c r="H129" s="18">
        <f>H124*'RATES '!$D$25</f>
        <v>0</v>
      </c>
      <c r="I129" s="18">
        <f>I124*'RATES '!$D$29</f>
        <v>0</v>
      </c>
      <c r="J129" s="18">
        <f>J124*'RATES '!$D$33</f>
        <v>0</v>
      </c>
      <c r="K129" s="18">
        <f>K124*'RATES '!$D$37</f>
        <v>0</v>
      </c>
      <c r="L129" s="37">
        <f>SUM(C129:K129)</f>
        <v>-7.259399999999999</v>
      </c>
    </row>
    <row r="130" spans="1:12" ht="12.75">
      <c r="A130" s="17"/>
      <c r="C130" s="18"/>
      <c r="D130" s="18"/>
      <c r="E130" s="18"/>
      <c r="F130" s="18"/>
      <c r="G130" s="18"/>
      <c r="H130" s="18"/>
      <c r="I130" s="18"/>
      <c r="J130" s="18"/>
      <c r="K130" s="18"/>
      <c r="L130" s="37"/>
    </row>
    <row r="131" spans="1:12" ht="15">
      <c r="A131" s="25" t="s">
        <v>55</v>
      </c>
      <c r="C131" s="14"/>
      <c r="D131" s="14"/>
      <c r="E131" s="14"/>
      <c r="F131" s="14"/>
      <c r="G131" s="26"/>
      <c r="H131" s="26"/>
      <c r="I131" s="26"/>
      <c r="J131" s="26"/>
      <c r="K131" s="26"/>
      <c r="L131" s="36"/>
    </row>
    <row r="132" spans="1:12" ht="12.75">
      <c r="A132" s="19" t="s">
        <v>25</v>
      </c>
      <c r="C132" s="14">
        <v>7736873</v>
      </c>
      <c r="D132" s="14">
        <v>6097773</v>
      </c>
      <c r="E132" s="14">
        <v>2107384</v>
      </c>
      <c r="F132" s="14">
        <v>2359824</v>
      </c>
      <c r="G132" s="16">
        <v>10008</v>
      </c>
      <c r="H132" s="16">
        <v>15123</v>
      </c>
      <c r="I132" s="16">
        <v>2645</v>
      </c>
      <c r="J132" s="16">
        <v>508</v>
      </c>
      <c r="K132" s="16">
        <v>126</v>
      </c>
      <c r="L132" s="36"/>
    </row>
    <row r="133" spans="1:12" ht="12.75">
      <c r="A133" s="17"/>
      <c r="C133" s="18"/>
      <c r="D133" s="18"/>
      <c r="E133" s="18"/>
      <c r="F133" s="18"/>
      <c r="G133" s="18"/>
      <c r="H133" s="18"/>
      <c r="I133" s="18"/>
      <c r="J133" s="18"/>
      <c r="K133" s="18"/>
      <c r="L133" s="37"/>
    </row>
    <row r="134" spans="1:12" ht="12.75">
      <c r="A134" s="23" t="s">
        <v>56</v>
      </c>
      <c r="B134" s="14" t="s">
        <v>28</v>
      </c>
      <c r="C134" s="18">
        <f>C132*'RATES '!$E$5</f>
        <v>32208.602299000002</v>
      </c>
      <c r="D134" s="18">
        <f>D132*'RATES '!$E$9</f>
        <v>22653.226695</v>
      </c>
      <c r="E134" s="18">
        <f>E132*'RATES '!$E$13</f>
        <v>6202.031112</v>
      </c>
      <c r="F134" s="18">
        <f>F132*'RATES '!$E$17</f>
        <v>9302.426208</v>
      </c>
      <c r="G134" s="18">
        <f>G132*'RATES '!$E$21</f>
        <v>6128.74908</v>
      </c>
      <c r="H134" s="18">
        <f>H132*'RATES '!$E$25</f>
        <v>11925.680217000001</v>
      </c>
      <c r="I134" s="18">
        <f>I132*'RATES '!$E$29</f>
        <v>337.69773000000004</v>
      </c>
      <c r="J134" s="18">
        <f>J132*'RATES '!$E$33</f>
        <v>486.10875599999997</v>
      </c>
      <c r="K134" s="18">
        <f>K132*'RATES '!$E$37</f>
        <v>341.68352400000003</v>
      </c>
      <c r="L134" s="37">
        <f>SUM(C134:K134)</f>
        <v>89586.205621</v>
      </c>
    </row>
    <row r="135" spans="1:12" ht="12.75">
      <c r="A135" s="19"/>
      <c r="C135" s="18"/>
      <c r="D135" s="18"/>
      <c r="E135" s="18"/>
      <c r="F135" s="18"/>
      <c r="G135" s="18"/>
      <c r="H135" s="18"/>
      <c r="I135" s="18"/>
      <c r="J135" s="18"/>
      <c r="K135" s="18"/>
      <c r="L135" s="37"/>
    </row>
    <row r="136" spans="3:12" ht="12.75">
      <c r="C136" s="21">
        <f aca="true" t="shared" si="8" ref="C136:K136">SUM(C126:C129)+C134</f>
        <v>32208.602299000002</v>
      </c>
      <c r="D136" s="21">
        <f t="shared" si="8"/>
        <v>22653.226695</v>
      </c>
      <c r="E136" s="21">
        <f t="shared" si="8"/>
        <v>6202.031112</v>
      </c>
      <c r="F136" s="21">
        <f t="shared" si="8"/>
        <v>9292.993021</v>
      </c>
      <c r="G136" s="21">
        <f t="shared" si="8"/>
        <v>6128.74908</v>
      </c>
      <c r="H136" s="21">
        <f t="shared" si="8"/>
        <v>11925.680217000001</v>
      </c>
      <c r="I136" s="21">
        <f t="shared" si="8"/>
        <v>337.69773000000004</v>
      </c>
      <c r="J136" s="21">
        <f t="shared" si="8"/>
        <v>486.10875599999997</v>
      </c>
      <c r="K136" s="21">
        <f t="shared" si="8"/>
        <v>341.68352400000003</v>
      </c>
      <c r="L136" s="38">
        <f>SUM(L126:L129)+L134-1.23</f>
        <v>89575.542434</v>
      </c>
    </row>
    <row r="138" spans="1:12" ht="15">
      <c r="A138" s="10" t="s">
        <v>51</v>
      </c>
      <c r="B138" s="11"/>
      <c r="C138" s="12"/>
      <c r="D138" s="12"/>
      <c r="E138" s="12"/>
      <c r="F138" s="12"/>
      <c r="G138" s="12"/>
      <c r="H138" s="12"/>
      <c r="I138" s="12"/>
      <c r="J138" s="12"/>
      <c r="K138" s="12"/>
      <c r="L138" s="35"/>
    </row>
    <row r="139" spans="1:12" ht="15">
      <c r="A139" s="25" t="s">
        <v>54</v>
      </c>
      <c r="B139" s="11"/>
      <c r="C139" s="12"/>
      <c r="D139" s="12"/>
      <c r="E139" s="12"/>
      <c r="F139" s="12"/>
      <c r="G139" s="12"/>
      <c r="H139" s="12"/>
      <c r="I139" s="12"/>
      <c r="J139" s="12"/>
      <c r="K139" s="12"/>
      <c r="L139" s="35"/>
    </row>
    <row r="140" spans="1:12" ht="12.75">
      <c r="A140" s="19" t="s">
        <v>24</v>
      </c>
      <c r="C140" s="14"/>
      <c r="D140" s="14"/>
      <c r="E140" s="14"/>
      <c r="F140" s="14"/>
      <c r="G140" s="14"/>
      <c r="H140" s="14"/>
      <c r="I140" s="14"/>
      <c r="J140" s="15"/>
      <c r="K140" s="15"/>
      <c r="L140" s="36"/>
    </row>
    <row r="141" spans="1:12" ht="12.75">
      <c r="A141" s="19" t="s">
        <v>25</v>
      </c>
      <c r="C141" s="14"/>
      <c r="D141" s="14"/>
      <c r="E141" s="14"/>
      <c r="F141" s="14"/>
      <c r="G141" s="16"/>
      <c r="H141" s="16"/>
      <c r="I141" s="16"/>
      <c r="J141" s="16"/>
      <c r="K141" s="16"/>
      <c r="L141" s="36"/>
    </row>
    <row r="142" spans="1:12" ht="12.75">
      <c r="A142" s="19"/>
      <c r="C142" s="14"/>
      <c r="D142" s="14"/>
      <c r="E142" s="14"/>
      <c r="F142" s="14"/>
      <c r="G142" s="26"/>
      <c r="H142" s="26"/>
      <c r="I142" s="26"/>
      <c r="J142" s="26"/>
      <c r="K142" s="26"/>
      <c r="L142" s="36"/>
    </row>
    <row r="143" spans="1:12" ht="12.75">
      <c r="A143" s="23" t="s">
        <v>26</v>
      </c>
      <c r="B143" s="14" t="s">
        <v>27</v>
      </c>
      <c r="C143" s="18">
        <f>C140*'RATES '!$C$4</f>
        <v>0</v>
      </c>
      <c r="D143" s="18">
        <f>D140*'RATES '!$C$8</f>
        <v>0</v>
      </c>
      <c r="E143" s="18">
        <f>E140*'RATES '!$C$12</f>
        <v>0</v>
      </c>
      <c r="F143" s="18">
        <f>F140*'RATES '!$C$16</f>
        <v>0</v>
      </c>
      <c r="G143" s="18">
        <f>G140*'RATES '!$C$20</f>
        <v>0</v>
      </c>
      <c r="H143" s="18">
        <f>H140*'RATES '!$C$24</f>
        <v>0</v>
      </c>
      <c r="I143" s="18">
        <f>I140*'RATES '!$C$28</f>
        <v>0</v>
      </c>
      <c r="J143" s="18">
        <f>J140*'RATES '!$C$32</f>
        <v>0</v>
      </c>
      <c r="K143" s="18">
        <f>K140*'RATES '!$C$36</f>
        <v>0</v>
      </c>
      <c r="L143" s="37">
        <f>SUM(C143:K143)</f>
        <v>0</v>
      </c>
    </row>
    <row r="144" spans="1:12" ht="12.75">
      <c r="A144" s="24"/>
      <c r="B144" s="14" t="s">
        <v>28</v>
      </c>
      <c r="C144" s="18">
        <f>C141*'RATES '!$C$5</f>
        <v>0</v>
      </c>
      <c r="D144" s="18">
        <f>D141*'RATES '!$C$9</f>
        <v>0</v>
      </c>
      <c r="E144" s="18">
        <f>E141*'RATES '!$C$13</f>
        <v>0</v>
      </c>
      <c r="F144" s="18">
        <f>F141*'RATES '!$C$17</f>
        <v>0</v>
      </c>
      <c r="G144" s="18">
        <f>G141*'RATES '!$C$21</f>
        <v>0</v>
      </c>
      <c r="H144" s="18">
        <f>H141*'RATES '!$C$25</f>
        <v>0</v>
      </c>
      <c r="I144" s="18">
        <f>I141*'RATES '!$C$29</f>
        <v>0</v>
      </c>
      <c r="J144" s="18">
        <f>J141*'RATES '!$C$33</f>
        <v>0</v>
      </c>
      <c r="K144" s="18">
        <f>K141*'RATES '!$C$37</f>
        <v>0</v>
      </c>
      <c r="L144" s="37">
        <f>SUM(C144:K144)</f>
        <v>0</v>
      </c>
    </row>
    <row r="145" spans="1:12" ht="12.75">
      <c r="A145" s="23" t="s">
        <v>29</v>
      </c>
      <c r="B145" s="14" t="s">
        <v>27</v>
      </c>
      <c r="C145" s="18">
        <f>C140*'RATES '!$D$4</f>
        <v>0</v>
      </c>
      <c r="D145" s="18">
        <f>D140*'RATES '!$D$8</f>
        <v>0</v>
      </c>
      <c r="E145" s="18">
        <f>E140*'RATES '!$D$12</f>
        <v>0</v>
      </c>
      <c r="F145" s="18">
        <f>F140*'RATES '!$D$16</f>
        <v>0</v>
      </c>
      <c r="G145" s="18">
        <f>G140*'RATES '!$D$20</f>
        <v>0</v>
      </c>
      <c r="H145" s="18">
        <f>H140*'RATES '!$D$24</f>
        <v>0</v>
      </c>
      <c r="I145" s="18">
        <f>I140*'RATES '!$D$28</f>
        <v>0</v>
      </c>
      <c r="J145" s="18">
        <f>J140*'RATES '!$D$32</f>
        <v>0</v>
      </c>
      <c r="K145" s="18">
        <f>K140*'RATES '!$D$36</f>
        <v>0</v>
      </c>
      <c r="L145" s="37">
        <f>SUM(C145:K145)</f>
        <v>0</v>
      </c>
    </row>
    <row r="146" spans="1:12" ht="12.75">
      <c r="A146" s="17"/>
      <c r="B146" s="14" t="s">
        <v>28</v>
      </c>
      <c r="C146" s="18">
        <f>C141*'RATES '!$D$5</f>
        <v>0</v>
      </c>
      <c r="D146" s="18">
        <f>D141*'RATES '!$D$9</f>
        <v>0</v>
      </c>
      <c r="E146" s="18">
        <f>E141*'RATES '!$D$13</f>
        <v>0</v>
      </c>
      <c r="F146" s="18">
        <f>F141*'RATES '!$D$17</f>
        <v>0</v>
      </c>
      <c r="G146" s="18">
        <f>G141*'RATES '!$D$21</f>
        <v>0</v>
      </c>
      <c r="H146" s="18">
        <f>H141*'RATES '!$D$25</f>
        <v>0</v>
      </c>
      <c r="I146" s="18">
        <f>I141*'RATES '!$D$29</f>
        <v>0</v>
      </c>
      <c r="J146" s="18">
        <f>J141*'RATES '!$D$33</f>
        <v>0</v>
      </c>
      <c r="K146" s="18">
        <f>K141*'RATES '!$D$37</f>
        <v>0</v>
      </c>
      <c r="L146" s="37">
        <f>SUM(C146:K146)</f>
        <v>0</v>
      </c>
    </row>
    <row r="147" spans="1:12" ht="12.75">
      <c r="A147" s="17"/>
      <c r="C147" s="18"/>
      <c r="D147" s="18"/>
      <c r="E147" s="18"/>
      <c r="F147" s="18"/>
      <c r="G147" s="18"/>
      <c r="H147" s="18"/>
      <c r="I147" s="18"/>
      <c r="J147" s="18"/>
      <c r="K147" s="18"/>
      <c r="L147" s="37"/>
    </row>
    <row r="148" spans="1:12" ht="15">
      <c r="A148" s="25" t="s">
        <v>55</v>
      </c>
      <c r="C148" s="14"/>
      <c r="D148" s="14"/>
      <c r="E148" s="14"/>
      <c r="F148" s="14"/>
      <c r="G148" s="26"/>
      <c r="H148" s="26"/>
      <c r="I148" s="26"/>
      <c r="J148" s="26"/>
      <c r="K148" s="26"/>
      <c r="L148" s="36"/>
    </row>
    <row r="149" spans="1:12" ht="12.75">
      <c r="A149" s="19" t="s">
        <v>25</v>
      </c>
      <c r="C149" s="14">
        <v>7485924</v>
      </c>
      <c r="D149" s="14">
        <v>5809185</v>
      </c>
      <c r="E149" s="14">
        <v>2069835</v>
      </c>
      <c r="F149" s="14">
        <v>2185237</v>
      </c>
      <c r="G149" s="16">
        <v>10827</v>
      </c>
      <c r="H149" s="16">
        <v>16020</v>
      </c>
      <c r="I149" s="16">
        <v>5773</v>
      </c>
      <c r="J149" s="16">
        <v>506</v>
      </c>
      <c r="K149" s="16">
        <v>120</v>
      </c>
      <c r="L149" s="36"/>
    </row>
    <row r="150" spans="1:12" ht="12.75">
      <c r="A150" s="17"/>
      <c r="C150" s="18"/>
      <c r="D150" s="18"/>
      <c r="E150" s="18"/>
      <c r="F150" s="18"/>
      <c r="G150" s="18"/>
      <c r="H150" s="18"/>
      <c r="I150" s="18"/>
      <c r="J150" s="18"/>
      <c r="K150" s="18"/>
      <c r="L150" s="37"/>
    </row>
    <row r="151" spans="1:12" ht="12.75">
      <c r="A151" s="23" t="s">
        <v>56</v>
      </c>
      <c r="B151" s="14" t="s">
        <v>28</v>
      </c>
      <c r="C151" s="18">
        <f>C149*'RATES '!$E$5</f>
        <v>31163.901612</v>
      </c>
      <c r="D151" s="18">
        <f>D149*'RATES '!$E$9</f>
        <v>21581.122275</v>
      </c>
      <c r="E151" s="18">
        <f>E149*'RATES '!$E$13</f>
        <v>6091.524405</v>
      </c>
      <c r="F151" s="18">
        <f>F149*'RATES '!$E$17</f>
        <v>8614.204254</v>
      </c>
      <c r="G151" s="18">
        <f>G149*'RATES '!$E$21</f>
        <v>6630.2923949999995</v>
      </c>
      <c r="H151" s="18">
        <f>H149*'RATES '!$E$25</f>
        <v>12633.03558</v>
      </c>
      <c r="I151" s="18">
        <f>I149*'RATES '!$E$29</f>
        <v>737.062002</v>
      </c>
      <c r="J151" s="18">
        <f>J149*'RATES '!$E$33</f>
        <v>484.19494199999997</v>
      </c>
      <c r="K151" s="18">
        <f>K149*'RATES '!$E$37</f>
        <v>325.41288000000003</v>
      </c>
      <c r="L151" s="37">
        <f>SUM(C151:K151)</f>
        <v>88260.75034500001</v>
      </c>
    </row>
    <row r="152" spans="1:12" ht="12.75">
      <c r="A152" s="19"/>
      <c r="C152" s="18"/>
      <c r="D152" s="18"/>
      <c r="E152" s="18"/>
      <c r="F152" s="18"/>
      <c r="G152" s="18"/>
      <c r="H152" s="18"/>
      <c r="I152" s="18"/>
      <c r="J152" s="18"/>
      <c r="K152" s="18"/>
      <c r="L152" s="37"/>
    </row>
    <row r="153" spans="3:12" ht="12.75">
      <c r="C153" s="21">
        <f aca="true" t="shared" si="9" ref="C153:K153">SUM(C143:C146)+C151</f>
        <v>31163.901612</v>
      </c>
      <c r="D153" s="21">
        <f t="shared" si="9"/>
        <v>21581.122275</v>
      </c>
      <c r="E153" s="21">
        <f t="shared" si="9"/>
        <v>6091.524405</v>
      </c>
      <c r="F153" s="21">
        <f t="shared" si="9"/>
        <v>8614.204254</v>
      </c>
      <c r="G153" s="21">
        <f t="shared" si="9"/>
        <v>6630.2923949999995</v>
      </c>
      <c r="H153" s="21">
        <f t="shared" si="9"/>
        <v>12633.03558</v>
      </c>
      <c r="I153" s="21">
        <f t="shared" si="9"/>
        <v>737.062002</v>
      </c>
      <c r="J153" s="21">
        <f t="shared" si="9"/>
        <v>484.19494199999997</v>
      </c>
      <c r="K153" s="21">
        <f t="shared" si="9"/>
        <v>325.41288000000003</v>
      </c>
      <c r="L153" s="38">
        <f>SUM(L143:L146)+L151+1.32</f>
        <v>88262.07034500001</v>
      </c>
    </row>
    <row r="155" spans="1:12" ht="15">
      <c r="A155" s="10" t="s">
        <v>52</v>
      </c>
      <c r="B155" s="11"/>
      <c r="C155" s="12"/>
      <c r="D155" s="12"/>
      <c r="E155" s="12"/>
      <c r="F155" s="12"/>
      <c r="G155" s="12"/>
      <c r="H155" s="12"/>
      <c r="I155" s="12"/>
      <c r="J155" s="12"/>
      <c r="K155" s="12"/>
      <c r="L155" s="35"/>
    </row>
    <row r="156" spans="1:12" ht="15">
      <c r="A156" s="25" t="s">
        <v>54</v>
      </c>
      <c r="B156" s="11"/>
      <c r="C156" s="12"/>
      <c r="D156" s="12"/>
      <c r="E156" s="12"/>
      <c r="F156" s="12"/>
      <c r="G156" s="12"/>
      <c r="H156" s="12"/>
      <c r="I156" s="12"/>
      <c r="J156" s="12"/>
      <c r="K156" s="12"/>
      <c r="L156" s="35"/>
    </row>
    <row r="157" spans="1:12" ht="12.75">
      <c r="A157" s="19" t="s">
        <v>24</v>
      </c>
      <c r="C157" s="14">
        <v>-9</v>
      </c>
      <c r="D157" s="14"/>
      <c r="E157" s="14"/>
      <c r="F157" s="14"/>
      <c r="G157" s="14"/>
      <c r="H157" s="14"/>
      <c r="I157" s="14"/>
      <c r="J157" s="15"/>
      <c r="K157" s="15"/>
      <c r="L157" s="36"/>
    </row>
    <row r="158" spans="1:12" ht="12.75">
      <c r="A158" s="19" t="s">
        <v>25</v>
      </c>
      <c r="C158" s="14">
        <v>-400</v>
      </c>
      <c r="D158" s="14"/>
      <c r="E158" s="14"/>
      <c r="F158" s="14">
        <v>-948</v>
      </c>
      <c r="G158" s="16"/>
      <c r="H158" s="16">
        <v>-49</v>
      </c>
      <c r="I158" s="16"/>
      <c r="J158" s="16"/>
      <c r="K158" s="16"/>
      <c r="L158" s="36"/>
    </row>
    <row r="159" spans="1:12" ht="12.75">
      <c r="A159" s="19"/>
      <c r="C159" s="14"/>
      <c r="D159" s="14"/>
      <c r="E159" s="14"/>
      <c r="F159" s="14"/>
      <c r="G159" s="26"/>
      <c r="H159" s="26"/>
      <c r="I159" s="26"/>
      <c r="J159" s="26"/>
      <c r="K159" s="26"/>
      <c r="L159" s="36"/>
    </row>
    <row r="160" spans="1:12" ht="12.75">
      <c r="A160" s="23" t="s">
        <v>26</v>
      </c>
      <c r="B160" s="14" t="s">
        <v>27</v>
      </c>
      <c r="C160" s="18">
        <f>C157*'RATES '!$C$4</f>
        <v>-4.4316</v>
      </c>
      <c r="D160" s="18">
        <f>D157*'RATES '!$C$8</f>
        <v>0</v>
      </c>
      <c r="E160" s="18">
        <f>E157*'RATES '!$C$12</f>
        <v>0</v>
      </c>
      <c r="F160" s="18">
        <f>F157*'RATES '!$C$16</f>
        <v>0</v>
      </c>
      <c r="G160" s="18">
        <f>G157*'RATES '!$C$20</f>
        <v>0</v>
      </c>
      <c r="H160" s="18">
        <f>H157*'RATES '!$C$24</f>
        <v>0</v>
      </c>
      <c r="I160" s="18">
        <f>I157*'RATES '!$C$28</f>
        <v>0</v>
      </c>
      <c r="J160" s="18">
        <f>J157*'RATES '!$C$32</f>
        <v>0</v>
      </c>
      <c r="K160" s="18">
        <f>K157*'RATES '!$C$36</f>
        <v>0</v>
      </c>
      <c r="L160" s="37">
        <f>SUM(C160:K160)</f>
        <v>-4.4316</v>
      </c>
    </row>
    <row r="161" spans="1:12" ht="12.75">
      <c r="A161" s="24"/>
      <c r="B161" s="14" t="s">
        <v>28</v>
      </c>
      <c r="C161" s="18">
        <f>C158*'RATES '!$C$5</f>
        <v>-0.294</v>
      </c>
      <c r="D161" s="18">
        <f>D158*'RATES '!$C$9</f>
        <v>0</v>
      </c>
      <c r="E161" s="18">
        <f>E158*'RATES '!$C$13</f>
        <v>0</v>
      </c>
      <c r="F161" s="18">
        <f>F158*'RATES '!$C$17</f>
        <v>-0.510972</v>
      </c>
      <c r="G161" s="18">
        <f>G158*'RATES '!$C$21</f>
        <v>0</v>
      </c>
      <c r="H161" s="18">
        <f>H158*'RATES '!$C$25</f>
        <v>-10.370213</v>
      </c>
      <c r="I161" s="18">
        <f>I158*'RATES '!$C$29</f>
        <v>0</v>
      </c>
      <c r="J161" s="18">
        <f>J158*'RATES '!$C$33</f>
        <v>0</v>
      </c>
      <c r="K161" s="18">
        <f>K158*'RATES '!$C$37</f>
        <v>0</v>
      </c>
      <c r="L161" s="37">
        <f>SUM(C161:K161)</f>
        <v>-11.175184999999999</v>
      </c>
    </row>
    <row r="162" spans="1:12" ht="12.75">
      <c r="A162" s="23" t="s">
        <v>29</v>
      </c>
      <c r="B162" s="14" t="s">
        <v>27</v>
      </c>
      <c r="C162" s="18">
        <f>C157*'RATES '!$D$4</f>
        <v>-14.507100000000001</v>
      </c>
      <c r="D162" s="18">
        <f>D157*'RATES '!$D$8</f>
        <v>0</v>
      </c>
      <c r="E162" s="18">
        <f>E157*'RATES '!$D$12</f>
        <v>0</v>
      </c>
      <c r="F162" s="18">
        <f>F157*'RATES '!$D$16</f>
        <v>0</v>
      </c>
      <c r="G162" s="18">
        <f>G157*'RATES '!$D$20</f>
        <v>0</v>
      </c>
      <c r="H162" s="18">
        <f>H157*'RATES '!$D$24</f>
        <v>0</v>
      </c>
      <c r="I162" s="18">
        <f>I157*'RATES '!$D$28</f>
        <v>0</v>
      </c>
      <c r="J162" s="18">
        <f>J157*'RATES '!$D$32</f>
        <v>0</v>
      </c>
      <c r="K162" s="18">
        <f>K157*'RATES '!$D$36</f>
        <v>0</v>
      </c>
      <c r="L162" s="37">
        <f>SUM(C162:K162)</f>
        <v>-14.507100000000001</v>
      </c>
    </row>
    <row r="163" spans="1:12" ht="12.75">
      <c r="A163" s="17"/>
      <c r="B163" s="14" t="s">
        <v>28</v>
      </c>
      <c r="C163" s="18">
        <f>C158*'RATES '!$D$5</f>
        <v>-0.96</v>
      </c>
      <c r="D163" s="18">
        <f>D158*'RATES '!$D$9</f>
        <v>0</v>
      </c>
      <c r="E163" s="18">
        <f>E158*'RATES '!$D$13</f>
        <v>0</v>
      </c>
      <c r="F163" s="18">
        <f>F158*'RATES '!$D$17</f>
        <v>-1.7064</v>
      </c>
      <c r="G163" s="18">
        <f>G158*'RATES '!$D$21</f>
        <v>0</v>
      </c>
      <c r="H163" s="18">
        <f>H158*'RATES '!$D$25</f>
        <v>-33.947199999999995</v>
      </c>
      <c r="I163" s="18">
        <f>I158*'RATES '!$D$29</f>
        <v>0</v>
      </c>
      <c r="J163" s="18">
        <f>J158*'RATES '!$D$33</f>
        <v>0</v>
      </c>
      <c r="K163" s="18">
        <f>K158*'RATES '!$D$37</f>
        <v>0</v>
      </c>
      <c r="L163" s="37">
        <f>SUM(C163:K163)</f>
        <v>-36.6136</v>
      </c>
    </row>
    <row r="164" spans="1:12" ht="12.75">
      <c r="A164" s="17"/>
      <c r="C164" s="18"/>
      <c r="D164" s="18"/>
      <c r="E164" s="18"/>
      <c r="F164" s="18"/>
      <c r="G164" s="18"/>
      <c r="H164" s="18"/>
      <c r="I164" s="18"/>
      <c r="J164" s="18"/>
      <c r="K164" s="18"/>
      <c r="L164" s="37"/>
    </row>
    <row r="165" spans="1:12" ht="15">
      <c r="A165" s="25" t="s">
        <v>55</v>
      </c>
      <c r="C165" s="14"/>
      <c r="D165" s="14"/>
      <c r="E165" s="14"/>
      <c r="F165" s="14"/>
      <c r="G165" s="26"/>
      <c r="H165" s="26"/>
      <c r="I165" s="26"/>
      <c r="J165" s="26"/>
      <c r="K165" s="26"/>
      <c r="L165" s="36"/>
    </row>
    <row r="166" spans="1:12" ht="12.75">
      <c r="A166" s="19" t="s">
        <v>25</v>
      </c>
      <c r="C166" s="14">
        <v>7462158</v>
      </c>
      <c r="D166" s="14">
        <v>5706388</v>
      </c>
      <c r="E166" s="14">
        <v>2097141</v>
      </c>
      <c r="F166" s="14">
        <v>2473584</v>
      </c>
      <c r="G166" s="16">
        <v>11287</v>
      </c>
      <c r="H166" s="16">
        <v>17124</v>
      </c>
      <c r="I166" s="16">
        <v>7521</v>
      </c>
      <c r="J166" s="16">
        <v>506</v>
      </c>
      <c r="K166" s="16">
        <v>143</v>
      </c>
      <c r="L166" s="36"/>
    </row>
    <row r="167" spans="1:12" ht="12.75">
      <c r="A167" s="23" t="s">
        <v>56</v>
      </c>
      <c r="B167" s="14" t="s">
        <v>28</v>
      </c>
      <c r="C167" s="18">
        <f>C166*'RATES '!$E$5</f>
        <v>31064.963754</v>
      </c>
      <c r="D167" s="18">
        <f>D166*'RATES '!$E$9</f>
        <v>21199.23142</v>
      </c>
      <c r="E167" s="18">
        <f>E166*'RATES '!$E$13</f>
        <v>6171.885963</v>
      </c>
      <c r="F167" s="18">
        <f>F166*'RATES '!$E$17</f>
        <v>9750.868128</v>
      </c>
      <c r="G167" s="18">
        <f>G166*'RATES '!$E$21</f>
        <v>6911.989495</v>
      </c>
      <c r="H167" s="18">
        <f>H166*'RATES '!$E$25</f>
        <v>13503.626796</v>
      </c>
      <c r="I167" s="18">
        <f>I166*'RATES '!$E$29</f>
        <v>960.236154</v>
      </c>
      <c r="J167" s="18">
        <f>J166*'RATES '!$E$33</f>
        <v>484.19494199999997</v>
      </c>
      <c r="K167" s="18">
        <f>K166*'RATES '!$E$37</f>
        <v>387.783682</v>
      </c>
      <c r="L167" s="37">
        <f>SUM(C167:K167)</f>
        <v>90434.780334</v>
      </c>
    </row>
    <row r="168" spans="1:12" ht="12.75">
      <c r="A168" s="19"/>
      <c r="C168" s="18"/>
      <c r="D168" s="18"/>
      <c r="E168" s="18"/>
      <c r="F168" s="18"/>
      <c r="G168" s="18"/>
      <c r="H168" s="18"/>
      <c r="I168" s="18"/>
      <c r="J168" s="18"/>
      <c r="K168" s="18"/>
      <c r="L168" s="37"/>
    </row>
    <row r="169" spans="3:12" ht="12.75">
      <c r="C169" s="21">
        <f aca="true" t="shared" si="10" ref="C169:K169">SUM(C160:C163)+C167</f>
        <v>31044.771054</v>
      </c>
      <c r="D169" s="21">
        <f t="shared" si="10"/>
        <v>21199.23142</v>
      </c>
      <c r="E169" s="21">
        <f t="shared" si="10"/>
        <v>6171.885963</v>
      </c>
      <c r="F169" s="21">
        <f t="shared" si="10"/>
        <v>9748.650756000001</v>
      </c>
      <c r="G169" s="21">
        <f t="shared" si="10"/>
        <v>6911.989495</v>
      </c>
      <c r="H169" s="21">
        <f t="shared" si="10"/>
        <v>13459.309383</v>
      </c>
      <c r="I169" s="21">
        <f t="shared" si="10"/>
        <v>960.236154</v>
      </c>
      <c r="J169" s="21">
        <f t="shared" si="10"/>
        <v>484.19494199999997</v>
      </c>
      <c r="K169" s="21">
        <f t="shared" si="10"/>
        <v>387.783682</v>
      </c>
      <c r="L169" s="38">
        <f>SUM(L160:L163)+L167-0.02</f>
        <v>90368.032849</v>
      </c>
    </row>
    <row r="171" spans="1:12" ht="15">
      <c r="A171" s="10" t="s">
        <v>53</v>
      </c>
      <c r="B171" s="11"/>
      <c r="C171" s="12"/>
      <c r="D171" s="12"/>
      <c r="E171" s="12"/>
      <c r="F171" s="12"/>
      <c r="G171" s="12"/>
      <c r="H171" s="12"/>
      <c r="I171" s="12"/>
      <c r="J171" s="12"/>
      <c r="K171" s="12"/>
      <c r="L171" s="35"/>
    </row>
    <row r="172" spans="1:12" ht="15">
      <c r="A172" s="25" t="s">
        <v>54</v>
      </c>
      <c r="B172" s="11"/>
      <c r="C172" s="12"/>
      <c r="D172" s="12"/>
      <c r="E172" s="12"/>
      <c r="F172" s="12"/>
      <c r="G172" s="12"/>
      <c r="H172" s="12"/>
      <c r="I172" s="12"/>
      <c r="J172" s="12"/>
      <c r="K172" s="12"/>
      <c r="L172" s="35"/>
    </row>
    <row r="173" spans="1:12" ht="12.75">
      <c r="A173" s="19" t="s">
        <v>24</v>
      </c>
      <c r="C173" s="14"/>
      <c r="D173" s="14"/>
      <c r="E173" s="14"/>
      <c r="F173" s="14"/>
      <c r="G173" s="14"/>
      <c r="H173" s="14"/>
      <c r="I173" s="14"/>
      <c r="J173" s="15"/>
      <c r="K173" s="15"/>
      <c r="L173" s="36"/>
    </row>
    <row r="174" spans="1:12" ht="12.75">
      <c r="A174" s="19" t="s">
        <v>25</v>
      </c>
      <c r="C174" s="14">
        <v>-1</v>
      </c>
      <c r="D174" s="14"/>
      <c r="E174" s="14"/>
      <c r="F174" s="14"/>
      <c r="G174" s="16">
        <v>-939</v>
      </c>
      <c r="H174" s="16"/>
      <c r="I174" s="16"/>
      <c r="J174" s="16"/>
      <c r="K174" s="16"/>
      <c r="L174" s="36"/>
    </row>
    <row r="175" spans="1:12" ht="12.75">
      <c r="A175" s="19"/>
      <c r="C175" s="14"/>
      <c r="D175" s="14"/>
      <c r="E175" s="14"/>
      <c r="F175" s="14"/>
      <c r="G175" s="26"/>
      <c r="H175" s="26"/>
      <c r="I175" s="26"/>
      <c r="J175" s="26"/>
      <c r="K175" s="26"/>
      <c r="L175" s="36"/>
    </row>
    <row r="176" spans="1:12" ht="12.75">
      <c r="A176" s="23" t="s">
        <v>26</v>
      </c>
      <c r="B176" s="14" t="s">
        <v>27</v>
      </c>
      <c r="C176" s="18">
        <f>C173*'RATES '!$C$4</f>
        <v>0</v>
      </c>
      <c r="D176" s="18">
        <f>D173*'RATES '!$C$8</f>
        <v>0</v>
      </c>
      <c r="E176" s="18">
        <f>E173*'RATES '!$C$12</f>
        <v>0</v>
      </c>
      <c r="F176" s="18">
        <f>F173*'RATES '!$C$16</f>
        <v>0</v>
      </c>
      <c r="G176" s="18">
        <f>G173*'RATES '!$C$20</f>
        <v>0</v>
      </c>
      <c r="H176" s="18">
        <f>H173*'RATES '!$C$24</f>
        <v>0</v>
      </c>
      <c r="I176" s="18">
        <f>I173*'RATES '!$C$28</f>
        <v>0</v>
      </c>
      <c r="J176" s="18">
        <f>J173*'RATES '!$C$32</f>
        <v>0</v>
      </c>
      <c r="K176" s="18">
        <f>K173*'RATES '!$C$36</f>
        <v>0</v>
      </c>
      <c r="L176" s="37">
        <f>SUM(C176:K176)</f>
        <v>0</v>
      </c>
    </row>
    <row r="177" spans="1:12" ht="12.75">
      <c r="A177" s="24"/>
      <c r="B177" s="14" t="s">
        <v>28</v>
      </c>
      <c r="C177" s="18">
        <f>C174*'RATES '!$C$5</f>
        <v>-0.000735</v>
      </c>
      <c r="D177" s="18">
        <f>D174*'RATES '!$C$9</f>
        <v>0</v>
      </c>
      <c r="E177" s="18">
        <f>E174*'RATES '!$C$13</f>
        <v>0</v>
      </c>
      <c r="F177" s="18">
        <f>F174*'RATES '!$C$17</f>
        <v>0</v>
      </c>
      <c r="G177" s="18">
        <f>G174*'RATES '!$C$21</f>
        <v>-118.20507599999999</v>
      </c>
      <c r="H177" s="18">
        <f>H174*'RATES '!$C$25</f>
        <v>0</v>
      </c>
      <c r="I177" s="18">
        <f>I174*'RATES '!$C$29</f>
        <v>0</v>
      </c>
      <c r="J177" s="18">
        <f>J174*'RATES '!$C$33</f>
        <v>0</v>
      </c>
      <c r="K177" s="18">
        <f>K174*'RATES '!$C$37</f>
        <v>0</v>
      </c>
      <c r="L177" s="37">
        <f>SUM(C177:K177)</f>
        <v>-118.205811</v>
      </c>
    </row>
    <row r="178" spans="1:12" ht="12.75">
      <c r="A178" s="23" t="s">
        <v>29</v>
      </c>
      <c r="B178" s="14" t="s">
        <v>27</v>
      </c>
      <c r="C178" s="18">
        <f>C173*'RATES '!$D$4</f>
        <v>0</v>
      </c>
      <c r="D178" s="18">
        <f>D173*'RATES '!$D$8</f>
        <v>0</v>
      </c>
      <c r="E178" s="18">
        <f>E173*'RATES '!$D$12</f>
        <v>0</v>
      </c>
      <c r="F178" s="18">
        <f>F173*'RATES '!$D$16</f>
        <v>0</v>
      </c>
      <c r="G178" s="18">
        <f>G173*'RATES '!$D$20</f>
        <v>0</v>
      </c>
      <c r="H178" s="18">
        <f>H173*'RATES '!$D$24</f>
        <v>0</v>
      </c>
      <c r="I178" s="18">
        <f>I173*'RATES '!$D$28</f>
        <v>0</v>
      </c>
      <c r="J178" s="18">
        <f>J173*'RATES '!$D$32</f>
        <v>0</v>
      </c>
      <c r="K178" s="18">
        <f>K173*'RATES '!$D$36</f>
        <v>0</v>
      </c>
      <c r="L178" s="37">
        <f>SUM(C178:K178)</f>
        <v>0</v>
      </c>
    </row>
    <row r="179" spans="1:12" ht="12.75">
      <c r="A179" s="17"/>
      <c r="B179" s="14" t="s">
        <v>28</v>
      </c>
      <c r="C179" s="18">
        <f>C174*'RATES '!$D$5</f>
        <v>-0.0024</v>
      </c>
      <c r="D179" s="18">
        <f>D174*'RATES '!$D$9</f>
        <v>0</v>
      </c>
      <c r="E179" s="18">
        <f>E174*'RATES '!$D$13</f>
        <v>0</v>
      </c>
      <c r="F179" s="18">
        <f>F174*'RATES '!$D$17</f>
        <v>0</v>
      </c>
      <c r="G179" s="18">
        <f>G174*'RATES '!$D$21</f>
        <v>-386.9619</v>
      </c>
      <c r="H179" s="18">
        <f>H174*'RATES '!$D$25</f>
        <v>0</v>
      </c>
      <c r="I179" s="18">
        <f>I174*'RATES '!$D$29</f>
        <v>0</v>
      </c>
      <c r="J179" s="18">
        <f>J174*'RATES '!$D$33</f>
        <v>0</v>
      </c>
      <c r="K179" s="18">
        <f>K174*'RATES '!$D$37</f>
        <v>0</v>
      </c>
      <c r="L179" s="37">
        <f>SUM(C179:K179)</f>
        <v>-386.96430000000004</v>
      </c>
    </row>
    <row r="180" spans="1:12" ht="12.75">
      <c r="A180" s="17"/>
      <c r="C180" s="18"/>
      <c r="D180" s="18"/>
      <c r="E180" s="18"/>
      <c r="F180" s="18"/>
      <c r="G180" s="18"/>
      <c r="H180" s="18"/>
      <c r="I180" s="18"/>
      <c r="J180" s="18"/>
      <c r="K180" s="18"/>
      <c r="L180" s="37"/>
    </row>
    <row r="181" spans="1:12" ht="15">
      <c r="A181" s="25" t="s">
        <v>55</v>
      </c>
      <c r="C181" s="14"/>
      <c r="D181" s="14"/>
      <c r="E181" s="14"/>
      <c r="F181" s="14"/>
      <c r="G181" s="26"/>
      <c r="H181" s="26"/>
      <c r="I181" s="26"/>
      <c r="J181" s="26"/>
      <c r="K181" s="26"/>
      <c r="L181" s="36"/>
    </row>
    <row r="182" spans="1:12" ht="12.75">
      <c r="A182" s="19" t="s">
        <v>25</v>
      </c>
      <c r="C182" s="14">
        <v>7039042</v>
      </c>
      <c r="D182" s="14">
        <v>6022089</v>
      </c>
      <c r="E182" s="14">
        <v>1797913</v>
      </c>
      <c r="F182" s="14">
        <v>2126721</v>
      </c>
      <c r="G182" s="16">
        <v>10364</v>
      </c>
      <c r="H182" s="16">
        <v>17089</v>
      </c>
      <c r="I182" s="16">
        <v>7665</v>
      </c>
      <c r="J182" s="16">
        <v>508</v>
      </c>
      <c r="K182" s="16">
        <v>127</v>
      </c>
      <c r="L182" s="36"/>
    </row>
    <row r="183" spans="1:12" ht="12.75">
      <c r="A183" s="17"/>
      <c r="C183" s="18"/>
      <c r="D183" s="18"/>
      <c r="E183" s="18"/>
      <c r="F183" s="18"/>
      <c r="G183" s="18"/>
      <c r="H183" s="18"/>
      <c r="I183" s="18"/>
      <c r="J183" s="18"/>
      <c r="K183" s="18"/>
      <c r="L183" s="37"/>
    </row>
    <row r="184" spans="1:12" ht="12.75">
      <c r="A184" s="23" t="s">
        <v>56</v>
      </c>
      <c r="B184" s="14" t="s">
        <v>28</v>
      </c>
      <c r="C184" s="18">
        <f>C182*'RATES '!$E$5</f>
        <v>29303.531846</v>
      </c>
      <c r="D184" s="18">
        <f>D182*'RATES '!$E$9</f>
        <v>22372.060635</v>
      </c>
      <c r="E184" s="18">
        <f>E182*'RATES '!$E$13</f>
        <v>5291.257959</v>
      </c>
      <c r="F184" s="18">
        <f>F182*'RATES '!$E$17</f>
        <v>8383.534182000001</v>
      </c>
      <c r="G184" s="18">
        <f>G182*'RATES '!$E$21</f>
        <v>6346.75814</v>
      </c>
      <c r="H184" s="18">
        <f>H182*'RATES '!$E$25</f>
        <v>13476.026531000001</v>
      </c>
      <c r="I184" s="18">
        <f>I182*'RATES '!$E$29</f>
        <v>978.62121</v>
      </c>
      <c r="J184" s="18">
        <f>J182*'RATES '!$E$33</f>
        <v>486.10875599999997</v>
      </c>
      <c r="K184" s="18">
        <f>K182*'RATES '!$E$37</f>
        <v>344.395298</v>
      </c>
      <c r="L184" s="37">
        <f>SUM(C184:K184)</f>
        <v>86982.294557</v>
      </c>
    </row>
    <row r="185" spans="1:12" ht="12.75">
      <c r="A185" s="19"/>
      <c r="C185" s="18"/>
      <c r="D185" s="18"/>
      <c r="E185" s="18"/>
      <c r="F185" s="18"/>
      <c r="G185" s="18"/>
      <c r="H185" s="18"/>
      <c r="I185" s="18"/>
      <c r="J185" s="18"/>
      <c r="K185" s="18"/>
      <c r="L185" s="37"/>
    </row>
    <row r="186" spans="3:12" ht="12.75">
      <c r="C186" s="21">
        <f aca="true" t="shared" si="11" ref="C186:K186">SUM(C176:C179)+C184</f>
        <v>29303.528711000003</v>
      </c>
      <c r="D186" s="21">
        <f t="shared" si="11"/>
        <v>22372.060635</v>
      </c>
      <c r="E186" s="21">
        <f t="shared" si="11"/>
        <v>5291.257959</v>
      </c>
      <c r="F186" s="21">
        <f t="shared" si="11"/>
        <v>8383.534182000001</v>
      </c>
      <c r="G186" s="21">
        <f t="shared" si="11"/>
        <v>5841.5911639999995</v>
      </c>
      <c r="H186" s="21">
        <f t="shared" si="11"/>
        <v>13476.026531000001</v>
      </c>
      <c r="I186" s="21">
        <f t="shared" si="11"/>
        <v>978.62121</v>
      </c>
      <c r="J186" s="21">
        <f t="shared" si="11"/>
        <v>486.10875599999997</v>
      </c>
      <c r="K186" s="21">
        <f t="shared" si="11"/>
        <v>344.395298</v>
      </c>
      <c r="L186" s="38">
        <f>SUM(L176:L179)+L184-0.37</f>
        <v>86476.754446</v>
      </c>
    </row>
    <row r="187" ht="13.5" thickBot="1"/>
    <row r="188" spans="11:12" ht="13.5" thickBot="1">
      <c r="K188" s="28" t="s">
        <v>57</v>
      </c>
      <c r="L188" s="27">
        <f>SUM(L12,L23,L34,L51,L68,L85,L102,L119,L136,L153,L169,L186)</f>
        <v>1255375.564683</v>
      </c>
    </row>
  </sheetData>
  <sheetProtection/>
  <printOptions gridLines="1" horizontalCentered="1"/>
  <pageMargins left="0.5118110236220472" right="0.2362204724409449" top="0.5118110236220472" bottom="0.5118110236220472" header="0.2362204724409449" footer="0.2362204724409449"/>
  <pageSetup horizontalDpi="600" verticalDpi="600" orientation="portrait" scale="52" r:id="rId3"/>
  <headerFooter alignWithMargins="0">
    <oddFooter>&amp;LHaldimand County Hydro Inc.
Page &amp;P of &amp;N&amp;C&amp;"Arial,Bold"&amp;F
&amp;A&amp;R&amp;8J. Scott
September 29, 2011</oddFooter>
  </headerFooter>
  <rowBreaks count="1" manualBreakCount="1">
    <brk id="86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2"/>
  <sheetViews>
    <sheetView view="pageBreakPreview" zoomScale="60" zoomScaleNormal="75" zoomScalePageLayoutView="0" workbookViewId="0" topLeftCell="A1">
      <pane xSplit="2" ySplit="1" topLeftCell="C2" activePane="bottomRight" state="frozen"/>
      <selection pane="topLeft" activeCell="L184" sqref="L184"/>
      <selection pane="topRight" activeCell="L184" sqref="L184"/>
      <selection pane="bottomLeft" activeCell="L184" sqref="L184"/>
      <selection pane="bottomRight" activeCell="C1" sqref="C1:M1"/>
    </sheetView>
  </sheetViews>
  <sheetFormatPr defaultColWidth="9.140625" defaultRowHeight="12.75"/>
  <cols>
    <col min="1" max="1" width="39.140625" style="0" bestFit="1" customWidth="1"/>
    <col min="2" max="2" width="9.7109375" style="14" customWidth="1"/>
    <col min="3" max="3" width="14.140625" style="0" bestFit="1" customWidth="1"/>
    <col min="4" max="4" width="12.57421875" style="0" bestFit="1" customWidth="1"/>
    <col min="5" max="5" width="11.57421875" style="0" bestFit="1" customWidth="1"/>
    <col min="6" max="6" width="11.28125" style="0" bestFit="1" customWidth="1"/>
    <col min="7" max="7" width="11.7109375" style="0" customWidth="1"/>
    <col min="8" max="8" width="11.28125" style="0" bestFit="1" customWidth="1"/>
    <col min="9" max="10" width="10.28125" style="0" bestFit="1" customWidth="1"/>
    <col min="11" max="11" width="12.7109375" style="0" bestFit="1" customWidth="1"/>
    <col min="12" max="12" width="12.57421875" style="0" bestFit="1" customWidth="1"/>
    <col min="13" max="13" width="14.7109375" style="6" bestFit="1" customWidth="1"/>
  </cols>
  <sheetData>
    <row r="1" spans="1:13" s="30" customFormat="1" ht="51">
      <c r="A1" s="29" t="s">
        <v>70</v>
      </c>
      <c r="B1" s="34"/>
      <c r="C1" s="32" t="s">
        <v>17</v>
      </c>
      <c r="D1" s="32" t="s">
        <v>18</v>
      </c>
      <c r="E1" s="32" t="s">
        <v>97</v>
      </c>
      <c r="F1" s="32" t="s">
        <v>96</v>
      </c>
      <c r="G1" s="32" t="s">
        <v>95</v>
      </c>
      <c r="H1" s="32" t="s">
        <v>98</v>
      </c>
      <c r="I1" s="32" t="s">
        <v>19</v>
      </c>
      <c r="J1" s="32" t="s">
        <v>20</v>
      </c>
      <c r="K1" s="32" t="s">
        <v>100</v>
      </c>
      <c r="L1" s="32" t="s">
        <v>99</v>
      </c>
      <c r="M1" s="32" t="s">
        <v>22</v>
      </c>
    </row>
    <row r="2" spans="1:13" ht="12.75">
      <c r="A2" s="8"/>
      <c r="B2" s="9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10" t="s">
        <v>71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35"/>
    </row>
    <row r="4" spans="1:13" ht="15.75">
      <c r="A4" s="25" t="s">
        <v>54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35"/>
    </row>
    <row r="5" spans="1:13" ht="12.75">
      <c r="A5" s="19" t="s">
        <v>24</v>
      </c>
      <c r="C5" s="14"/>
      <c r="D5" s="14"/>
      <c r="E5" s="14"/>
      <c r="F5" s="14"/>
      <c r="G5" s="14"/>
      <c r="H5" s="14"/>
      <c r="I5" s="14"/>
      <c r="J5" s="15"/>
      <c r="K5" s="15"/>
      <c r="L5" s="14"/>
      <c r="M5" s="36"/>
    </row>
    <row r="6" spans="1:13" ht="12.75">
      <c r="A6" s="19" t="s">
        <v>25</v>
      </c>
      <c r="C6" s="14"/>
      <c r="D6" s="14"/>
      <c r="E6" s="14"/>
      <c r="F6" s="14"/>
      <c r="G6" s="16"/>
      <c r="H6" s="16"/>
      <c r="I6" s="16"/>
      <c r="J6" s="16"/>
      <c r="K6" s="16"/>
      <c r="L6" s="14"/>
      <c r="M6" s="36"/>
    </row>
    <row r="7" spans="1:13" ht="12.75">
      <c r="A7" s="19"/>
      <c r="C7" s="14"/>
      <c r="D7" s="14"/>
      <c r="E7" s="14"/>
      <c r="F7" s="14"/>
      <c r="G7" s="26"/>
      <c r="H7" s="26"/>
      <c r="I7" s="26"/>
      <c r="J7" s="26"/>
      <c r="K7" s="26"/>
      <c r="L7" s="14"/>
      <c r="M7" s="36"/>
    </row>
    <row r="8" spans="1:13" ht="12.75">
      <c r="A8" s="23" t="s">
        <v>26</v>
      </c>
      <c r="B8" s="14" t="s">
        <v>27</v>
      </c>
      <c r="C8" s="18">
        <f>C5*'RATES '!$C$4</f>
        <v>0</v>
      </c>
      <c r="D8" s="18">
        <f>D5*'RATES '!$C$8</f>
        <v>0</v>
      </c>
      <c r="E8" s="18">
        <f>E5*'RATES '!$C$12</f>
        <v>0</v>
      </c>
      <c r="F8" s="18">
        <f>F5*'RATES '!$C$16</f>
        <v>0</v>
      </c>
      <c r="G8" s="18">
        <f>G5*'RATES '!$C$20</f>
        <v>0</v>
      </c>
      <c r="H8" s="18">
        <f>H5*'RATES '!$C$24</f>
        <v>0</v>
      </c>
      <c r="I8" s="18">
        <f>I5*'RATES '!$C$28</f>
        <v>0</v>
      </c>
      <c r="J8" s="18">
        <f>J5*'RATES '!$C$32</f>
        <v>0</v>
      </c>
      <c r="K8" s="18">
        <f>K5*'RATES '!$C$36</f>
        <v>0</v>
      </c>
      <c r="L8" s="18"/>
      <c r="M8" s="37">
        <f>SUM(C8:K8)</f>
        <v>0</v>
      </c>
    </row>
    <row r="9" spans="1:13" ht="12.75">
      <c r="A9" s="24"/>
      <c r="B9" s="14" t="s">
        <v>28</v>
      </c>
      <c r="C9" s="18">
        <f>C6*'RATES '!$C$5</f>
        <v>0</v>
      </c>
      <c r="D9" s="18">
        <f>D6*'RATES '!$C$9</f>
        <v>0</v>
      </c>
      <c r="E9" s="18">
        <f>E6*'RATES '!$C$13</f>
        <v>0</v>
      </c>
      <c r="F9" s="18">
        <f>F6*'RATES '!$C$17</f>
        <v>0</v>
      </c>
      <c r="G9" s="18">
        <f>G6*'RATES '!$C$21</f>
        <v>0</v>
      </c>
      <c r="H9" s="18">
        <f>H6*'RATES '!$C$25</f>
        <v>0</v>
      </c>
      <c r="I9" s="18">
        <f>I6*'RATES '!$C$29</f>
        <v>0</v>
      </c>
      <c r="J9" s="18">
        <f>J6*'RATES '!$C$33</f>
        <v>0</v>
      </c>
      <c r="K9" s="18">
        <f>K6*'RATES '!$C$37</f>
        <v>0</v>
      </c>
      <c r="L9" s="18"/>
      <c r="M9" s="37">
        <f>SUM(C9:K9)</f>
        <v>0</v>
      </c>
    </row>
    <row r="10" spans="1:13" ht="12.75">
      <c r="A10" s="23" t="s">
        <v>29</v>
      </c>
      <c r="B10" s="14" t="s">
        <v>27</v>
      </c>
      <c r="C10" s="18">
        <f>C5*'RATES '!$D$4</f>
        <v>0</v>
      </c>
      <c r="D10" s="18">
        <f>D5*'RATES '!$D$8</f>
        <v>0</v>
      </c>
      <c r="E10" s="18">
        <f>E5*'RATES '!$D$12</f>
        <v>0</v>
      </c>
      <c r="F10" s="18">
        <f>F5*'RATES '!$D$16</f>
        <v>0</v>
      </c>
      <c r="G10" s="18">
        <f>G5*'RATES '!$D$20</f>
        <v>0</v>
      </c>
      <c r="H10" s="18">
        <f>H5*'RATES '!$D$24</f>
        <v>0</v>
      </c>
      <c r="I10" s="18">
        <f>I5*'RATES '!$D$28</f>
        <v>0</v>
      </c>
      <c r="J10" s="18">
        <f>J5*'RATES '!$D$32</f>
        <v>0</v>
      </c>
      <c r="K10" s="18">
        <f>K5*'RATES '!$D$36</f>
        <v>0</v>
      </c>
      <c r="L10" s="18"/>
      <c r="M10" s="37">
        <f>SUM(C10:K10)</f>
        <v>0</v>
      </c>
    </row>
    <row r="11" spans="1:13" ht="12.75">
      <c r="A11" s="17"/>
      <c r="B11" s="14" t="s">
        <v>28</v>
      </c>
      <c r="C11" s="18">
        <f>C6*'RATES '!$D$5</f>
        <v>0</v>
      </c>
      <c r="D11" s="18">
        <f>D6*'RATES '!$D$9</f>
        <v>0</v>
      </c>
      <c r="E11" s="18">
        <f>E6*'RATES '!$D$13</f>
        <v>0</v>
      </c>
      <c r="F11" s="18">
        <f>F6*'RATES '!$D$17</f>
        <v>0</v>
      </c>
      <c r="G11" s="18">
        <f>G6*'RATES '!$D$21</f>
        <v>0</v>
      </c>
      <c r="H11" s="18">
        <f>H6*'RATES '!$D$25</f>
        <v>0</v>
      </c>
      <c r="I11" s="18">
        <f>I6*'RATES '!$D$29</f>
        <v>0</v>
      </c>
      <c r="J11" s="18">
        <f>J6*'RATES '!$D$33</f>
        <v>0</v>
      </c>
      <c r="K11" s="18">
        <f>K6*'RATES '!$D$37</f>
        <v>0</v>
      </c>
      <c r="L11" s="18"/>
      <c r="M11" s="37">
        <f>SUM(C11:K11)</f>
        <v>0</v>
      </c>
    </row>
    <row r="12" spans="1:13" ht="12.75">
      <c r="A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37"/>
    </row>
    <row r="13" spans="1:13" ht="15">
      <c r="A13" s="25" t="s">
        <v>55</v>
      </c>
      <c r="C13" s="14"/>
      <c r="D13" s="14"/>
      <c r="E13" s="14"/>
      <c r="F13" s="14"/>
      <c r="G13" s="26"/>
      <c r="H13" s="26"/>
      <c r="I13" s="26"/>
      <c r="J13" s="26"/>
      <c r="K13" s="26"/>
      <c r="L13" s="14"/>
      <c r="M13" s="36"/>
    </row>
    <row r="14" spans="1:13" ht="12.75">
      <c r="A14" s="19" t="s">
        <v>25</v>
      </c>
      <c r="C14" s="14">
        <v>8234979</v>
      </c>
      <c r="D14" s="14">
        <v>7823669</v>
      </c>
      <c r="E14" s="14">
        <v>1813891</v>
      </c>
      <c r="F14" s="14">
        <v>2180989</v>
      </c>
      <c r="G14" s="16">
        <v>9807</v>
      </c>
      <c r="H14" s="16">
        <v>16817</v>
      </c>
      <c r="I14" s="16">
        <v>7596</v>
      </c>
      <c r="J14" s="16">
        <v>508</v>
      </c>
      <c r="K14" s="16">
        <v>114</v>
      </c>
      <c r="L14" s="14">
        <v>4535</v>
      </c>
      <c r="M14" s="36"/>
    </row>
    <row r="15" spans="1:13" ht="12.75">
      <c r="A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37"/>
    </row>
    <row r="16" spans="1:13" ht="12.75">
      <c r="A16" s="23" t="s">
        <v>56</v>
      </c>
      <c r="B16" s="14" t="s">
        <v>28</v>
      </c>
      <c r="C16" s="18">
        <f>C14*'RATES '!$E$5</f>
        <v>34282.217577</v>
      </c>
      <c r="D16" s="18">
        <f>D14*'RATES '!$E$9</f>
        <v>29064.930335</v>
      </c>
      <c r="E16" s="18">
        <f>E14*'RATES '!$E$13</f>
        <v>5338.281213</v>
      </c>
      <c r="F16" s="18">
        <f>F14*'RATES '!$E$17</f>
        <v>8597.458638</v>
      </c>
      <c r="G16" s="18">
        <f>G14*'RATES '!$E$21</f>
        <v>6005.659694999999</v>
      </c>
      <c r="H16" s="18">
        <f>H14*'RATES '!$E$25</f>
        <v>13261.533043000001</v>
      </c>
      <c r="I16" s="18">
        <f>I14*'RATES '!$E$29</f>
        <v>969.8117040000001</v>
      </c>
      <c r="J16" s="18">
        <f>J14*'RATES '!$E$33</f>
        <v>486.10875599999997</v>
      </c>
      <c r="K16" s="18">
        <f>K14*'RATES '!$E$37</f>
        <v>309.142236</v>
      </c>
      <c r="L16" s="18">
        <f>L14*'RATES '!$E$40</f>
        <v>13.346504999999999</v>
      </c>
      <c r="M16" s="37">
        <f>SUM(C16:L16)</f>
        <v>98328.48970199999</v>
      </c>
    </row>
    <row r="17" spans="1:13" ht="12.75">
      <c r="A17" s="1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37"/>
    </row>
    <row r="18" spans="3:13" ht="12.75">
      <c r="C18" s="21">
        <f aca="true" t="shared" si="0" ref="C18:L18">SUM(C8:C11)+C16</f>
        <v>34282.217577</v>
      </c>
      <c r="D18" s="21">
        <f t="shared" si="0"/>
        <v>29064.930335</v>
      </c>
      <c r="E18" s="21">
        <f t="shared" si="0"/>
        <v>5338.281213</v>
      </c>
      <c r="F18" s="21">
        <f t="shared" si="0"/>
        <v>8597.458638</v>
      </c>
      <c r="G18" s="21">
        <f t="shared" si="0"/>
        <v>6005.659694999999</v>
      </c>
      <c r="H18" s="21">
        <f t="shared" si="0"/>
        <v>13261.533043000001</v>
      </c>
      <c r="I18" s="21">
        <f t="shared" si="0"/>
        <v>969.8117040000001</v>
      </c>
      <c r="J18" s="21">
        <f t="shared" si="0"/>
        <v>486.10875599999997</v>
      </c>
      <c r="K18" s="21">
        <f t="shared" si="0"/>
        <v>309.142236</v>
      </c>
      <c r="L18" s="21">
        <f t="shared" si="0"/>
        <v>13.346504999999999</v>
      </c>
      <c r="M18" s="38">
        <f>SUM(M8:M11)+M16-0.15</f>
        <v>98328.339702</v>
      </c>
    </row>
    <row r="19" spans="1:13" ht="12.75">
      <c r="A19" s="8"/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">
      <c r="A20" s="10" t="s">
        <v>72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 ht="15">
      <c r="A21" s="25" t="s">
        <v>54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 ht="12.75">
      <c r="A22" s="19" t="s">
        <v>24</v>
      </c>
      <c r="C22" s="14"/>
      <c r="D22" s="14"/>
      <c r="E22" s="14"/>
      <c r="F22" s="14"/>
      <c r="G22" s="14"/>
      <c r="H22" s="14"/>
      <c r="I22" s="14"/>
      <c r="J22" s="15"/>
      <c r="K22" s="15"/>
      <c r="L22" s="14"/>
      <c r="M22" s="36"/>
    </row>
    <row r="23" spans="1:13" ht="12.75">
      <c r="A23" s="19" t="s">
        <v>25</v>
      </c>
      <c r="C23" s="14"/>
      <c r="D23" s="14"/>
      <c r="E23" s="14"/>
      <c r="F23" s="14">
        <v>5544</v>
      </c>
      <c r="G23" s="16"/>
      <c r="H23" s="16"/>
      <c r="I23" s="16"/>
      <c r="J23" s="16"/>
      <c r="K23" s="16"/>
      <c r="L23" s="14"/>
      <c r="M23" s="36"/>
    </row>
    <row r="24" spans="1:13" ht="12.75">
      <c r="A24" s="19"/>
      <c r="C24" s="14"/>
      <c r="D24" s="14"/>
      <c r="E24" s="14"/>
      <c r="F24" s="14"/>
      <c r="G24" s="26"/>
      <c r="H24" s="26"/>
      <c r="I24" s="26"/>
      <c r="J24" s="26"/>
      <c r="K24" s="26"/>
      <c r="L24" s="14"/>
      <c r="M24" s="36"/>
    </row>
    <row r="25" spans="1:13" ht="12.75">
      <c r="A25" s="23" t="s">
        <v>26</v>
      </c>
      <c r="B25" s="14" t="s">
        <v>27</v>
      </c>
      <c r="C25" s="18">
        <f>C22*'RATES '!$C$4</f>
        <v>0</v>
      </c>
      <c r="D25" s="18">
        <f>D22*'RATES '!$C$8</f>
        <v>0</v>
      </c>
      <c r="E25" s="18">
        <f>E22*'RATES '!$C$12</f>
        <v>0</v>
      </c>
      <c r="F25" s="18">
        <f>F22*'RATES '!$C$16</f>
        <v>0</v>
      </c>
      <c r="G25" s="18">
        <f>G22*'RATES '!$C$20</f>
        <v>0</v>
      </c>
      <c r="H25" s="18">
        <f>H22*'RATES '!$C$24</f>
        <v>0</v>
      </c>
      <c r="I25" s="18">
        <f>I22*'RATES '!$C$28</f>
        <v>0</v>
      </c>
      <c r="J25" s="18">
        <f>J22*'RATES '!$C$32</f>
        <v>0</v>
      </c>
      <c r="K25" s="18">
        <f>K22*'RATES '!$C$36</f>
        <v>0</v>
      </c>
      <c r="L25" s="18"/>
      <c r="M25" s="37">
        <f>SUM(C25:K25)</f>
        <v>0</v>
      </c>
    </row>
    <row r="26" spans="1:13" ht="12.75">
      <c r="A26" s="24"/>
      <c r="B26" s="14" t="s">
        <v>28</v>
      </c>
      <c r="C26" s="18">
        <f>C23*'RATES '!$C$5</f>
        <v>0</v>
      </c>
      <c r="D26" s="18">
        <f>D23*'RATES '!$C$9</f>
        <v>0</v>
      </c>
      <c r="E26" s="18">
        <f>E23*'RATES '!$C$13</f>
        <v>0</v>
      </c>
      <c r="F26" s="18">
        <f>F23*'RATES '!$C$17</f>
        <v>2.988216</v>
      </c>
      <c r="G26" s="18">
        <f>G23*'RATES '!$C$21</f>
        <v>0</v>
      </c>
      <c r="H26" s="18">
        <f>H23*'RATES '!$C$25</f>
        <v>0</v>
      </c>
      <c r="I26" s="18">
        <f>I23*'RATES '!$C$29</f>
        <v>0</v>
      </c>
      <c r="J26" s="18">
        <f>J23*'RATES '!$C$33</f>
        <v>0</v>
      </c>
      <c r="K26" s="18">
        <f>K23*'RATES '!$C$37</f>
        <v>0</v>
      </c>
      <c r="L26" s="18"/>
      <c r="M26" s="37">
        <f>SUM(C26:K26)</f>
        <v>2.988216</v>
      </c>
    </row>
    <row r="27" spans="1:13" ht="12.75">
      <c r="A27" s="23" t="s">
        <v>29</v>
      </c>
      <c r="B27" s="14" t="s">
        <v>27</v>
      </c>
      <c r="C27" s="18">
        <f>C22*'RATES '!$D$4</f>
        <v>0</v>
      </c>
      <c r="D27" s="18">
        <f>D22*'RATES '!$D$8</f>
        <v>0</v>
      </c>
      <c r="E27" s="18">
        <f>E22*'RATES '!$D$12</f>
        <v>0</v>
      </c>
      <c r="F27" s="18">
        <f>F22*'RATES '!$D$16</f>
        <v>0</v>
      </c>
      <c r="G27" s="18">
        <f>G22*'RATES '!$D$20</f>
        <v>0</v>
      </c>
      <c r="H27" s="18">
        <f>H22*'RATES '!$D$24</f>
        <v>0</v>
      </c>
      <c r="I27" s="18">
        <f>I22*'RATES '!$D$28</f>
        <v>0</v>
      </c>
      <c r="J27" s="18">
        <f>J22*'RATES '!$D$32</f>
        <v>0</v>
      </c>
      <c r="K27" s="18">
        <f>K22*'RATES '!$D$36</f>
        <v>0</v>
      </c>
      <c r="L27" s="18"/>
      <c r="M27" s="37">
        <f>SUM(C27:K27)</f>
        <v>0</v>
      </c>
    </row>
    <row r="28" spans="1:13" ht="12.75">
      <c r="A28" s="17"/>
      <c r="B28" s="14" t="s">
        <v>28</v>
      </c>
      <c r="C28" s="18">
        <f>C23*'RATES '!$D$5</f>
        <v>0</v>
      </c>
      <c r="D28" s="18">
        <f>D23*'RATES '!$D$9</f>
        <v>0</v>
      </c>
      <c r="E28" s="18">
        <f>E23*'RATES '!$D$13</f>
        <v>0</v>
      </c>
      <c r="F28" s="18">
        <f>F23*'RATES '!$D$17</f>
        <v>9.9792</v>
      </c>
      <c r="G28" s="18">
        <f>G23*'RATES '!$D$21</f>
        <v>0</v>
      </c>
      <c r="H28" s="18">
        <f>H23*'RATES '!$D$25</f>
        <v>0</v>
      </c>
      <c r="I28" s="18">
        <f>I23*'RATES '!$D$29</f>
        <v>0</v>
      </c>
      <c r="J28" s="18">
        <f>J23*'RATES '!$D$33</f>
        <v>0</v>
      </c>
      <c r="K28" s="18">
        <f>K23*'RATES '!$D$37</f>
        <v>0</v>
      </c>
      <c r="L28" s="18"/>
      <c r="M28" s="37">
        <f>SUM(C28:K28)</f>
        <v>9.9792</v>
      </c>
    </row>
    <row r="29" spans="1:13" ht="12.75">
      <c r="A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37"/>
    </row>
    <row r="30" spans="1:13" ht="15">
      <c r="A30" s="25" t="s">
        <v>55</v>
      </c>
      <c r="C30" s="14"/>
      <c r="D30" s="14"/>
      <c r="E30" s="14"/>
      <c r="F30" s="14"/>
      <c r="G30" s="26"/>
      <c r="H30" s="26"/>
      <c r="I30" s="26"/>
      <c r="J30" s="26"/>
      <c r="K30" s="26"/>
      <c r="L30" s="14"/>
      <c r="M30" s="36"/>
    </row>
    <row r="31" spans="1:13" ht="12.75">
      <c r="A31" s="19" t="s">
        <v>25</v>
      </c>
      <c r="C31" s="14">
        <v>9430048</v>
      </c>
      <c r="D31" s="14">
        <v>8285097</v>
      </c>
      <c r="E31" s="14">
        <v>2266635</v>
      </c>
      <c r="F31" s="14">
        <v>2776824</v>
      </c>
      <c r="G31" s="16">
        <v>10882</v>
      </c>
      <c r="H31" s="16">
        <v>16607</v>
      </c>
      <c r="I31" s="16">
        <v>7670</v>
      </c>
      <c r="J31" s="16">
        <v>508</v>
      </c>
      <c r="K31" s="16">
        <v>126</v>
      </c>
      <c r="L31" s="14">
        <v>4535</v>
      </c>
      <c r="M31" s="36"/>
    </row>
    <row r="32" spans="1:13" ht="12.75">
      <c r="A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37"/>
    </row>
    <row r="33" spans="1:13" ht="12.75">
      <c r="A33" s="23" t="s">
        <v>56</v>
      </c>
      <c r="B33" s="14" t="s">
        <v>28</v>
      </c>
      <c r="C33" s="18">
        <f>C31*'RATES '!$E$5</f>
        <v>39257.289824</v>
      </c>
      <c r="D33" s="18">
        <f>D31*'RATES '!$E$9</f>
        <v>30779.135355</v>
      </c>
      <c r="E33" s="18">
        <f>E31*'RATES '!$E$13</f>
        <v>6670.706805</v>
      </c>
      <c r="F33" s="18">
        <f>F31*'RATES '!$E$17</f>
        <v>10946.240208000001</v>
      </c>
      <c r="G33" s="18">
        <f>G31*'RATES '!$E$21</f>
        <v>6663.973569999999</v>
      </c>
      <c r="H33" s="18">
        <f>H31*'RATES '!$E$25</f>
        <v>13095.931453000001</v>
      </c>
      <c r="I33" s="18">
        <f>I31*'RATES '!$E$29</f>
        <v>979.25958</v>
      </c>
      <c r="J33" s="18">
        <f>J31*'RATES '!$E$33</f>
        <v>486.10875599999997</v>
      </c>
      <c r="K33" s="18">
        <f>K31*'RATES '!$E$37</f>
        <v>341.68352400000003</v>
      </c>
      <c r="L33" s="18">
        <f>L31*'RATES '!$E$40</f>
        <v>13.346504999999999</v>
      </c>
      <c r="M33" s="37">
        <f>SUM(C33:L33)</f>
        <v>109233.67557999998</v>
      </c>
    </row>
    <row r="34" spans="1:13" ht="12.75">
      <c r="A34" s="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37"/>
    </row>
    <row r="35" spans="3:13" ht="12.75">
      <c r="C35" s="21">
        <f aca="true" t="shared" si="1" ref="C35:L35">SUM(C25:C28)+C33</f>
        <v>39257.289824</v>
      </c>
      <c r="D35" s="21">
        <f t="shared" si="1"/>
        <v>30779.135355</v>
      </c>
      <c r="E35" s="21">
        <f t="shared" si="1"/>
        <v>6670.706805</v>
      </c>
      <c r="F35" s="21">
        <f t="shared" si="1"/>
        <v>10959.207624</v>
      </c>
      <c r="G35" s="21">
        <f t="shared" si="1"/>
        <v>6663.973569999999</v>
      </c>
      <c r="H35" s="21">
        <f t="shared" si="1"/>
        <v>13095.931453000001</v>
      </c>
      <c r="I35" s="21">
        <f t="shared" si="1"/>
        <v>979.25958</v>
      </c>
      <c r="J35" s="21">
        <f t="shared" si="1"/>
        <v>486.10875599999997</v>
      </c>
      <c r="K35" s="21">
        <f t="shared" si="1"/>
        <v>341.68352400000003</v>
      </c>
      <c r="L35" s="21">
        <f t="shared" si="1"/>
        <v>13.346504999999999</v>
      </c>
      <c r="M35" s="38">
        <f>SUM(M25:M28)+M33+1.22</f>
        <v>109247.86299599998</v>
      </c>
    </row>
    <row r="37" spans="1:13" ht="15">
      <c r="A37" s="10" t="s">
        <v>73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 ht="15">
      <c r="A38" s="25" t="s">
        <v>54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 ht="12.75">
      <c r="A39" s="19" t="s">
        <v>24</v>
      </c>
      <c r="C39" s="14"/>
      <c r="D39" s="14"/>
      <c r="E39" s="14"/>
      <c r="F39" s="14"/>
      <c r="G39" s="14"/>
      <c r="H39" s="14"/>
      <c r="I39" s="14"/>
      <c r="J39" s="15"/>
      <c r="K39" s="15"/>
      <c r="L39" s="14"/>
      <c r="M39" s="36"/>
    </row>
    <row r="40" spans="1:13" ht="12.75">
      <c r="A40" s="19" t="s">
        <v>25</v>
      </c>
      <c r="C40" s="14"/>
      <c r="D40" s="14"/>
      <c r="E40" s="14"/>
      <c r="F40" s="14">
        <v>-1000</v>
      </c>
      <c r="G40" s="16"/>
      <c r="H40" s="16"/>
      <c r="I40" s="16"/>
      <c r="J40" s="16"/>
      <c r="K40" s="16"/>
      <c r="L40" s="14"/>
      <c r="M40" s="36"/>
    </row>
    <row r="41" spans="1:13" ht="12.75">
      <c r="A41" s="19"/>
      <c r="C41" s="14"/>
      <c r="D41" s="14"/>
      <c r="E41" s="14"/>
      <c r="F41" s="14"/>
      <c r="G41" s="26"/>
      <c r="H41" s="26"/>
      <c r="I41" s="26"/>
      <c r="J41" s="26"/>
      <c r="K41" s="26"/>
      <c r="L41" s="14"/>
      <c r="M41" s="36"/>
    </row>
    <row r="42" spans="1:13" ht="12.75">
      <c r="A42" s="23" t="s">
        <v>26</v>
      </c>
      <c r="B42" s="14" t="s">
        <v>27</v>
      </c>
      <c r="C42" s="18">
        <f>C39*'RATES '!$C$4</f>
        <v>0</v>
      </c>
      <c r="D42" s="18">
        <f>D39*'RATES '!$C$8</f>
        <v>0</v>
      </c>
      <c r="E42" s="18">
        <f>E39*'RATES '!$C$12</f>
        <v>0</v>
      </c>
      <c r="F42" s="18">
        <f>F39*'RATES '!$C$16</f>
        <v>0</v>
      </c>
      <c r="G42" s="18">
        <f>G39*'RATES '!$C$20</f>
        <v>0</v>
      </c>
      <c r="H42" s="18">
        <f>H39*'RATES '!$C$24</f>
        <v>0</v>
      </c>
      <c r="I42" s="18">
        <f>I39*'RATES '!$C$28</f>
        <v>0</v>
      </c>
      <c r="J42" s="18">
        <f>J39*'RATES '!$C$32</f>
        <v>0</v>
      </c>
      <c r="K42" s="18">
        <f>K39*'RATES '!$C$36</f>
        <v>0</v>
      </c>
      <c r="L42" s="18"/>
      <c r="M42" s="37">
        <f>SUM(C42:K42)</f>
        <v>0</v>
      </c>
    </row>
    <row r="43" spans="1:13" ht="12.75">
      <c r="A43" s="24"/>
      <c r="B43" s="14" t="s">
        <v>28</v>
      </c>
      <c r="C43" s="18">
        <f>C40*'RATES '!$C$5</f>
        <v>0</v>
      </c>
      <c r="D43" s="18">
        <f>D40*'RATES '!$C$9</f>
        <v>0</v>
      </c>
      <c r="E43" s="18">
        <f>E40*'RATES '!$C$13</f>
        <v>0</v>
      </c>
      <c r="F43" s="18">
        <f>F40*'RATES '!$C$17</f>
        <v>-0.539</v>
      </c>
      <c r="G43" s="18">
        <f>G40*'RATES '!$C$21</f>
        <v>0</v>
      </c>
      <c r="H43" s="18">
        <f>H40*'RATES '!$C$25</f>
        <v>0</v>
      </c>
      <c r="I43" s="18">
        <f>I40*'RATES '!$C$29</f>
        <v>0</v>
      </c>
      <c r="J43" s="18">
        <f>J40*'RATES '!$C$33</f>
        <v>0</v>
      </c>
      <c r="K43" s="18">
        <f>K40*'RATES '!$C$37</f>
        <v>0</v>
      </c>
      <c r="L43" s="18"/>
      <c r="M43" s="37">
        <f>SUM(C43:K43)</f>
        <v>-0.539</v>
      </c>
    </row>
    <row r="44" spans="1:13" ht="12.75">
      <c r="A44" s="23" t="s">
        <v>29</v>
      </c>
      <c r="B44" s="14" t="s">
        <v>27</v>
      </c>
      <c r="C44" s="18">
        <f>C39*'RATES '!$D$4</f>
        <v>0</v>
      </c>
      <c r="D44" s="18">
        <f>D39*'RATES '!$D$8</f>
        <v>0</v>
      </c>
      <c r="E44" s="18">
        <f>E39*'RATES '!$D$12</f>
        <v>0</v>
      </c>
      <c r="F44" s="18">
        <f>F39*'RATES '!$D$16</f>
        <v>0</v>
      </c>
      <c r="G44" s="18">
        <f>G39*'RATES '!$D$20</f>
        <v>0</v>
      </c>
      <c r="H44" s="18">
        <f>H39*'RATES '!$D$24</f>
        <v>0</v>
      </c>
      <c r="I44" s="18">
        <f>I39*'RATES '!$D$28</f>
        <v>0</v>
      </c>
      <c r="J44" s="18">
        <f>J39*'RATES '!$D$32</f>
        <v>0</v>
      </c>
      <c r="K44" s="18">
        <f>K39*'RATES '!$D$36</f>
        <v>0</v>
      </c>
      <c r="L44" s="18"/>
      <c r="M44" s="37">
        <f>SUM(C44:K44)</f>
        <v>0</v>
      </c>
    </row>
    <row r="45" spans="1:13" ht="12.75">
      <c r="A45" s="17"/>
      <c r="B45" s="14" t="s">
        <v>28</v>
      </c>
      <c r="C45" s="18">
        <f>C40*'RATES '!$D$5</f>
        <v>0</v>
      </c>
      <c r="D45" s="18">
        <f>D40*'RATES '!$D$9</f>
        <v>0</v>
      </c>
      <c r="E45" s="18">
        <f>E40*'RATES '!$D$13</f>
        <v>0</v>
      </c>
      <c r="F45" s="18">
        <f>F40*'RATES '!$D$17</f>
        <v>-1.8</v>
      </c>
      <c r="G45" s="18">
        <f>G40*'RATES '!$D$21</f>
        <v>0</v>
      </c>
      <c r="H45" s="18">
        <f>H40*'RATES '!$D$25</f>
        <v>0</v>
      </c>
      <c r="I45" s="18">
        <f>I40*'RATES '!$D$29</f>
        <v>0</v>
      </c>
      <c r="J45" s="18">
        <f>J40*'RATES '!$D$33</f>
        <v>0</v>
      </c>
      <c r="K45" s="18">
        <f>K40*'RATES '!$D$37</f>
        <v>0</v>
      </c>
      <c r="L45" s="18"/>
      <c r="M45" s="37">
        <f>SUM(C45:K45)</f>
        <v>-1.8</v>
      </c>
    </row>
    <row r="46" spans="1:13" ht="12.75">
      <c r="A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37"/>
    </row>
    <row r="47" spans="1:13" ht="15">
      <c r="A47" s="25" t="s">
        <v>55</v>
      </c>
      <c r="C47" s="14"/>
      <c r="D47" s="14"/>
      <c r="E47" s="14"/>
      <c r="F47" s="14"/>
      <c r="G47" s="26"/>
      <c r="H47" s="26"/>
      <c r="I47" s="26"/>
      <c r="J47" s="26"/>
      <c r="K47" s="26"/>
      <c r="L47" s="14"/>
      <c r="M47" s="36"/>
    </row>
    <row r="48" spans="1:13" ht="12.75">
      <c r="A48" s="19" t="s">
        <v>25</v>
      </c>
      <c r="C48" s="14">
        <v>8679358</v>
      </c>
      <c r="D48" s="14">
        <v>7700615</v>
      </c>
      <c r="E48" s="14">
        <v>2093685</v>
      </c>
      <c r="F48" s="14">
        <v>2844745</v>
      </c>
      <c r="G48" s="16">
        <v>9824</v>
      </c>
      <c r="H48" s="16">
        <v>16443</v>
      </c>
      <c r="I48" s="16">
        <v>7708</v>
      </c>
      <c r="J48" s="16">
        <v>508</v>
      </c>
      <c r="K48" s="16">
        <v>133</v>
      </c>
      <c r="L48" s="14">
        <v>4535</v>
      </c>
      <c r="M48" s="36"/>
    </row>
    <row r="49" spans="1:13" ht="12.75">
      <c r="A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37"/>
    </row>
    <row r="50" spans="1:13" ht="12.75">
      <c r="A50" s="23" t="s">
        <v>56</v>
      </c>
      <c r="B50" s="14" t="s">
        <v>28</v>
      </c>
      <c r="C50" s="18">
        <f>C48*'RATES '!$E$5</f>
        <v>36132.167354</v>
      </c>
      <c r="D50" s="18">
        <f>D48*'RATES '!$E$9</f>
        <v>28607.784725</v>
      </c>
      <c r="E50" s="18">
        <f>E48*'RATES '!$E$13</f>
        <v>6161.7149549999995</v>
      </c>
      <c r="F50" s="18">
        <f>F48*'RATES '!$E$17</f>
        <v>11213.98479</v>
      </c>
      <c r="G50" s="18">
        <f>G48*'RATES '!$E$21</f>
        <v>6016.07024</v>
      </c>
      <c r="H50" s="18">
        <f>H48*'RATES '!$E$25</f>
        <v>12966.604497</v>
      </c>
      <c r="I50" s="18">
        <f>I48*'RATES '!$E$29</f>
        <v>984.1111920000001</v>
      </c>
      <c r="J50" s="18">
        <f>J48*'RATES '!$E$33</f>
        <v>486.10875599999997</v>
      </c>
      <c r="K50" s="18">
        <f>K48*'RATES '!$E$37</f>
        <v>360.66594200000003</v>
      </c>
      <c r="L50" s="18">
        <f>L48*'RATES '!$E$40</f>
        <v>13.346504999999999</v>
      </c>
      <c r="M50" s="37">
        <f>SUM(C50:L50)</f>
        <v>102942.558956</v>
      </c>
    </row>
    <row r="51" spans="1:13" ht="12.75">
      <c r="A51" s="19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37"/>
    </row>
    <row r="52" spans="3:13" ht="12.75">
      <c r="C52" s="21">
        <f aca="true" t="shared" si="2" ref="C52:L52">SUM(C42:C45)+C50</f>
        <v>36132.167354</v>
      </c>
      <c r="D52" s="21">
        <f t="shared" si="2"/>
        <v>28607.784725</v>
      </c>
      <c r="E52" s="21">
        <f t="shared" si="2"/>
        <v>6161.7149549999995</v>
      </c>
      <c r="F52" s="21">
        <f t="shared" si="2"/>
        <v>11211.64579</v>
      </c>
      <c r="G52" s="21">
        <f t="shared" si="2"/>
        <v>6016.07024</v>
      </c>
      <c r="H52" s="21">
        <f t="shared" si="2"/>
        <v>12966.604497</v>
      </c>
      <c r="I52" s="21">
        <f t="shared" si="2"/>
        <v>984.1111920000001</v>
      </c>
      <c r="J52" s="21">
        <f t="shared" si="2"/>
        <v>486.10875599999997</v>
      </c>
      <c r="K52" s="21">
        <f t="shared" si="2"/>
        <v>360.66594200000003</v>
      </c>
      <c r="L52" s="21">
        <f t="shared" si="2"/>
        <v>13.346504999999999</v>
      </c>
      <c r="M52" s="38">
        <f>SUM(M42:M45)+M50+1.05</f>
        <v>102941.26995599999</v>
      </c>
    </row>
    <row r="54" spans="1:13" ht="15">
      <c r="A54" s="10" t="s">
        <v>74</v>
      </c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 ht="15">
      <c r="A55" s="25" t="s">
        <v>54</v>
      </c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 ht="12.75">
      <c r="A56" s="19" t="s">
        <v>24</v>
      </c>
      <c r="C56" s="14"/>
      <c r="D56" s="14"/>
      <c r="E56" s="14"/>
      <c r="F56" s="14"/>
      <c r="G56" s="14"/>
      <c r="H56" s="14"/>
      <c r="I56" s="14"/>
      <c r="J56" s="15"/>
      <c r="K56" s="15"/>
      <c r="L56" s="14"/>
      <c r="M56" s="36"/>
    </row>
    <row r="57" spans="1:13" ht="12.75">
      <c r="A57" s="19" t="s">
        <v>25</v>
      </c>
      <c r="C57" s="14"/>
      <c r="D57" s="14"/>
      <c r="E57" s="14"/>
      <c r="F57" s="14"/>
      <c r="G57" s="16"/>
      <c r="H57" s="16">
        <v>-46</v>
      </c>
      <c r="I57" s="16"/>
      <c r="J57" s="16"/>
      <c r="K57" s="16"/>
      <c r="L57" s="14"/>
      <c r="M57" s="36"/>
    </row>
    <row r="58" spans="1:13" ht="12.75">
      <c r="A58" s="19"/>
      <c r="C58" s="14"/>
      <c r="D58" s="14"/>
      <c r="E58" s="14"/>
      <c r="F58" s="14"/>
      <c r="G58" s="26"/>
      <c r="H58" s="26"/>
      <c r="I58" s="26"/>
      <c r="J58" s="26"/>
      <c r="K58" s="26"/>
      <c r="L58" s="14"/>
      <c r="M58" s="36"/>
    </row>
    <row r="59" spans="1:13" ht="12.75">
      <c r="A59" s="23" t="s">
        <v>26</v>
      </c>
      <c r="B59" s="14" t="s">
        <v>27</v>
      </c>
      <c r="C59" s="18">
        <f>C56*'RATES '!$C$4</f>
        <v>0</v>
      </c>
      <c r="D59" s="18">
        <f>D56*'RATES '!$C$8</f>
        <v>0</v>
      </c>
      <c r="E59" s="18">
        <f>E56*'RATES '!$C$12</f>
        <v>0</v>
      </c>
      <c r="F59" s="18">
        <f>F56*'RATES '!$C$16</f>
        <v>0</v>
      </c>
      <c r="G59" s="18">
        <f>G56*'RATES '!$C$20</f>
        <v>0</v>
      </c>
      <c r="H59" s="18">
        <f>H56*'RATES '!$C$24</f>
        <v>0</v>
      </c>
      <c r="I59" s="18">
        <f>I56*'RATES '!$C$28</f>
        <v>0</v>
      </c>
      <c r="J59" s="18">
        <f>J56*'RATES '!$C$32</f>
        <v>0</v>
      </c>
      <c r="K59" s="18">
        <f>K56*'RATES '!$C$36</f>
        <v>0</v>
      </c>
      <c r="L59" s="18"/>
      <c r="M59" s="37">
        <f>SUM(C59:K59)</f>
        <v>0</v>
      </c>
    </row>
    <row r="60" spans="1:13" ht="12.75">
      <c r="A60" s="24"/>
      <c r="B60" s="14" t="s">
        <v>28</v>
      </c>
      <c r="C60" s="18">
        <f>C57*'RATES '!$C$5</f>
        <v>0</v>
      </c>
      <c r="D60" s="18">
        <f>D57*'RATES '!$C$9</f>
        <v>0</v>
      </c>
      <c r="E60" s="18">
        <f>E57*'RATES '!$C$13</f>
        <v>0</v>
      </c>
      <c r="F60" s="18">
        <f>F57*'RATES '!$C$17</f>
        <v>0</v>
      </c>
      <c r="G60" s="18">
        <f>G57*'RATES '!$C$21</f>
        <v>0</v>
      </c>
      <c r="H60" s="18">
        <f>H57*'RATES '!$C$25</f>
        <v>-9.735301999999999</v>
      </c>
      <c r="I60" s="18">
        <f>I57*'RATES '!$C$29</f>
        <v>0</v>
      </c>
      <c r="J60" s="18">
        <f>J57*'RATES '!$C$33</f>
        <v>0</v>
      </c>
      <c r="K60" s="18">
        <f>K57*'RATES '!$C$37</f>
        <v>0</v>
      </c>
      <c r="L60" s="18"/>
      <c r="M60" s="37">
        <f>SUM(C60:K60)</f>
        <v>-9.735301999999999</v>
      </c>
    </row>
    <row r="61" spans="1:13" ht="12.75">
      <c r="A61" s="23" t="s">
        <v>29</v>
      </c>
      <c r="B61" s="14" t="s">
        <v>27</v>
      </c>
      <c r="C61" s="18">
        <f>C56*'RATES '!$D$4</f>
        <v>0</v>
      </c>
      <c r="D61" s="18">
        <f>D56*'RATES '!$D$8</f>
        <v>0</v>
      </c>
      <c r="E61" s="18">
        <f>E56*'RATES '!$D$12</f>
        <v>0</v>
      </c>
      <c r="F61" s="18">
        <f>F56*'RATES '!$D$16</f>
        <v>0</v>
      </c>
      <c r="G61" s="18">
        <f>G56*'RATES '!$D$20</f>
        <v>0</v>
      </c>
      <c r="H61" s="18">
        <f>H56*'RATES '!$D$24</f>
        <v>0</v>
      </c>
      <c r="I61" s="18">
        <f>I56*'RATES '!$D$28</f>
        <v>0</v>
      </c>
      <c r="J61" s="18">
        <f>J56*'RATES '!$D$32</f>
        <v>0</v>
      </c>
      <c r="K61" s="18">
        <f>K56*'RATES '!$D$36</f>
        <v>0</v>
      </c>
      <c r="L61" s="18"/>
      <c r="M61" s="37">
        <f>SUM(C61:K61)</f>
        <v>0</v>
      </c>
    </row>
    <row r="62" spans="1:13" ht="12.75">
      <c r="A62" s="17"/>
      <c r="B62" s="14" t="s">
        <v>28</v>
      </c>
      <c r="C62" s="18">
        <f>C57*'RATES '!$D$5</f>
        <v>0</v>
      </c>
      <c r="D62" s="18">
        <f>D57*'RATES '!$D$9</f>
        <v>0</v>
      </c>
      <c r="E62" s="18">
        <f>E57*'RATES '!$D$13</f>
        <v>0</v>
      </c>
      <c r="F62" s="18">
        <f>F57*'RATES '!$D$17</f>
        <v>0</v>
      </c>
      <c r="G62" s="18">
        <f>G57*'RATES '!$D$21</f>
        <v>0</v>
      </c>
      <c r="H62" s="18">
        <f>H57*'RATES '!$D$25</f>
        <v>-31.8688</v>
      </c>
      <c r="I62" s="18">
        <f>I57*'RATES '!$D$29</f>
        <v>0</v>
      </c>
      <c r="J62" s="18">
        <f>J57*'RATES '!$D$33</f>
        <v>0</v>
      </c>
      <c r="K62" s="18">
        <f>K57*'RATES '!$D$37</f>
        <v>0</v>
      </c>
      <c r="L62" s="18"/>
      <c r="M62" s="37">
        <f>SUM(C62:K62)</f>
        <v>-31.8688</v>
      </c>
    </row>
    <row r="63" spans="1:13" ht="12.75">
      <c r="A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37"/>
    </row>
    <row r="64" spans="1:13" ht="15">
      <c r="A64" s="25" t="s">
        <v>55</v>
      </c>
      <c r="C64" s="14"/>
      <c r="D64" s="14"/>
      <c r="E64" s="14"/>
      <c r="F64" s="14"/>
      <c r="G64" s="26"/>
      <c r="H64" s="26"/>
      <c r="I64" s="26"/>
      <c r="J64" s="26"/>
      <c r="K64" s="26"/>
      <c r="L64" s="14"/>
      <c r="M64" s="36"/>
    </row>
    <row r="65" spans="1:13" ht="12.75">
      <c r="A65" s="19" t="s">
        <v>25</v>
      </c>
      <c r="C65" s="14">
        <v>7319045</v>
      </c>
      <c r="D65" s="14">
        <v>6484872</v>
      </c>
      <c r="E65" s="14">
        <v>1992407</v>
      </c>
      <c r="F65" s="14">
        <v>2165172</v>
      </c>
      <c r="G65" s="16">
        <v>8828</v>
      </c>
      <c r="H65" s="16">
        <v>13491</v>
      </c>
      <c r="I65" s="16">
        <v>4606</v>
      </c>
      <c r="J65" s="16">
        <v>504</v>
      </c>
      <c r="K65" s="16">
        <v>114</v>
      </c>
      <c r="L65" s="14">
        <v>4535</v>
      </c>
      <c r="M65" s="36"/>
    </row>
    <row r="66" spans="1:13" ht="12.75">
      <c r="A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37"/>
    </row>
    <row r="67" spans="1:13" ht="12.75">
      <c r="A67" s="23" t="s">
        <v>56</v>
      </c>
      <c r="B67" s="14" t="s">
        <v>28</v>
      </c>
      <c r="C67" s="18">
        <f>C65*'RATES '!$E$5</f>
        <v>30469.184335</v>
      </c>
      <c r="D67" s="18">
        <f>D65*'RATES '!$E$9</f>
        <v>24091.29948</v>
      </c>
      <c r="E67" s="18">
        <f>E65*'RATES '!$E$13</f>
        <v>5863.6538009999995</v>
      </c>
      <c r="F67" s="18">
        <f>F65*'RATES '!$E$17</f>
        <v>8535.108024000001</v>
      </c>
      <c r="G67" s="18">
        <f>G65*'RATES '!$E$21</f>
        <v>5406.134779999999</v>
      </c>
      <c r="H67" s="18">
        <f>H65*'RATES '!$E$25</f>
        <v>10638.719289</v>
      </c>
      <c r="I67" s="18">
        <f>I65*'RATES '!$E$29</f>
        <v>588.066444</v>
      </c>
      <c r="J67" s="18">
        <f>J65*'RATES '!$E$33</f>
        <v>482.28112799999997</v>
      </c>
      <c r="K67" s="18">
        <f>K65*'RATES '!$E$37</f>
        <v>309.142236</v>
      </c>
      <c r="L67" s="18">
        <f>L65*'RATES '!$E$40</f>
        <v>13.346504999999999</v>
      </c>
      <c r="M67" s="37">
        <f>SUM(C67:L67)</f>
        <v>86396.936022</v>
      </c>
    </row>
    <row r="68" spans="1:13" ht="12.75">
      <c r="A68" s="23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37"/>
    </row>
    <row r="69" spans="1:13" ht="15">
      <c r="A69" s="25" t="s">
        <v>77</v>
      </c>
      <c r="C69" s="14"/>
      <c r="D69" s="14"/>
      <c r="E69" s="14"/>
      <c r="F69" s="14"/>
      <c r="G69" s="26"/>
      <c r="H69" s="26"/>
      <c r="I69" s="26"/>
      <c r="J69" s="26"/>
      <c r="K69" s="26"/>
      <c r="L69" s="14"/>
      <c r="M69" s="36"/>
    </row>
    <row r="70" spans="1:13" ht="12.75">
      <c r="A70" s="19" t="s">
        <v>25</v>
      </c>
      <c r="C70" s="14">
        <v>475026</v>
      </c>
      <c r="D70" s="14">
        <v>531875</v>
      </c>
      <c r="E70" s="14">
        <v>79585</v>
      </c>
      <c r="F70" s="14">
        <v>229783</v>
      </c>
      <c r="G70" s="16">
        <v>296</v>
      </c>
      <c r="H70" s="16">
        <v>671</v>
      </c>
      <c r="I70" s="16"/>
      <c r="J70" s="16"/>
      <c r="K70" s="16">
        <v>12</v>
      </c>
      <c r="L70" s="14"/>
      <c r="M70" s="36"/>
    </row>
    <row r="71" spans="1:13" ht="12.75">
      <c r="A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37"/>
    </row>
    <row r="72" spans="1:13" ht="12.75">
      <c r="A72" s="23" t="s">
        <v>78</v>
      </c>
      <c r="B72" s="14" t="s">
        <v>28</v>
      </c>
      <c r="C72" s="18">
        <f>C70*'RATES '!$F$5</f>
        <v>2280.1247999999996</v>
      </c>
      <c r="D72" s="18">
        <f>D70*'RATES '!$F$9</f>
        <v>2180.6875</v>
      </c>
      <c r="E72" s="18">
        <f>E70*'RATES '!$F$13</f>
        <v>254.67200000000003</v>
      </c>
      <c r="F72" s="18">
        <f>F70*'RATES '!$F$17</f>
        <v>781.2622</v>
      </c>
      <c r="G72" s="18">
        <f>G70*'RATES '!$F$21</f>
        <v>193.7616</v>
      </c>
      <c r="H72" s="18">
        <f>H70*'RATES '!$F$25</f>
        <v>467.08310000000006</v>
      </c>
      <c r="I72" s="18">
        <f>I70*'RATES '!$F$29</f>
        <v>0</v>
      </c>
      <c r="J72" s="18">
        <f>J70*'RATES '!$F$33</f>
        <v>0</v>
      </c>
      <c r="K72" s="18">
        <f>K70*'RATES '!$F$37</f>
        <v>19.086</v>
      </c>
      <c r="L72" s="18">
        <f>L70*'RATES '!$F$40</f>
        <v>0</v>
      </c>
      <c r="M72" s="37">
        <f>SUM(C72:L72)</f>
        <v>6176.6772</v>
      </c>
    </row>
    <row r="73" spans="1:13" ht="12.75">
      <c r="A73" s="23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37"/>
    </row>
    <row r="74" spans="3:13" ht="12.75">
      <c r="C74" s="39">
        <f aca="true" t="shared" si="3" ref="C74:L74">SUM(C59:C62)+C67+C72</f>
        <v>32749.309135000003</v>
      </c>
      <c r="D74" s="39">
        <f t="shared" si="3"/>
        <v>26271.98698</v>
      </c>
      <c r="E74" s="39">
        <f t="shared" si="3"/>
        <v>6118.325800999999</v>
      </c>
      <c r="F74" s="39">
        <f t="shared" si="3"/>
        <v>9316.370224</v>
      </c>
      <c r="G74" s="39">
        <f t="shared" si="3"/>
        <v>5599.896379999999</v>
      </c>
      <c r="H74" s="39">
        <f t="shared" si="3"/>
        <v>11064.198287000001</v>
      </c>
      <c r="I74" s="39">
        <f t="shared" si="3"/>
        <v>588.066444</v>
      </c>
      <c r="J74" s="39">
        <f t="shared" si="3"/>
        <v>482.28112799999997</v>
      </c>
      <c r="K74" s="39">
        <f t="shared" si="3"/>
        <v>328.22823600000004</v>
      </c>
      <c r="L74" s="39">
        <f t="shared" si="3"/>
        <v>13.346504999999999</v>
      </c>
      <c r="M74" s="38">
        <f>SUM(M59:M62)+M67+M72-1.49</f>
        <v>92530.51912</v>
      </c>
    </row>
    <row r="76" spans="1:13" ht="15">
      <c r="A76" s="10" t="s">
        <v>79</v>
      </c>
      <c r="B76" s="1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 ht="15">
      <c r="A77" s="25" t="s">
        <v>54</v>
      </c>
      <c r="B77" s="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 ht="12.75">
      <c r="A78" s="19" t="s">
        <v>24</v>
      </c>
      <c r="C78" s="14"/>
      <c r="D78" s="14"/>
      <c r="E78" s="14"/>
      <c r="F78" s="14"/>
      <c r="G78" s="14"/>
      <c r="H78" s="14"/>
      <c r="I78" s="14"/>
      <c r="J78" s="15"/>
      <c r="K78" s="15"/>
      <c r="L78" s="14"/>
      <c r="M78" s="36"/>
    </row>
    <row r="79" spans="1:13" ht="12.75">
      <c r="A79" s="19" t="s">
        <v>25</v>
      </c>
      <c r="C79" s="14"/>
      <c r="D79" s="14"/>
      <c r="E79" s="14"/>
      <c r="F79" s="14"/>
      <c r="G79" s="16"/>
      <c r="H79" s="16"/>
      <c r="I79" s="16"/>
      <c r="J79" s="16"/>
      <c r="K79" s="16"/>
      <c r="L79" s="14"/>
      <c r="M79" s="36"/>
    </row>
    <row r="80" spans="1:13" ht="12.75">
      <c r="A80" s="19"/>
      <c r="C80" s="14"/>
      <c r="D80" s="14"/>
      <c r="E80" s="14"/>
      <c r="F80" s="14"/>
      <c r="G80" s="26"/>
      <c r="H80" s="26"/>
      <c r="I80" s="26"/>
      <c r="J80" s="26"/>
      <c r="K80" s="26"/>
      <c r="L80" s="14"/>
      <c r="M80" s="36"/>
    </row>
    <row r="81" spans="1:13" ht="12.75">
      <c r="A81" s="23" t="s">
        <v>26</v>
      </c>
      <c r="B81" s="14" t="s">
        <v>27</v>
      </c>
      <c r="C81" s="18">
        <f>C78*'RATES '!$C$4</f>
        <v>0</v>
      </c>
      <c r="D81" s="18">
        <f>D78*'RATES '!$C$8</f>
        <v>0</v>
      </c>
      <c r="E81" s="18">
        <f>E78*'RATES '!$C$12</f>
        <v>0</v>
      </c>
      <c r="F81" s="18">
        <f>F78*'RATES '!$C$16</f>
        <v>0</v>
      </c>
      <c r="G81" s="18">
        <f>G78*'RATES '!$C$20</f>
        <v>0</v>
      </c>
      <c r="H81" s="18">
        <f>H78*'RATES '!$C$24</f>
        <v>0</v>
      </c>
      <c r="I81" s="18">
        <f>I78*'RATES '!$C$28</f>
        <v>0</v>
      </c>
      <c r="J81" s="18">
        <f>J78*'RATES '!$C$32</f>
        <v>0</v>
      </c>
      <c r="K81" s="18">
        <f>K78*'RATES '!$C$36</f>
        <v>0</v>
      </c>
      <c r="L81" s="18"/>
      <c r="M81" s="37">
        <f>SUM(C81:K81)</f>
        <v>0</v>
      </c>
    </row>
    <row r="82" spans="1:13" ht="12.75">
      <c r="A82" s="24"/>
      <c r="B82" s="14" t="s">
        <v>28</v>
      </c>
      <c r="C82" s="18">
        <f>C79*'RATES '!$C$5</f>
        <v>0</v>
      </c>
      <c r="D82" s="18">
        <f>D79*'RATES '!$C$9</f>
        <v>0</v>
      </c>
      <c r="E82" s="18">
        <f>E79*'RATES '!$C$13</f>
        <v>0</v>
      </c>
      <c r="F82" s="18">
        <f>F79*'RATES '!$C$17</f>
        <v>0</v>
      </c>
      <c r="G82" s="18">
        <f>G79*'RATES '!$C$21</f>
        <v>0</v>
      </c>
      <c r="H82" s="18">
        <f>H79*'RATES '!$C$25</f>
        <v>0</v>
      </c>
      <c r="I82" s="18">
        <f>I79*'RATES '!$C$29</f>
        <v>0</v>
      </c>
      <c r="J82" s="18">
        <f>J79*'RATES '!$C$33</f>
        <v>0</v>
      </c>
      <c r="K82" s="18">
        <f>K79*'RATES '!$C$37</f>
        <v>0</v>
      </c>
      <c r="L82" s="18"/>
      <c r="M82" s="37">
        <f>SUM(C82:K82)</f>
        <v>0</v>
      </c>
    </row>
    <row r="83" spans="1:13" ht="12.75">
      <c r="A83" s="23" t="s">
        <v>29</v>
      </c>
      <c r="B83" s="14" t="s">
        <v>27</v>
      </c>
      <c r="C83" s="18">
        <f>C78*'RATES '!$D$4</f>
        <v>0</v>
      </c>
      <c r="D83" s="18">
        <f>D78*'RATES '!$D$8</f>
        <v>0</v>
      </c>
      <c r="E83" s="18">
        <f>E78*'RATES '!$D$12</f>
        <v>0</v>
      </c>
      <c r="F83" s="18">
        <f>F78*'RATES '!$D$16</f>
        <v>0</v>
      </c>
      <c r="G83" s="18">
        <f>G78*'RATES '!$D$20</f>
        <v>0</v>
      </c>
      <c r="H83" s="18">
        <f>H78*'RATES '!$D$24</f>
        <v>0</v>
      </c>
      <c r="I83" s="18">
        <f>I78*'RATES '!$D$28</f>
        <v>0</v>
      </c>
      <c r="J83" s="18">
        <f>J78*'RATES '!$D$32</f>
        <v>0</v>
      </c>
      <c r="K83" s="18">
        <f>K78*'RATES '!$D$36</f>
        <v>0</v>
      </c>
      <c r="L83" s="18"/>
      <c r="M83" s="37">
        <f>SUM(C83:K83)</f>
        <v>0</v>
      </c>
    </row>
    <row r="84" spans="1:13" ht="12.75">
      <c r="A84" s="17"/>
      <c r="B84" s="14" t="s">
        <v>28</v>
      </c>
      <c r="C84" s="18">
        <f>C79*'RATES '!$D$5</f>
        <v>0</v>
      </c>
      <c r="D84" s="18">
        <f>D79*'RATES '!$D$9</f>
        <v>0</v>
      </c>
      <c r="E84" s="18">
        <f>E79*'RATES '!$D$13</f>
        <v>0</v>
      </c>
      <c r="F84" s="18">
        <f>F79*'RATES '!$D$17</f>
        <v>0</v>
      </c>
      <c r="G84" s="18">
        <f>G79*'RATES '!$D$21</f>
        <v>0</v>
      </c>
      <c r="H84" s="18">
        <f>H79*'RATES '!$D$25</f>
        <v>0</v>
      </c>
      <c r="I84" s="18">
        <f>I79*'RATES '!$D$29</f>
        <v>0</v>
      </c>
      <c r="J84" s="18">
        <f>J79*'RATES '!$D$33</f>
        <v>0</v>
      </c>
      <c r="K84" s="18">
        <f>K79*'RATES '!$D$37</f>
        <v>0</v>
      </c>
      <c r="L84" s="18"/>
      <c r="M84" s="37">
        <f>SUM(C84:K84)</f>
        <v>0</v>
      </c>
    </row>
    <row r="85" spans="1:13" ht="12.75">
      <c r="A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37"/>
    </row>
    <row r="86" spans="1:13" ht="15">
      <c r="A86" s="25" t="s">
        <v>55</v>
      </c>
      <c r="C86" s="14"/>
      <c r="D86" s="14"/>
      <c r="E86" s="14"/>
      <c r="F86" s="14"/>
      <c r="G86" s="26"/>
      <c r="H86" s="26"/>
      <c r="I86" s="26"/>
      <c r="J86" s="26"/>
      <c r="K86" s="26"/>
      <c r="L86" s="14"/>
      <c r="M86" s="36"/>
    </row>
    <row r="87" spans="1:13" ht="12.75">
      <c r="A87" s="19" t="s">
        <v>25</v>
      </c>
      <c r="C87" s="14">
        <v>1639066</v>
      </c>
      <c r="D87" s="14">
        <v>988454</v>
      </c>
      <c r="E87" s="14">
        <v>536265</v>
      </c>
      <c r="F87" s="14">
        <v>731957</v>
      </c>
      <c r="G87" s="16">
        <v>3017</v>
      </c>
      <c r="H87" s="16">
        <v>1980</v>
      </c>
      <c r="I87" s="16"/>
      <c r="J87" s="16"/>
      <c r="K87" s="16">
        <v>26</v>
      </c>
      <c r="L87" s="14">
        <v>151</v>
      </c>
      <c r="M87" s="36"/>
    </row>
    <row r="88" spans="1:13" ht="12.75">
      <c r="A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37"/>
    </row>
    <row r="89" spans="1:13" ht="12.75">
      <c r="A89" s="23" t="s">
        <v>56</v>
      </c>
      <c r="B89" s="14" t="s">
        <v>28</v>
      </c>
      <c r="C89" s="18">
        <f>C87*'RATES '!$E$5</f>
        <v>6823.431758</v>
      </c>
      <c r="D89" s="18">
        <f>D87*'RATES '!$E$9</f>
        <v>3672.10661</v>
      </c>
      <c r="E89" s="18">
        <f>E87*'RATES '!$E$13</f>
        <v>1578.227895</v>
      </c>
      <c r="F89" s="18">
        <f>F87*'RATES '!$E$17</f>
        <v>2885.374494</v>
      </c>
      <c r="G89" s="18">
        <f>G87*'RATES '!$E$21</f>
        <v>1847.565545</v>
      </c>
      <c r="H89" s="18">
        <f>H87*'RATES '!$E$25</f>
        <v>1561.38642</v>
      </c>
      <c r="I89" s="18">
        <f>I87*'RATES '!$E$29</f>
        <v>0</v>
      </c>
      <c r="J89" s="18">
        <f>J87*'RATES '!$E$33</f>
        <v>0</v>
      </c>
      <c r="K89" s="18">
        <f>K87*'RATES '!$E$37</f>
        <v>70.506124</v>
      </c>
      <c r="L89" s="18"/>
      <c r="M89" s="37">
        <f>SUM(C89:K89)</f>
        <v>18438.598845999997</v>
      </c>
    </row>
    <row r="90" spans="1:13" ht="12.75">
      <c r="A90" s="23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37"/>
    </row>
    <row r="91" spans="1:13" ht="15">
      <c r="A91" s="25" t="s">
        <v>77</v>
      </c>
      <c r="C91" s="14"/>
      <c r="D91" s="14"/>
      <c r="E91" s="14"/>
      <c r="F91" s="14"/>
      <c r="G91" s="26"/>
      <c r="H91" s="26"/>
      <c r="I91" s="26"/>
      <c r="J91" s="26"/>
      <c r="K91" s="26"/>
      <c r="L91" s="14"/>
      <c r="M91" s="36"/>
    </row>
    <row r="92" spans="1:13" ht="12.75">
      <c r="A92" s="19" t="s">
        <v>25</v>
      </c>
      <c r="C92" s="14">
        <v>5323172</v>
      </c>
      <c r="D92" s="14">
        <v>4905197</v>
      </c>
      <c r="E92" s="14">
        <v>1334605</v>
      </c>
      <c r="F92" s="14">
        <v>1734281</v>
      </c>
      <c r="G92" s="16">
        <v>7699</v>
      </c>
      <c r="H92" s="16">
        <v>15776</v>
      </c>
      <c r="I92" s="16">
        <v>3772</v>
      </c>
      <c r="J92" s="16">
        <v>100</v>
      </c>
      <c r="K92" s="16">
        <v>101</v>
      </c>
      <c r="L92" s="14">
        <v>4384</v>
      </c>
      <c r="M92" s="36"/>
    </row>
    <row r="93" spans="1:13" ht="12.75">
      <c r="A93" s="17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37"/>
    </row>
    <row r="94" spans="1:13" ht="12.75">
      <c r="A94" s="23" t="s">
        <v>78</v>
      </c>
      <c r="B94" s="14" t="s">
        <v>28</v>
      </c>
      <c r="C94" s="18">
        <f>C92*'RATES '!$F$5</f>
        <v>25551.225599999998</v>
      </c>
      <c r="D94" s="18">
        <f>D92*'RATES '!$F$9</f>
        <v>20111.3077</v>
      </c>
      <c r="E94" s="18">
        <f>E92*'RATES '!$F$13</f>
        <v>4270.736</v>
      </c>
      <c r="F94" s="18">
        <f>F92*'RATES '!$F$17</f>
        <v>5896.555399999999</v>
      </c>
      <c r="G94" s="18">
        <f>G92*'RATES '!$F$21</f>
        <v>5039.765399999999</v>
      </c>
      <c r="H94" s="18">
        <f>H92*'RATES '!$F$25</f>
        <v>10981.6736</v>
      </c>
      <c r="I94" s="18">
        <f>I92*'RATES '!$F$29</f>
        <v>368.52439999999996</v>
      </c>
      <c r="J94" s="18">
        <f>J92*'RATES '!$F$33</f>
        <v>114.04</v>
      </c>
      <c r="K94" s="18">
        <f>K92*'RATES '!$F$37</f>
        <v>160.6405</v>
      </c>
      <c r="L94" s="18">
        <f>L92*'RATES '!$F$40</f>
        <v>14.0288</v>
      </c>
      <c r="M94" s="37">
        <f>SUM(C94:L94)</f>
        <v>72508.49739999996</v>
      </c>
    </row>
    <row r="95" spans="1:13" ht="12.75">
      <c r="A95" s="23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37"/>
    </row>
    <row r="96" spans="3:13" ht="12.75">
      <c r="C96" s="39">
        <f aca="true" t="shared" si="4" ref="C96:L96">SUM(C81:C84)+C89+C94</f>
        <v>32374.657357999997</v>
      </c>
      <c r="D96" s="39">
        <f t="shared" si="4"/>
        <v>23783.41431</v>
      </c>
      <c r="E96" s="39">
        <f t="shared" si="4"/>
        <v>5848.963895</v>
      </c>
      <c r="F96" s="39">
        <f t="shared" si="4"/>
        <v>8781.929893999999</v>
      </c>
      <c r="G96" s="39">
        <f t="shared" si="4"/>
        <v>6887.330945</v>
      </c>
      <c r="H96" s="39">
        <f t="shared" si="4"/>
        <v>12543.06002</v>
      </c>
      <c r="I96" s="39">
        <f t="shared" si="4"/>
        <v>368.52439999999996</v>
      </c>
      <c r="J96" s="39">
        <f t="shared" si="4"/>
        <v>114.04</v>
      </c>
      <c r="K96" s="39">
        <f t="shared" si="4"/>
        <v>231.146624</v>
      </c>
      <c r="L96" s="39">
        <f t="shared" si="4"/>
        <v>14.0288</v>
      </c>
      <c r="M96" s="38">
        <f>SUM(M81:M84)+M89+M94-0.7</f>
        <v>90946.39624599996</v>
      </c>
    </row>
    <row r="98" spans="1:13" ht="15">
      <c r="A98" s="10" t="s">
        <v>80</v>
      </c>
      <c r="B98" s="1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 ht="15">
      <c r="A99" s="25" t="s">
        <v>54</v>
      </c>
      <c r="B99" s="1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35"/>
    </row>
    <row r="100" spans="1:13" ht="12.75">
      <c r="A100" s="19" t="s">
        <v>24</v>
      </c>
      <c r="C100" s="14"/>
      <c r="D100" s="14"/>
      <c r="E100" s="14"/>
      <c r="F100" s="14"/>
      <c r="G100" s="14"/>
      <c r="H100" s="14"/>
      <c r="I100" s="14"/>
      <c r="J100" s="15"/>
      <c r="K100" s="15"/>
      <c r="L100" s="14"/>
      <c r="M100" s="36"/>
    </row>
    <row r="101" spans="1:13" ht="12.75">
      <c r="A101" s="19" t="s">
        <v>25</v>
      </c>
      <c r="C101" s="14"/>
      <c r="D101" s="14"/>
      <c r="E101" s="14"/>
      <c r="F101" s="14"/>
      <c r="G101" s="16"/>
      <c r="H101" s="16"/>
      <c r="I101" s="16"/>
      <c r="J101" s="16"/>
      <c r="K101" s="16"/>
      <c r="L101" s="14"/>
      <c r="M101" s="36"/>
    </row>
    <row r="102" spans="1:13" ht="12.75">
      <c r="A102" s="19"/>
      <c r="C102" s="14"/>
      <c r="D102" s="14"/>
      <c r="E102" s="14"/>
      <c r="F102" s="14"/>
      <c r="G102" s="26"/>
      <c r="H102" s="26"/>
      <c r="I102" s="26"/>
      <c r="J102" s="26"/>
      <c r="K102" s="26"/>
      <c r="L102" s="14"/>
      <c r="M102" s="36"/>
    </row>
    <row r="103" spans="1:13" ht="12.75">
      <c r="A103" s="23" t="s">
        <v>26</v>
      </c>
      <c r="B103" s="14" t="s">
        <v>27</v>
      </c>
      <c r="C103" s="18">
        <f>C100*'RATES '!$C$4</f>
        <v>0</v>
      </c>
      <c r="D103" s="18">
        <f>D100*'RATES '!$C$8</f>
        <v>0</v>
      </c>
      <c r="E103" s="18">
        <f>E100*'RATES '!$C$12</f>
        <v>0</v>
      </c>
      <c r="F103" s="18">
        <f>F100*'RATES '!$C$16</f>
        <v>0</v>
      </c>
      <c r="G103" s="18">
        <f>G100*'RATES '!$C$20</f>
        <v>0</v>
      </c>
      <c r="H103" s="18">
        <f>H100*'RATES '!$C$24</f>
        <v>0</v>
      </c>
      <c r="I103" s="18">
        <f>I100*'RATES '!$C$28</f>
        <v>0</v>
      </c>
      <c r="J103" s="18">
        <f>J100*'RATES '!$C$32</f>
        <v>0</v>
      </c>
      <c r="K103" s="18">
        <f>K100*'RATES '!$C$36</f>
        <v>0</v>
      </c>
      <c r="L103" s="18"/>
      <c r="M103" s="37">
        <f>SUM(C103:K103)</f>
        <v>0</v>
      </c>
    </row>
    <row r="104" spans="1:13" ht="12.75">
      <c r="A104" s="24"/>
      <c r="B104" s="14" t="s">
        <v>28</v>
      </c>
      <c r="C104" s="18">
        <f>C101*'RATES '!$C$5</f>
        <v>0</v>
      </c>
      <c r="D104" s="18">
        <f>D101*'RATES '!$C$9</f>
        <v>0</v>
      </c>
      <c r="E104" s="18">
        <f>E101*'RATES '!$C$13</f>
        <v>0</v>
      </c>
      <c r="F104" s="18">
        <f>F101*'RATES '!$C$17</f>
        <v>0</v>
      </c>
      <c r="G104" s="18">
        <f>G101*'RATES '!$C$21</f>
        <v>0</v>
      </c>
      <c r="H104" s="18">
        <f>H101*'RATES '!$C$25</f>
        <v>0</v>
      </c>
      <c r="I104" s="18">
        <f>I101*'RATES '!$C$29</f>
        <v>0</v>
      </c>
      <c r="J104" s="18">
        <f>J101*'RATES '!$C$33</f>
        <v>0</v>
      </c>
      <c r="K104" s="18">
        <f>K101*'RATES '!$C$37</f>
        <v>0</v>
      </c>
      <c r="L104" s="18"/>
      <c r="M104" s="37">
        <f>SUM(C104:K104)</f>
        <v>0</v>
      </c>
    </row>
    <row r="105" spans="1:13" ht="12.75">
      <c r="A105" s="23" t="s">
        <v>29</v>
      </c>
      <c r="B105" s="14" t="s">
        <v>27</v>
      </c>
      <c r="C105" s="18">
        <f>C100*'RATES '!$D$4</f>
        <v>0</v>
      </c>
      <c r="D105" s="18">
        <f>D100*'RATES '!$D$8</f>
        <v>0</v>
      </c>
      <c r="E105" s="18">
        <f>E100*'RATES '!$D$12</f>
        <v>0</v>
      </c>
      <c r="F105" s="18">
        <f>F100*'RATES '!$D$16</f>
        <v>0</v>
      </c>
      <c r="G105" s="18">
        <f>G100*'RATES '!$D$20</f>
        <v>0</v>
      </c>
      <c r="H105" s="18">
        <f>H100*'RATES '!$D$24</f>
        <v>0</v>
      </c>
      <c r="I105" s="18">
        <f>I100*'RATES '!$D$28</f>
        <v>0</v>
      </c>
      <c r="J105" s="18">
        <f>J100*'RATES '!$D$32</f>
        <v>0</v>
      </c>
      <c r="K105" s="18">
        <f>K100*'RATES '!$D$36</f>
        <v>0</v>
      </c>
      <c r="L105" s="18"/>
      <c r="M105" s="37">
        <f>SUM(C105:K105)</f>
        <v>0</v>
      </c>
    </row>
    <row r="106" spans="1:13" ht="12.75">
      <c r="A106" s="17"/>
      <c r="B106" s="14" t="s">
        <v>28</v>
      </c>
      <c r="C106" s="18">
        <f>C101*'RATES '!$D$5</f>
        <v>0</v>
      </c>
      <c r="D106" s="18">
        <f>D101*'RATES '!$D$9</f>
        <v>0</v>
      </c>
      <c r="E106" s="18">
        <f>E101*'RATES '!$D$13</f>
        <v>0</v>
      </c>
      <c r="F106" s="18">
        <f>F101*'RATES '!$D$17</f>
        <v>0</v>
      </c>
      <c r="G106" s="18">
        <f>G101*'RATES '!$D$21</f>
        <v>0</v>
      </c>
      <c r="H106" s="18">
        <f>H101*'RATES '!$D$25</f>
        <v>0</v>
      </c>
      <c r="I106" s="18">
        <f>I101*'RATES '!$D$29</f>
        <v>0</v>
      </c>
      <c r="J106" s="18">
        <f>J101*'RATES '!$D$33</f>
        <v>0</v>
      </c>
      <c r="K106" s="18">
        <f>K101*'RATES '!$D$37</f>
        <v>0</v>
      </c>
      <c r="L106" s="18"/>
      <c r="M106" s="37">
        <f>SUM(C106:K106)</f>
        <v>0</v>
      </c>
    </row>
    <row r="107" spans="1:13" ht="12.75">
      <c r="A107" s="17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37"/>
    </row>
    <row r="108" spans="1:13" ht="15">
      <c r="A108" s="25" t="s">
        <v>55</v>
      </c>
      <c r="C108" s="14"/>
      <c r="D108" s="14"/>
      <c r="E108" s="14"/>
      <c r="F108" s="14"/>
      <c r="G108" s="26"/>
      <c r="H108" s="26"/>
      <c r="I108" s="26"/>
      <c r="J108" s="26"/>
      <c r="K108" s="26"/>
      <c r="L108" s="14"/>
      <c r="M108" s="36"/>
    </row>
    <row r="109" spans="1:13" ht="12.75">
      <c r="A109" s="19" t="s">
        <v>25</v>
      </c>
      <c r="C109" s="14">
        <v>-572</v>
      </c>
      <c r="D109" s="14">
        <v>1</v>
      </c>
      <c r="E109" s="14"/>
      <c r="F109" s="14">
        <v>-383</v>
      </c>
      <c r="G109" s="16">
        <v>-11</v>
      </c>
      <c r="H109" s="16">
        <v>-34</v>
      </c>
      <c r="I109" s="16"/>
      <c r="J109" s="16"/>
      <c r="K109" s="16"/>
      <c r="L109" s="14"/>
      <c r="M109" s="36"/>
    </row>
    <row r="110" spans="1:13" ht="12.75">
      <c r="A110" s="17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37"/>
    </row>
    <row r="111" spans="1:13" ht="12.75">
      <c r="A111" s="23" t="s">
        <v>56</v>
      </c>
      <c r="B111" s="14" t="s">
        <v>28</v>
      </c>
      <c r="C111" s="18">
        <f>C109*'RATES '!$E$5</f>
        <v>-2.381236</v>
      </c>
      <c r="D111" s="18">
        <f>D109*'RATES '!$E$9</f>
        <v>0.003715</v>
      </c>
      <c r="E111" s="18">
        <f>E109*'RATES '!$E$13</f>
        <v>0</v>
      </c>
      <c r="F111" s="18">
        <f>F109*'RATES '!$E$17</f>
        <v>-1.509786</v>
      </c>
      <c r="G111" s="18">
        <f>G109*'RATES '!$E$21</f>
        <v>-6.736235</v>
      </c>
      <c r="H111" s="18">
        <f>H109*'RATES '!$E$25</f>
        <v>-26.811686</v>
      </c>
      <c r="I111" s="18">
        <f>I109*'RATES '!$E$29</f>
        <v>0</v>
      </c>
      <c r="J111" s="18">
        <f>J109*'RATES '!$E$33</f>
        <v>0</v>
      </c>
      <c r="K111" s="18">
        <f>K109*'RATES '!$E$37</f>
        <v>0</v>
      </c>
      <c r="L111" s="18"/>
      <c r="M111" s="37">
        <f>SUM(C111:K111)</f>
        <v>-37.435228</v>
      </c>
    </row>
    <row r="112" spans="1:13" ht="12.75">
      <c r="A112" s="23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37"/>
    </row>
    <row r="113" spans="1:13" ht="15">
      <c r="A113" s="25" t="s">
        <v>77</v>
      </c>
      <c r="C113" s="14"/>
      <c r="D113" s="14"/>
      <c r="E113" s="14"/>
      <c r="F113" s="14"/>
      <c r="G113" s="26"/>
      <c r="H113" s="26"/>
      <c r="I113" s="26"/>
      <c r="J113" s="26"/>
      <c r="K113" s="26"/>
      <c r="L113" s="14"/>
      <c r="M113" s="36"/>
    </row>
    <row r="114" spans="1:13" ht="12.75">
      <c r="A114" s="19" t="s">
        <v>25</v>
      </c>
      <c r="C114" s="14">
        <v>7067460</v>
      </c>
      <c r="D114" s="14">
        <v>5446101</v>
      </c>
      <c r="E114" s="14">
        <v>2143153</v>
      </c>
      <c r="F114" s="14">
        <v>2435678</v>
      </c>
      <c r="G114" s="16">
        <v>10519</v>
      </c>
      <c r="H114" s="16">
        <v>15455</v>
      </c>
      <c r="I114" s="16">
        <v>2308</v>
      </c>
      <c r="J114" s="16">
        <v>503</v>
      </c>
      <c r="K114" s="16">
        <v>133</v>
      </c>
      <c r="L114" s="14">
        <v>4535</v>
      </c>
      <c r="M114" s="36"/>
    </row>
    <row r="115" spans="1:13" ht="12.75">
      <c r="A115" s="17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37"/>
    </row>
    <row r="116" spans="1:13" ht="12.75">
      <c r="A116" s="23" t="s">
        <v>78</v>
      </c>
      <c r="B116" s="14" t="s">
        <v>28</v>
      </c>
      <c r="C116" s="18">
        <f>C114*'RATES '!$F$5</f>
        <v>33923.808</v>
      </c>
      <c r="D116" s="18">
        <f>D114*'RATES '!$F$9</f>
        <v>22329.0141</v>
      </c>
      <c r="E116" s="18">
        <f>E114*'RATES '!$F$13</f>
        <v>6858.0896</v>
      </c>
      <c r="F116" s="18">
        <f>F114*'RATES '!$F$17</f>
        <v>8281.305199999999</v>
      </c>
      <c r="G116" s="18">
        <f>G114*'RATES '!$F$21</f>
        <v>6885.7374</v>
      </c>
      <c r="H116" s="18">
        <f>H114*'RATES '!$F$25</f>
        <v>10758.2255</v>
      </c>
      <c r="I116" s="18">
        <f>I114*'RATES '!$F$29</f>
        <v>225.49159999999998</v>
      </c>
      <c r="J116" s="18">
        <f>J114*'RATES '!$F$33</f>
        <v>573.6212</v>
      </c>
      <c r="K116" s="18">
        <f>K114*'RATES '!$F$37</f>
        <v>211.5365</v>
      </c>
      <c r="L116" s="18">
        <f>L114*'RATES '!$F$40</f>
        <v>14.512</v>
      </c>
      <c r="M116" s="37">
        <f>SUM(C116:L116)</f>
        <v>90061.34109999999</v>
      </c>
    </row>
    <row r="117" spans="1:13" ht="12.75">
      <c r="A117" s="23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37"/>
    </row>
    <row r="118" spans="3:13" ht="12.75">
      <c r="C118" s="39">
        <f aca="true" t="shared" si="5" ref="C118:L118">SUM(C103:C106)+C111+C116</f>
        <v>33921.426763999996</v>
      </c>
      <c r="D118" s="39">
        <f t="shared" si="5"/>
        <v>22329.017815</v>
      </c>
      <c r="E118" s="39">
        <f t="shared" si="5"/>
        <v>6858.0896</v>
      </c>
      <c r="F118" s="39">
        <f t="shared" si="5"/>
        <v>8279.795413999998</v>
      </c>
      <c r="G118" s="39">
        <f t="shared" si="5"/>
        <v>6879.001165</v>
      </c>
      <c r="H118" s="39">
        <f t="shared" si="5"/>
        <v>10731.413814000001</v>
      </c>
      <c r="I118" s="39">
        <f t="shared" si="5"/>
        <v>225.49159999999998</v>
      </c>
      <c r="J118" s="39">
        <f t="shared" si="5"/>
        <v>573.6212</v>
      </c>
      <c r="K118" s="39">
        <f t="shared" si="5"/>
        <v>211.5365</v>
      </c>
      <c r="L118" s="39">
        <f t="shared" si="5"/>
        <v>14.512</v>
      </c>
      <c r="M118" s="38">
        <f>SUM(M103:M106)+M111+M116-0.82</f>
        <v>90023.08587199998</v>
      </c>
    </row>
    <row r="120" spans="1:13" ht="15">
      <c r="A120" s="10" t="s">
        <v>81</v>
      </c>
      <c r="B120" s="11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35"/>
    </row>
    <row r="121" spans="1:13" ht="15">
      <c r="A121" s="25" t="s">
        <v>54</v>
      </c>
      <c r="B121" s="11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 ht="12.75">
      <c r="A122" s="19" t="s">
        <v>24</v>
      </c>
      <c r="C122" s="14"/>
      <c r="D122" s="14"/>
      <c r="E122" s="14"/>
      <c r="F122" s="14"/>
      <c r="G122" s="14"/>
      <c r="H122" s="14"/>
      <c r="I122" s="14"/>
      <c r="J122" s="15"/>
      <c r="K122" s="15"/>
      <c r="L122" s="14"/>
      <c r="M122" s="36"/>
    </row>
    <row r="123" spans="1:13" ht="12.75">
      <c r="A123" s="19" t="s">
        <v>25</v>
      </c>
      <c r="C123" s="14"/>
      <c r="D123" s="14"/>
      <c r="E123" s="14"/>
      <c r="F123" s="14"/>
      <c r="G123" s="16"/>
      <c r="H123" s="16"/>
      <c r="I123" s="16"/>
      <c r="J123" s="16"/>
      <c r="K123" s="16"/>
      <c r="L123" s="14"/>
      <c r="M123" s="36"/>
    </row>
    <row r="124" spans="1:13" ht="12.75">
      <c r="A124" s="19"/>
      <c r="C124" s="14"/>
      <c r="D124" s="14"/>
      <c r="E124" s="14"/>
      <c r="F124" s="14"/>
      <c r="G124" s="26"/>
      <c r="H124" s="26"/>
      <c r="I124" s="26"/>
      <c r="J124" s="26"/>
      <c r="K124" s="26"/>
      <c r="L124" s="14"/>
      <c r="M124" s="36"/>
    </row>
    <row r="125" spans="1:13" ht="12.75">
      <c r="A125" s="23" t="s">
        <v>26</v>
      </c>
      <c r="B125" s="14" t="s">
        <v>27</v>
      </c>
      <c r="C125" s="18">
        <f>C122*'RATES '!$C$4</f>
        <v>0</v>
      </c>
      <c r="D125" s="18">
        <f>D122*'RATES '!$C$8</f>
        <v>0</v>
      </c>
      <c r="E125" s="18">
        <f>E122*'RATES '!$C$12</f>
        <v>0</v>
      </c>
      <c r="F125" s="18">
        <f>F122*'RATES '!$C$16</f>
        <v>0</v>
      </c>
      <c r="G125" s="18">
        <f>G122*'RATES '!$C$20</f>
        <v>0</v>
      </c>
      <c r="H125" s="18">
        <f>H122*'RATES '!$C$24</f>
        <v>0</v>
      </c>
      <c r="I125" s="18">
        <f>I122*'RATES '!$C$28</f>
        <v>0</v>
      </c>
      <c r="J125" s="18">
        <f>J122*'RATES '!$C$32</f>
        <v>0</v>
      </c>
      <c r="K125" s="18">
        <f>K122*'RATES '!$C$36</f>
        <v>0</v>
      </c>
      <c r="L125" s="18"/>
      <c r="M125" s="37">
        <f>SUM(C125:K125)</f>
        <v>0</v>
      </c>
    </row>
    <row r="126" spans="1:13" ht="12.75">
      <c r="A126" s="24"/>
      <c r="B126" s="14" t="s">
        <v>28</v>
      </c>
      <c r="C126" s="18">
        <f>C123*'RATES '!$C$5</f>
        <v>0</v>
      </c>
      <c r="D126" s="18">
        <f>D123*'RATES '!$C$9</f>
        <v>0</v>
      </c>
      <c r="E126" s="18">
        <f>E123*'RATES '!$C$13</f>
        <v>0</v>
      </c>
      <c r="F126" s="18">
        <f>F123*'RATES '!$C$17</f>
        <v>0</v>
      </c>
      <c r="G126" s="18">
        <f>G123*'RATES '!$C$21</f>
        <v>0</v>
      </c>
      <c r="H126" s="18">
        <f>H123*'RATES '!$C$25</f>
        <v>0</v>
      </c>
      <c r="I126" s="18">
        <f>I123*'RATES '!$C$29</f>
        <v>0</v>
      </c>
      <c r="J126" s="18">
        <f>J123*'RATES '!$C$33</f>
        <v>0</v>
      </c>
      <c r="K126" s="18">
        <f>K123*'RATES '!$C$37</f>
        <v>0</v>
      </c>
      <c r="L126" s="18"/>
      <c r="M126" s="37">
        <f>SUM(C126:K126)</f>
        <v>0</v>
      </c>
    </row>
    <row r="127" spans="1:13" ht="12.75">
      <c r="A127" s="23" t="s">
        <v>29</v>
      </c>
      <c r="B127" s="14" t="s">
        <v>27</v>
      </c>
      <c r="C127" s="18">
        <f>C122*'RATES '!$D$4</f>
        <v>0</v>
      </c>
      <c r="D127" s="18">
        <f>D122*'RATES '!$D$8</f>
        <v>0</v>
      </c>
      <c r="E127" s="18">
        <f>E122*'RATES '!$D$12</f>
        <v>0</v>
      </c>
      <c r="F127" s="18">
        <f>F122*'RATES '!$D$16</f>
        <v>0</v>
      </c>
      <c r="G127" s="18">
        <f>G122*'RATES '!$D$20</f>
        <v>0</v>
      </c>
      <c r="H127" s="18">
        <f>H122*'RATES '!$D$24</f>
        <v>0</v>
      </c>
      <c r="I127" s="18">
        <f>I122*'RATES '!$D$28</f>
        <v>0</v>
      </c>
      <c r="J127" s="18">
        <f>J122*'RATES '!$D$32</f>
        <v>0</v>
      </c>
      <c r="K127" s="18">
        <f>K122*'RATES '!$D$36</f>
        <v>0</v>
      </c>
      <c r="L127" s="18"/>
      <c r="M127" s="37">
        <f>SUM(C127:K127)</f>
        <v>0</v>
      </c>
    </row>
    <row r="128" spans="1:13" ht="12.75">
      <c r="A128" s="17"/>
      <c r="B128" s="14" t="s">
        <v>28</v>
      </c>
      <c r="C128" s="18">
        <f>C123*'RATES '!$D$5</f>
        <v>0</v>
      </c>
      <c r="D128" s="18">
        <f>D123*'RATES '!$D$9</f>
        <v>0</v>
      </c>
      <c r="E128" s="18">
        <f>E123*'RATES '!$D$13</f>
        <v>0</v>
      </c>
      <c r="F128" s="18">
        <f>F123*'RATES '!$D$17</f>
        <v>0</v>
      </c>
      <c r="G128" s="18">
        <f>G123*'RATES '!$D$21</f>
        <v>0</v>
      </c>
      <c r="H128" s="18">
        <f>H123*'RATES '!$D$25</f>
        <v>0</v>
      </c>
      <c r="I128" s="18">
        <f>I123*'RATES '!$D$29</f>
        <v>0</v>
      </c>
      <c r="J128" s="18">
        <f>J123*'RATES '!$D$33</f>
        <v>0</v>
      </c>
      <c r="K128" s="18">
        <f>K123*'RATES '!$D$37</f>
        <v>0</v>
      </c>
      <c r="L128" s="18"/>
      <c r="M128" s="37">
        <f>SUM(C128:K128)</f>
        <v>0</v>
      </c>
    </row>
    <row r="129" spans="1:13" ht="12.75">
      <c r="A129" s="17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37"/>
    </row>
    <row r="130" spans="1:13" ht="15">
      <c r="A130" s="25" t="s">
        <v>55</v>
      </c>
      <c r="C130" s="14"/>
      <c r="D130" s="14"/>
      <c r="E130" s="14"/>
      <c r="F130" s="14"/>
      <c r="G130" s="26"/>
      <c r="H130" s="26"/>
      <c r="I130" s="26"/>
      <c r="J130" s="26"/>
      <c r="K130" s="26"/>
      <c r="L130" s="14"/>
      <c r="M130" s="36"/>
    </row>
    <row r="131" spans="1:13" ht="12.75">
      <c r="A131" s="19" t="s">
        <v>25</v>
      </c>
      <c r="C131" s="14">
        <v>-773</v>
      </c>
      <c r="D131" s="14"/>
      <c r="E131" s="14"/>
      <c r="F131" s="14">
        <v>-32417</v>
      </c>
      <c r="G131" s="16"/>
      <c r="H131" s="16"/>
      <c r="I131" s="16"/>
      <c r="J131" s="16"/>
      <c r="K131" s="16"/>
      <c r="L131" s="14"/>
      <c r="M131" s="36"/>
    </row>
    <row r="132" spans="1:13" ht="12.75">
      <c r="A132" s="17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37"/>
    </row>
    <row r="133" spans="1:13" ht="12.75">
      <c r="A133" s="23" t="s">
        <v>56</v>
      </c>
      <c r="B133" s="14" t="s">
        <v>28</v>
      </c>
      <c r="C133" s="18">
        <f>C131*'RATES '!$E$5</f>
        <v>-3.217999</v>
      </c>
      <c r="D133" s="18">
        <f>D131*'RATES '!$E$9</f>
        <v>0</v>
      </c>
      <c r="E133" s="18">
        <f>E131*'RATES '!$E$13</f>
        <v>0</v>
      </c>
      <c r="F133" s="18">
        <f>F131*'RATES '!$E$17</f>
        <v>-127.78781400000001</v>
      </c>
      <c r="G133" s="18">
        <f>G131*'RATES '!$E$21</f>
        <v>0</v>
      </c>
      <c r="H133" s="18">
        <f>H131*'RATES '!$E$25</f>
        <v>0</v>
      </c>
      <c r="I133" s="18">
        <f>I131*'RATES '!$E$29</f>
        <v>0</v>
      </c>
      <c r="J133" s="18">
        <f>J131*'RATES '!$E$33</f>
        <v>0</v>
      </c>
      <c r="K133" s="18">
        <f>K131*'RATES '!$E$37</f>
        <v>0</v>
      </c>
      <c r="L133" s="18"/>
      <c r="M133" s="37">
        <f>SUM(C133:K133)</f>
        <v>-131.00581300000002</v>
      </c>
    </row>
    <row r="134" spans="1:13" ht="12.75">
      <c r="A134" s="23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37"/>
    </row>
    <row r="135" spans="1:13" ht="15">
      <c r="A135" s="25" t="s">
        <v>77</v>
      </c>
      <c r="C135" s="14"/>
      <c r="D135" s="14"/>
      <c r="E135" s="14"/>
      <c r="F135" s="14"/>
      <c r="G135" s="26"/>
      <c r="H135" s="26"/>
      <c r="I135" s="26"/>
      <c r="J135" s="26"/>
      <c r="K135" s="26"/>
      <c r="L135" s="14"/>
      <c r="M135" s="36"/>
    </row>
    <row r="136" spans="1:13" ht="12.75">
      <c r="A136" s="19" t="s">
        <v>25</v>
      </c>
      <c r="C136" s="14">
        <v>7884814</v>
      </c>
      <c r="D136" s="14">
        <v>6448262</v>
      </c>
      <c r="E136" s="14">
        <v>1748802</v>
      </c>
      <c r="F136" s="14">
        <v>2420972</v>
      </c>
      <c r="G136" s="16">
        <v>9963</v>
      </c>
      <c r="H136" s="16">
        <v>18164</v>
      </c>
      <c r="I136" s="16">
        <v>3952</v>
      </c>
      <c r="J136" s="16">
        <v>503</v>
      </c>
      <c r="K136" s="16">
        <f>118</f>
        <v>118</v>
      </c>
      <c r="L136" s="14">
        <v>4535</v>
      </c>
      <c r="M136" s="36"/>
    </row>
    <row r="137" spans="1:13" ht="12.75">
      <c r="A137" s="17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37"/>
    </row>
    <row r="138" spans="1:13" ht="12.75">
      <c r="A138" s="23" t="s">
        <v>78</v>
      </c>
      <c r="B138" s="14" t="s">
        <v>28</v>
      </c>
      <c r="C138" s="18">
        <f>C136*'RATES '!$F$5</f>
        <v>37847.1072</v>
      </c>
      <c r="D138" s="18">
        <f>D136*'RATES '!$F$9</f>
        <v>26437.874200000002</v>
      </c>
      <c r="E138" s="18">
        <f>E136*'RATES '!$F$13</f>
        <v>5596.1664</v>
      </c>
      <c r="F138" s="18">
        <f>F136*'RATES '!$F$17</f>
        <v>8231.3048</v>
      </c>
      <c r="G138" s="18">
        <f>G136*'RATES '!$F$21</f>
        <v>6521.779799999999</v>
      </c>
      <c r="H138" s="18">
        <f>H136*'RATES '!$F$25</f>
        <v>12643.960400000002</v>
      </c>
      <c r="I138" s="18">
        <f>I136*'RATES '!$F$29</f>
        <v>386.11039999999997</v>
      </c>
      <c r="J138" s="18">
        <f>J136*'RATES '!$F$33</f>
        <v>573.6212</v>
      </c>
      <c r="K138" s="18">
        <f>K136*'RATES '!$F$37</f>
        <v>187.679</v>
      </c>
      <c r="L138" s="18">
        <f>L136*'RATES '!$F$40</f>
        <v>14.512</v>
      </c>
      <c r="M138" s="37">
        <f>SUM(C138:L138)</f>
        <v>98440.11540000001</v>
      </c>
    </row>
    <row r="139" spans="1:13" ht="12.75">
      <c r="A139" s="23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37"/>
    </row>
    <row r="140" spans="3:13" ht="12.75">
      <c r="C140" s="39">
        <f aca="true" t="shared" si="6" ref="C140:L140">SUM(C125:C128)+C133+C138</f>
        <v>37843.889201</v>
      </c>
      <c r="D140" s="39">
        <f t="shared" si="6"/>
        <v>26437.874200000002</v>
      </c>
      <c r="E140" s="39">
        <f t="shared" si="6"/>
        <v>5596.1664</v>
      </c>
      <c r="F140" s="39">
        <f t="shared" si="6"/>
        <v>8103.516986</v>
      </c>
      <c r="G140" s="39">
        <f t="shared" si="6"/>
        <v>6521.779799999999</v>
      </c>
      <c r="H140" s="39">
        <f t="shared" si="6"/>
        <v>12643.960400000002</v>
      </c>
      <c r="I140" s="39">
        <f t="shared" si="6"/>
        <v>386.11039999999997</v>
      </c>
      <c r="J140" s="39">
        <f t="shared" si="6"/>
        <v>573.6212</v>
      </c>
      <c r="K140" s="39">
        <f t="shared" si="6"/>
        <v>187.679</v>
      </c>
      <c r="L140" s="39">
        <f t="shared" si="6"/>
        <v>14.512</v>
      </c>
      <c r="M140" s="38">
        <f>SUM(M125:M128)+M133+M138-0.69</f>
        <v>98308.41958700001</v>
      </c>
    </row>
    <row r="142" spans="1:13" ht="15">
      <c r="A142" s="10" t="s">
        <v>82</v>
      </c>
      <c r="B142" s="11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 ht="15">
      <c r="A143" s="25" t="s">
        <v>54</v>
      </c>
      <c r="B143" s="11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 ht="12.75">
      <c r="A144" s="19" t="s">
        <v>24</v>
      </c>
      <c r="C144" s="14"/>
      <c r="D144" s="14"/>
      <c r="E144" s="14"/>
      <c r="F144" s="14"/>
      <c r="G144" s="14"/>
      <c r="H144" s="14"/>
      <c r="I144" s="14"/>
      <c r="J144" s="15"/>
      <c r="K144" s="15"/>
      <c r="L144" s="14"/>
      <c r="M144" s="36"/>
    </row>
    <row r="145" spans="1:13" ht="12.75">
      <c r="A145" s="19" t="s">
        <v>25</v>
      </c>
      <c r="C145" s="14"/>
      <c r="D145" s="14"/>
      <c r="E145" s="14"/>
      <c r="F145" s="14"/>
      <c r="G145" s="16"/>
      <c r="H145" s="16"/>
      <c r="I145" s="16"/>
      <c r="J145" s="16"/>
      <c r="K145" s="16"/>
      <c r="L145" s="14"/>
      <c r="M145" s="36"/>
    </row>
    <row r="146" spans="1:13" ht="12.75">
      <c r="A146" s="19"/>
      <c r="C146" s="14"/>
      <c r="D146" s="14"/>
      <c r="E146" s="14"/>
      <c r="F146" s="14"/>
      <c r="G146" s="26"/>
      <c r="H146" s="26"/>
      <c r="I146" s="26"/>
      <c r="J146" s="26"/>
      <c r="K146" s="26"/>
      <c r="L146" s="14"/>
      <c r="M146" s="36"/>
    </row>
    <row r="147" spans="1:13" ht="12.75">
      <c r="A147" s="23" t="s">
        <v>26</v>
      </c>
      <c r="B147" s="14" t="s">
        <v>27</v>
      </c>
      <c r="C147" s="18">
        <f>C144*'RATES '!$C$4</f>
        <v>0</v>
      </c>
      <c r="D147" s="18">
        <f>D144*'RATES '!$C$8</f>
        <v>0</v>
      </c>
      <c r="E147" s="18">
        <f>E144*'RATES '!$C$12</f>
        <v>0</v>
      </c>
      <c r="F147" s="18">
        <f>F144*'RATES '!$C$16</f>
        <v>0</v>
      </c>
      <c r="G147" s="18">
        <f>G144*'RATES '!$C$20</f>
        <v>0</v>
      </c>
      <c r="H147" s="18">
        <f>H144*'RATES '!$C$24</f>
        <v>0</v>
      </c>
      <c r="I147" s="18">
        <f>I144*'RATES '!$C$28</f>
        <v>0</v>
      </c>
      <c r="J147" s="18">
        <f>J144*'RATES '!$C$32</f>
        <v>0</v>
      </c>
      <c r="K147" s="18">
        <f>K144*'RATES '!$C$36</f>
        <v>0</v>
      </c>
      <c r="L147" s="18"/>
      <c r="M147" s="37">
        <f>SUM(C147:K147)</f>
        <v>0</v>
      </c>
    </row>
    <row r="148" spans="1:13" ht="12.75">
      <c r="A148" s="24"/>
      <c r="B148" s="14" t="s">
        <v>28</v>
      </c>
      <c r="C148" s="18">
        <f>C145*'RATES '!$C$5</f>
        <v>0</v>
      </c>
      <c r="D148" s="18">
        <f>D145*'RATES '!$C$9</f>
        <v>0</v>
      </c>
      <c r="E148" s="18">
        <f>E145*'RATES '!$C$13</f>
        <v>0</v>
      </c>
      <c r="F148" s="18">
        <f>F145*'RATES '!$C$17</f>
        <v>0</v>
      </c>
      <c r="G148" s="18">
        <f>G145*'RATES '!$C$21</f>
        <v>0</v>
      </c>
      <c r="H148" s="18">
        <f>H145*'RATES '!$C$25</f>
        <v>0</v>
      </c>
      <c r="I148" s="18">
        <f>I145*'RATES '!$C$29</f>
        <v>0</v>
      </c>
      <c r="J148" s="18">
        <f>J145*'RATES '!$C$33</f>
        <v>0</v>
      </c>
      <c r="K148" s="18">
        <f>K145*'RATES '!$C$37</f>
        <v>0</v>
      </c>
      <c r="L148" s="18"/>
      <c r="M148" s="37">
        <f>SUM(C148:K148)</f>
        <v>0</v>
      </c>
    </row>
    <row r="149" spans="1:13" ht="12.75">
      <c r="A149" s="23" t="s">
        <v>29</v>
      </c>
      <c r="B149" s="14" t="s">
        <v>27</v>
      </c>
      <c r="C149" s="18">
        <f>C144*'RATES '!$D$4</f>
        <v>0</v>
      </c>
      <c r="D149" s="18">
        <f>D144*'RATES '!$D$8</f>
        <v>0</v>
      </c>
      <c r="E149" s="18">
        <f>E144*'RATES '!$D$12</f>
        <v>0</v>
      </c>
      <c r="F149" s="18">
        <f>F144*'RATES '!$D$16</f>
        <v>0</v>
      </c>
      <c r="G149" s="18">
        <f>G144*'RATES '!$D$20</f>
        <v>0</v>
      </c>
      <c r="H149" s="18">
        <f>H144*'RATES '!$D$24</f>
        <v>0</v>
      </c>
      <c r="I149" s="18">
        <f>I144*'RATES '!$D$28</f>
        <v>0</v>
      </c>
      <c r="J149" s="18">
        <f>J144*'RATES '!$D$32</f>
        <v>0</v>
      </c>
      <c r="K149" s="18">
        <f>K144*'RATES '!$D$36</f>
        <v>0</v>
      </c>
      <c r="L149" s="18"/>
      <c r="M149" s="37">
        <f>SUM(C149:K149)</f>
        <v>0</v>
      </c>
    </row>
    <row r="150" spans="1:13" ht="12.75">
      <c r="A150" s="17"/>
      <c r="B150" s="14" t="s">
        <v>28</v>
      </c>
      <c r="C150" s="18">
        <f>C145*'RATES '!$D$5</f>
        <v>0</v>
      </c>
      <c r="D150" s="18">
        <f>D145*'RATES '!$D$9</f>
        <v>0</v>
      </c>
      <c r="E150" s="18">
        <f>E145*'RATES '!$D$13</f>
        <v>0</v>
      </c>
      <c r="F150" s="18">
        <f>F145*'RATES '!$D$17</f>
        <v>0</v>
      </c>
      <c r="G150" s="18">
        <f>G145*'RATES '!$D$21</f>
        <v>0</v>
      </c>
      <c r="H150" s="18">
        <f>H145*'RATES '!$D$25</f>
        <v>0</v>
      </c>
      <c r="I150" s="18">
        <f>I145*'RATES '!$D$29</f>
        <v>0</v>
      </c>
      <c r="J150" s="18">
        <f>J145*'RATES '!$D$33</f>
        <v>0</v>
      </c>
      <c r="K150" s="18">
        <f>K145*'RATES '!$D$37</f>
        <v>0</v>
      </c>
      <c r="L150" s="18"/>
      <c r="M150" s="37">
        <f>SUM(C150:K150)</f>
        <v>0</v>
      </c>
    </row>
    <row r="151" spans="1:13" ht="12.75">
      <c r="A151" s="1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37"/>
    </row>
    <row r="152" spans="1:13" ht="15">
      <c r="A152" s="25" t="s">
        <v>55</v>
      </c>
      <c r="C152" s="14"/>
      <c r="D152" s="14"/>
      <c r="E152" s="14"/>
      <c r="F152" s="14"/>
      <c r="G152" s="26"/>
      <c r="H152" s="26"/>
      <c r="I152" s="26"/>
      <c r="J152" s="26"/>
      <c r="K152" s="26"/>
      <c r="L152" s="14"/>
      <c r="M152" s="36"/>
    </row>
    <row r="153" spans="1:13" ht="12.75">
      <c r="A153" s="19" t="s">
        <v>25</v>
      </c>
      <c r="C153" s="14"/>
      <c r="D153" s="14"/>
      <c r="E153" s="14"/>
      <c r="F153" s="14">
        <v>33370</v>
      </c>
      <c r="G153" s="16"/>
      <c r="H153" s="16"/>
      <c r="I153" s="16"/>
      <c r="J153" s="16"/>
      <c r="K153" s="16"/>
      <c r="L153" s="14"/>
      <c r="M153" s="36"/>
    </row>
    <row r="154" spans="1:13" ht="12.75">
      <c r="A154" s="1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37"/>
    </row>
    <row r="155" spans="1:13" ht="12.75">
      <c r="A155" s="23" t="s">
        <v>56</v>
      </c>
      <c r="B155" s="14" t="s">
        <v>28</v>
      </c>
      <c r="C155" s="18">
        <f>C153*'RATES '!$E$5</f>
        <v>0</v>
      </c>
      <c r="D155" s="18">
        <f>D153*'RATES '!$E$9</f>
        <v>0</v>
      </c>
      <c r="E155" s="18">
        <f>E153*'RATES '!$E$13</f>
        <v>0</v>
      </c>
      <c r="F155" s="18">
        <f>F153*'RATES '!$E$17</f>
        <v>131.54454</v>
      </c>
      <c r="G155" s="18">
        <f>G153*'RATES '!$E$21</f>
        <v>0</v>
      </c>
      <c r="H155" s="18">
        <f>H153*'RATES '!$E$25</f>
        <v>0</v>
      </c>
      <c r="I155" s="18">
        <f>I153*'RATES '!$E$29</f>
        <v>0</v>
      </c>
      <c r="J155" s="18">
        <f>J153*'RATES '!$E$33</f>
        <v>0</v>
      </c>
      <c r="K155" s="18">
        <f>K153*'RATES '!$E$37</f>
        <v>0</v>
      </c>
      <c r="L155" s="18"/>
      <c r="M155" s="37">
        <f>SUM(C155:K155)</f>
        <v>131.54454</v>
      </c>
    </row>
    <row r="156" spans="1:13" ht="12.75">
      <c r="A156" s="23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37"/>
    </row>
    <row r="157" spans="1:13" ht="15">
      <c r="A157" s="25" t="s">
        <v>77</v>
      </c>
      <c r="C157" s="14"/>
      <c r="D157" s="14"/>
      <c r="E157" s="14"/>
      <c r="F157" s="14"/>
      <c r="G157" s="26"/>
      <c r="H157" s="26"/>
      <c r="I157" s="26"/>
      <c r="J157" s="26"/>
      <c r="K157" s="26"/>
      <c r="L157" s="14"/>
      <c r="M157" s="36"/>
    </row>
    <row r="158" spans="1:13" ht="12.75">
      <c r="A158" s="19" t="s">
        <v>25</v>
      </c>
      <c r="C158" s="14">
        <v>12939042</v>
      </c>
      <c r="D158" s="14">
        <v>7785526</v>
      </c>
      <c r="E158" s="14">
        <v>3185448</v>
      </c>
      <c r="F158" s="14">
        <v>3062252</v>
      </c>
      <c r="G158" s="16">
        <v>12134</v>
      </c>
      <c r="H158" s="16">
        <v>16434</v>
      </c>
      <c r="I158" s="16">
        <v>2866</v>
      </c>
      <c r="J158" s="16">
        <v>507</v>
      </c>
      <c r="K158" s="16">
        <v>133</v>
      </c>
      <c r="L158" s="14">
        <v>4535</v>
      </c>
      <c r="M158" s="36"/>
    </row>
    <row r="159" spans="1:13" ht="12.75">
      <c r="A159" s="1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37"/>
    </row>
    <row r="160" spans="1:13" ht="12.75">
      <c r="A160" s="23" t="s">
        <v>78</v>
      </c>
      <c r="B160" s="14" t="s">
        <v>28</v>
      </c>
      <c r="C160" s="18">
        <f>C158*'RATES '!$F$5</f>
        <v>62107.4016</v>
      </c>
      <c r="D160" s="18">
        <f>D158*'RATES '!$F$9</f>
        <v>31920.656600000002</v>
      </c>
      <c r="E160" s="18">
        <f>E158*'RATES '!$F$13</f>
        <v>10193.4336</v>
      </c>
      <c r="F160" s="18">
        <f>F158*'RATES '!$F$17</f>
        <v>10411.656799999999</v>
      </c>
      <c r="G160" s="18">
        <f>G158*'RATES '!$F$21</f>
        <v>7942.916399999999</v>
      </c>
      <c r="H160" s="18">
        <f>H158*'RATES '!$F$25</f>
        <v>11439.707400000001</v>
      </c>
      <c r="I160" s="18">
        <f>I158*'RATES '!$F$29</f>
        <v>280.0082</v>
      </c>
      <c r="J160" s="18">
        <f>J158*'RATES '!$F$33</f>
        <v>578.1828</v>
      </c>
      <c r="K160" s="18">
        <f>K158*'RATES '!$F$37</f>
        <v>211.5365</v>
      </c>
      <c r="L160" s="18">
        <f>L158*'RATES '!$F$40</f>
        <v>14.512</v>
      </c>
      <c r="M160" s="37">
        <f>SUM(C160:L160)</f>
        <v>135100.0119</v>
      </c>
    </row>
    <row r="161" spans="1:13" ht="12.75">
      <c r="A161" s="23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37"/>
    </row>
    <row r="162" spans="3:13" ht="12.75">
      <c r="C162" s="39">
        <f aca="true" t="shared" si="7" ref="C162:L162">SUM(C147:C150)+C155+C160</f>
        <v>62107.4016</v>
      </c>
      <c r="D162" s="39">
        <f t="shared" si="7"/>
        <v>31920.656600000002</v>
      </c>
      <c r="E162" s="39">
        <f t="shared" si="7"/>
        <v>10193.4336</v>
      </c>
      <c r="F162" s="39">
        <f t="shared" si="7"/>
        <v>10543.20134</v>
      </c>
      <c r="G162" s="39">
        <f t="shared" si="7"/>
        <v>7942.916399999999</v>
      </c>
      <c r="H162" s="39">
        <f t="shared" si="7"/>
        <v>11439.707400000001</v>
      </c>
      <c r="I162" s="39">
        <f t="shared" si="7"/>
        <v>280.0082</v>
      </c>
      <c r="J162" s="39">
        <f t="shared" si="7"/>
        <v>578.1828</v>
      </c>
      <c r="K162" s="39">
        <f t="shared" si="7"/>
        <v>211.5365</v>
      </c>
      <c r="L162" s="39">
        <f t="shared" si="7"/>
        <v>14.512</v>
      </c>
      <c r="M162" s="38">
        <f>SUM(M147:M150)+M155+M160+1.26</f>
        <v>135232.81644000002</v>
      </c>
    </row>
    <row r="164" spans="1:13" ht="15">
      <c r="A164" s="10" t="s">
        <v>83</v>
      </c>
      <c r="B164" s="11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 ht="15">
      <c r="A165" s="25" t="s">
        <v>54</v>
      </c>
      <c r="B165" s="11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 ht="12.75">
      <c r="A166" s="19" t="s">
        <v>24</v>
      </c>
      <c r="C166" s="14"/>
      <c r="D166" s="14"/>
      <c r="E166" s="14"/>
      <c r="F166" s="14"/>
      <c r="G166" s="14"/>
      <c r="H166" s="14"/>
      <c r="I166" s="14"/>
      <c r="J166" s="15"/>
      <c r="K166" s="15"/>
      <c r="L166" s="14"/>
      <c r="M166" s="36"/>
    </row>
    <row r="167" spans="1:13" ht="12.75">
      <c r="A167" s="19" t="s">
        <v>25</v>
      </c>
      <c r="C167" s="14"/>
      <c r="D167" s="14"/>
      <c r="E167" s="14"/>
      <c r="F167" s="14"/>
      <c r="G167" s="16"/>
      <c r="H167" s="16"/>
      <c r="I167" s="16"/>
      <c r="J167" s="16"/>
      <c r="K167" s="16"/>
      <c r="L167" s="14"/>
      <c r="M167" s="36"/>
    </row>
    <row r="168" spans="1:13" ht="12.75">
      <c r="A168" s="19"/>
      <c r="C168" s="14"/>
      <c r="D168" s="14"/>
      <c r="E168" s="14"/>
      <c r="F168" s="14"/>
      <c r="G168" s="26"/>
      <c r="H168" s="26"/>
      <c r="I168" s="26"/>
      <c r="J168" s="26"/>
      <c r="K168" s="26"/>
      <c r="L168" s="14"/>
      <c r="M168" s="36"/>
    </row>
    <row r="169" spans="1:13" ht="12.75">
      <c r="A169" s="23" t="s">
        <v>26</v>
      </c>
      <c r="B169" s="14" t="s">
        <v>27</v>
      </c>
      <c r="C169" s="18">
        <f>C166*'RATES '!$C$4</f>
        <v>0</v>
      </c>
      <c r="D169" s="18">
        <f>D166*'RATES '!$C$8</f>
        <v>0</v>
      </c>
      <c r="E169" s="18">
        <f>E166*'RATES '!$C$12</f>
        <v>0</v>
      </c>
      <c r="F169" s="18">
        <f>F166*'RATES '!$C$16</f>
        <v>0</v>
      </c>
      <c r="G169" s="18">
        <f>G166*'RATES '!$C$20</f>
        <v>0</v>
      </c>
      <c r="H169" s="18">
        <f>H166*'RATES '!$C$24</f>
        <v>0</v>
      </c>
      <c r="I169" s="18">
        <f>I166*'RATES '!$C$28</f>
        <v>0</v>
      </c>
      <c r="J169" s="18">
        <f>J166*'RATES '!$C$32</f>
        <v>0</v>
      </c>
      <c r="K169" s="18">
        <f>K166*'RATES '!$C$36</f>
        <v>0</v>
      </c>
      <c r="L169" s="18"/>
      <c r="M169" s="37">
        <f>SUM(C169:K169)</f>
        <v>0</v>
      </c>
    </row>
    <row r="170" spans="1:13" ht="12.75">
      <c r="A170" s="24"/>
      <c r="B170" s="14" t="s">
        <v>28</v>
      </c>
      <c r="C170" s="18">
        <f>C167*'RATES '!$C$5</f>
        <v>0</v>
      </c>
      <c r="D170" s="18">
        <f>D167*'RATES '!$C$9</f>
        <v>0</v>
      </c>
      <c r="E170" s="18">
        <f>E167*'RATES '!$C$13</f>
        <v>0</v>
      </c>
      <c r="F170" s="18">
        <f>F167*'RATES '!$C$17</f>
        <v>0</v>
      </c>
      <c r="G170" s="18">
        <f>G167*'RATES '!$C$21</f>
        <v>0</v>
      </c>
      <c r="H170" s="18">
        <f>H167*'RATES '!$C$25</f>
        <v>0</v>
      </c>
      <c r="I170" s="18">
        <f>I167*'RATES '!$C$29</f>
        <v>0</v>
      </c>
      <c r="J170" s="18">
        <f>J167*'RATES '!$C$33</f>
        <v>0</v>
      </c>
      <c r="K170" s="18">
        <f>K167*'RATES '!$C$37</f>
        <v>0</v>
      </c>
      <c r="L170" s="18"/>
      <c r="M170" s="37">
        <f>SUM(C170:K170)</f>
        <v>0</v>
      </c>
    </row>
    <row r="171" spans="1:13" ht="12.75">
      <c r="A171" s="23" t="s">
        <v>29</v>
      </c>
      <c r="B171" s="14" t="s">
        <v>27</v>
      </c>
      <c r="C171" s="18">
        <f>C166*'RATES '!$D$4</f>
        <v>0</v>
      </c>
      <c r="D171" s="18">
        <f>D166*'RATES '!$D$8</f>
        <v>0</v>
      </c>
      <c r="E171" s="18">
        <f>E166*'RATES '!$D$12</f>
        <v>0</v>
      </c>
      <c r="F171" s="18">
        <f>F166*'RATES '!$D$16</f>
        <v>0</v>
      </c>
      <c r="G171" s="18">
        <f>G166*'RATES '!$D$20</f>
        <v>0</v>
      </c>
      <c r="H171" s="18">
        <f>H166*'RATES '!$D$24</f>
        <v>0</v>
      </c>
      <c r="I171" s="18">
        <f>I166*'RATES '!$D$28</f>
        <v>0</v>
      </c>
      <c r="J171" s="18">
        <f>J166*'RATES '!$D$32</f>
        <v>0</v>
      </c>
      <c r="K171" s="18">
        <f>K166*'RATES '!$D$36</f>
        <v>0</v>
      </c>
      <c r="L171" s="18"/>
      <c r="M171" s="37">
        <f>SUM(C171:K171)</f>
        <v>0</v>
      </c>
    </row>
    <row r="172" spans="1:13" ht="12.75">
      <c r="A172" s="17"/>
      <c r="B172" s="14" t="s">
        <v>28</v>
      </c>
      <c r="C172" s="18">
        <f>C167*'RATES '!$D$5</f>
        <v>0</v>
      </c>
      <c r="D172" s="18">
        <f>D167*'RATES '!$D$9</f>
        <v>0</v>
      </c>
      <c r="E172" s="18">
        <f>E167*'RATES '!$D$13</f>
        <v>0</v>
      </c>
      <c r="F172" s="18">
        <f>F167*'RATES '!$D$17</f>
        <v>0</v>
      </c>
      <c r="G172" s="18">
        <f>G167*'RATES '!$D$21</f>
        <v>0</v>
      </c>
      <c r="H172" s="18">
        <f>H167*'RATES '!$D$25</f>
        <v>0</v>
      </c>
      <c r="I172" s="18">
        <f>I167*'RATES '!$D$29</f>
        <v>0</v>
      </c>
      <c r="J172" s="18">
        <f>J167*'RATES '!$D$33</f>
        <v>0</v>
      </c>
      <c r="K172" s="18">
        <f>K167*'RATES '!$D$37</f>
        <v>0</v>
      </c>
      <c r="L172" s="18"/>
      <c r="M172" s="37">
        <f>SUM(C172:K172)</f>
        <v>0</v>
      </c>
    </row>
    <row r="173" spans="1:13" ht="12.75">
      <c r="A173" s="17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37"/>
    </row>
    <row r="174" spans="1:13" ht="15">
      <c r="A174" s="25" t="s">
        <v>55</v>
      </c>
      <c r="C174" s="14"/>
      <c r="D174" s="14"/>
      <c r="E174" s="14"/>
      <c r="F174" s="14"/>
      <c r="G174" s="26"/>
      <c r="H174" s="26"/>
      <c r="I174" s="26"/>
      <c r="J174" s="26"/>
      <c r="K174" s="26"/>
      <c r="L174" s="14"/>
      <c r="M174" s="36"/>
    </row>
    <row r="175" spans="1:13" ht="12.75">
      <c r="A175" s="19" t="s">
        <v>25</v>
      </c>
      <c r="C175" s="14"/>
      <c r="D175" s="14"/>
      <c r="E175" s="14">
        <v>1</v>
      </c>
      <c r="F175" s="14">
        <v>-248</v>
      </c>
      <c r="G175" s="16"/>
      <c r="H175" s="16"/>
      <c r="I175" s="16"/>
      <c r="J175" s="16"/>
      <c r="K175" s="16"/>
      <c r="L175" s="14"/>
      <c r="M175" s="36"/>
    </row>
    <row r="176" spans="1:13" ht="12.75">
      <c r="A176" s="17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37"/>
    </row>
    <row r="177" spans="1:13" ht="12.75">
      <c r="A177" s="23" t="s">
        <v>56</v>
      </c>
      <c r="B177" s="14" t="s">
        <v>28</v>
      </c>
      <c r="C177" s="18">
        <f>C175*'RATES '!$E$5</f>
        <v>0</v>
      </c>
      <c r="D177" s="18">
        <f>D175*'RATES '!$E$9</f>
        <v>0</v>
      </c>
      <c r="E177" s="18">
        <f>E175*'RATES '!$E$13</f>
        <v>0.002943</v>
      </c>
      <c r="F177" s="18">
        <f>F175*'RATES '!$E$17</f>
        <v>-0.977616</v>
      </c>
      <c r="G177" s="18">
        <f>G175*'RATES '!$E$21</f>
        <v>0</v>
      </c>
      <c r="H177" s="18">
        <f>H175*'RATES '!$E$25</f>
        <v>0</v>
      </c>
      <c r="I177" s="18">
        <f>I175*'RATES '!$E$29</f>
        <v>0</v>
      </c>
      <c r="J177" s="18">
        <f>J175*'RATES '!$E$33</f>
        <v>0</v>
      </c>
      <c r="K177" s="18">
        <f>K175*'RATES '!$E$37</f>
        <v>0</v>
      </c>
      <c r="L177" s="18"/>
      <c r="M177" s="37">
        <f>SUM(C177:K177)</f>
        <v>-0.974673</v>
      </c>
    </row>
    <row r="178" spans="1:13" ht="12.75">
      <c r="A178" s="23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37"/>
    </row>
    <row r="179" spans="1:13" ht="15">
      <c r="A179" s="25" t="s">
        <v>77</v>
      </c>
      <c r="C179" s="14"/>
      <c r="D179" s="14"/>
      <c r="E179" s="14"/>
      <c r="F179" s="14"/>
      <c r="G179" s="26"/>
      <c r="H179" s="26"/>
      <c r="I179" s="26"/>
      <c r="J179" s="26"/>
      <c r="K179" s="26"/>
      <c r="L179" s="14"/>
      <c r="M179" s="36"/>
    </row>
    <row r="180" spans="1:13" ht="12.75">
      <c r="A180" s="19" t="s">
        <v>25</v>
      </c>
      <c r="C180" s="14">
        <v>8944701</v>
      </c>
      <c r="D180" s="14">
        <v>7022670</v>
      </c>
      <c r="E180" s="14">
        <v>1848663</v>
      </c>
      <c r="F180" s="14">
        <v>2671992</v>
      </c>
      <c r="G180" s="16">
        <v>9260</v>
      </c>
      <c r="H180" s="16">
        <v>16166</v>
      </c>
      <c r="I180" s="16">
        <v>2542</v>
      </c>
      <c r="J180" s="16">
        <v>507</v>
      </c>
      <c r="K180" s="16">
        <v>114</v>
      </c>
      <c r="L180" s="14">
        <v>4535</v>
      </c>
      <c r="M180" s="36"/>
    </row>
    <row r="181" spans="1:13" ht="12.75">
      <c r="A181" s="17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37"/>
    </row>
    <row r="182" spans="1:13" ht="12.75">
      <c r="A182" s="23" t="s">
        <v>78</v>
      </c>
      <c r="B182" s="14" t="s">
        <v>28</v>
      </c>
      <c r="C182" s="18">
        <f>C180*'RATES '!$F$5</f>
        <v>42934.56479999999</v>
      </c>
      <c r="D182" s="18">
        <f>D180*'RATES '!$F$9</f>
        <v>28792.947000000004</v>
      </c>
      <c r="E182" s="18">
        <f>E180*'RATES '!$F$13</f>
        <v>5915.7216</v>
      </c>
      <c r="F182" s="18">
        <f>F180*'RATES '!$F$17</f>
        <v>9084.772799999999</v>
      </c>
      <c r="G182" s="18">
        <f>G180*'RATES '!$F$21</f>
        <v>6061.596</v>
      </c>
      <c r="H182" s="18">
        <f>H180*'RATES '!$F$25</f>
        <v>11253.152600000001</v>
      </c>
      <c r="I182" s="18">
        <f>I180*'RATES '!$F$29</f>
        <v>248.3534</v>
      </c>
      <c r="J182" s="18">
        <f>J180*'RATES '!$F$33</f>
        <v>578.1828</v>
      </c>
      <c r="K182" s="18">
        <f>K180*'RATES '!$F$37</f>
        <v>181.317</v>
      </c>
      <c r="L182" s="18">
        <f>L180*'RATES '!$F$40</f>
        <v>14.512</v>
      </c>
      <c r="M182" s="37">
        <f>SUM(C182:L182)</f>
        <v>105065.12000000001</v>
      </c>
    </row>
    <row r="183" spans="1:13" ht="12.75">
      <c r="A183" s="23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37"/>
    </row>
    <row r="184" spans="3:13" ht="12.75">
      <c r="C184" s="39">
        <f aca="true" t="shared" si="8" ref="C184:L184">SUM(C169:C172)+C177+C182</f>
        <v>42934.56479999999</v>
      </c>
      <c r="D184" s="39">
        <f t="shared" si="8"/>
        <v>28792.947000000004</v>
      </c>
      <c r="E184" s="39">
        <f t="shared" si="8"/>
        <v>5915.724543</v>
      </c>
      <c r="F184" s="39">
        <f t="shared" si="8"/>
        <v>9083.795183999999</v>
      </c>
      <c r="G184" s="39">
        <f t="shared" si="8"/>
        <v>6061.596</v>
      </c>
      <c r="H184" s="39">
        <f t="shared" si="8"/>
        <v>11253.152600000001</v>
      </c>
      <c r="I184" s="39">
        <f t="shared" si="8"/>
        <v>248.3534</v>
      </c>
      <c r="J184" s="39">
        <f t="shared" si="8"/>
        <v>578.1828</v>
      </c>
      <c r="K184" s="39">
        <f t="shared" si="8"/>
        <v>181.317</v>
      </c>
      <c r="L184" s="39">
        <f t="shared" si="8"/>
        <v>14.512</v>
      </c>
      <c r="M184" s="38">
        <f>SUM(M169:M172)+M177+M182-0.05</f>
        <v>105064.095327</v>
      </c>
    </row>
    <row r="186" spans="1:13" ht="15">
      <c r="A186" s="10" t="s">
        <v>84</v>
      </c>
      <c r="B186" s="11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 ht="15">
      <c r="A187" s="25" t="s">
        <v>54</v>
      </c>
      <c r="B187" s="11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 ht="12.75">
      <c r="A188" s="19" t="s">
        <v>24</v>
      </c>
      <c r="C188" s="14"/>
      <c r="D188" s="14"/>
      <c r="E188" s="14"/>
      <c r="F188" s="14"/>
      <c r="G188" s="14"/>
      <c r="H188" s="14"/>
      <c r="I188" s="14"/>
      <c r="J188" s="15"/>
      <c r="K188" s="15"/>
      <c r="L188" s="14"/>
      <c r="M188" s="36"/>
    </row>
    <row r="189" spans="1:13" ht="12.75">
      <c r="A189" s="19" t="s">
        <v>25</v>
      </c>
      <c r="C189" s="14"/>
      <c r="D189" s="14"/>
      <c r="E189" s="14"/>
      <c r="F189" s="14"/>
      <c r="G189" s="16"/>
      <c r="H189" s="16"/>
      <c r="I189" s="16"/>
      <c r="J189" s="16"/>
      <c r="K189" s="16"/>
      <c r="L189" s="14"/>
      <c r="M189" s="36"/>
    </row>
    <row r="190" spans="1:13" ht="12.75">
      <c r="A190" s="19"/>
      <c r="C190" s="14"/>
      <c r="D190" s="14"/>
      <c r="E190" s="14"/>
      <c r="F190" s="14"/>
      <c r="G190" s="26"/>
      <c r="H190" s="26"/>
      <c r="I190" s="26"/>
      <c r="J190" s="26"/>
      <c r="K190" s="26"/>
      <c r="L190" s="14"/>
      <c r="M190" s="36"/>
    </row>
    <row r="191" spans="1:13" ht="12.75">
      <c r="A191" s="23" t="s">
        <v>26</v>
      </c>
      <c r="B191" s="14" t="s">
        <v>27</v>
      </c>
      <c r="C191" s="18">
        <f>C188*'RATES '!$C$4</f>
        <v>0</v>
      </c>
      <c r="D191" s="18">
        <f>D188*'RATES '!$C$8</f>
        <v>0</v>
      </c>
      <c r="E191" s="18">
        <f>E188*'RATES '!$C$12</f>
        <v>0</v>
      </c>
      <c r="F191" s="18">
        <f>F188*'RATES '!$C$16</f>
        <v>0</v>
      </c>
      <c r="G191" s="18">
        <f>G188*'RATES '!$C$20</f>
        <v>0</v>
      </c>
      <c r="H191" s="18">
        <f>H188*'RATES '!$C$24</f>
        <v>0</v>
      </c>
      <c r="I191" s="18">
        <f>I188*'RATES '!$C$28</f>
        <v>0</v>
      </c>
      <c r="J191" s="18">
        <f>J188*'RATES '!$C$32</f>
        <v>0</v>
      </c>
      <c r="K191" s="18">
        <f>K188*'RATES '!$C$36</f>
        <v>0</v>
      </c>
      <c r="L191" s="18"/>
      <c r="M191" s="37">
        <f>SUM(C191:K191)</f>
        <v>0</v>
      </c>
    </row>
    <row r="192" spans="1:13" ht="12.75">
      <c r="A192" s="24"/>
      <c r="B192" s="14" t="s">
        <v>28</v>
      </c>
      <c r="C192" s="18">
        <f>C189*'RATES '!$C$5</f>
        <v>0</v>
      </c>
      <c r="D192" s="18">
        <f>D189*'RATES '!$C$9</f>
        <v>0</v>
      </c>
      <c r="E192" s="18">
        <f>E189*'RATES '!$C$13</f>
        <v>0</v>
      </c>
      <c r="F192" s="18">
        <f>F189*'RATES '!$C$17</f>
        <v>0</v>
      </c>
      <c r="G192" s="18">
        <f>G189*'RATES '!$C$21</f>
        <v>0</v>
      </c>
      <c r="H192" s="18">
        <f>H189*'RATES '!$C$25</f>
        <v>0</v>
      </c>
      <c r="I192" s="18">
        <f>I189*'RATES '!$C$29</f>
        <v>0</v>
      </c>
      <c r="J192" s="18">
        <f>J189*'RATES '!$C$33</f>
        <v>0</v>
      </c>
      <c r="K192" s="18">
        <f>K189*'RATES '!$C$37</f>
        <v>0</v>
      </c>
      <c r="L192" s="18"/>
      <c r="M192" s="37">
        <f>SUM(C192:K192)</f>
        <v>0</v>
      </c>
    </row>
    <row r="193" spans="1:13" ht="12.75">
      <c r="A193" s="23" t="s">
        <v>29</v>
      </c>
      <c r="B193" s="14" t="s">
        <v>27</v>
      </c>
      <c r="C193" s="18">
        <f>C188*'RATES '!$D$4</f>
        <v>0</v>
      </c>
      <c r="D193" s="18">
        <f>D188*'RATES '!$D$8</f>
        <v>0</v>
      </c>
      <c r="E193" s="18">
        <f>E188*'RATES '!$D$12</f>
        <v>0</v>
      </c>
      <c r="F193" s="18">
        <f>F188*'RATES '!$D$16</f>
        <v>0</v>
      </c>
      <c r="G193" s="18">
        <f>G188*'RATES '!$D$20</f>
        <v>0</v>
      </c>
      <c r="H193" s="18">
        <f>H188*'RATES '!$D$24</f>
        <v>0</v>
      </c>
      <c r="I193" s="18">
        <f>I188*'RATES '!$D$28</f>
        <v>0</v>
      </c>
      <c r="J193" s="18">
        <f>J188*'RATES '!$D$32</f>
        <v>0</v>
      </c>
      <c r="K193" s="18">
        <f>K188*'RATES '!$D$36</f>
        <v>0</v>
      </c>
      <c r="L193" s="18"/>
      <c r="M193" s="37">
        <f>SUM(C193:K193)</f>
        <v>0</v>
      </c>
    </row>
    <row r="194" spans="1:13" ht="12.75">
      <c r="A194" s="17"/>
      <c r="B194" s="14" t="s">
        <v>28</v>
      </c>
      <c r="C194" s="18">
        <f>C189*'RATES '!$D$5</f>
        <v>0</v>
      </c>
      <c r="D194" s="18">
        <f>D189*'RATES '!$D$9</f>
        <v>0</v>
      </c>
      <c r="E194" s="18">
        <f>E189*'RATES '!$D$13</f>
        <v>0</v>
      </c>
      <c r="F194" s="18">
        <f>F189*'RATES '!$D$17</f>
        <v>0</v>
      </c>
      <c r="G194" s="18">
        <f>G189*'RATES '!$D$21</f>
        <v>0</v>
      </c>
      <c r="H194" s="18">
        <f>H189*'RATES '!$D$25</f>
        <v>0</v>
      </c>
      <c r="I194" s="18">
        <f>I189*'RATES '!$D$29</f>
        <v>0</v>
      </c>
      <c r="J194" s="18">
        <f>J189*'RATES '!$D$33</f>
        <v>0</v>
      </c>
      <c r="K194" s="18">
        <f>K189*'RATES '!$D$37</f>
        <v>0</v>
      </c>
      <c r="L194" s="18"/>
      <c r="M194" s="37">
        <f>SUM(C194:K194)</f>
        <v>0</v>
      </c>
    </row>
    <row r="195" spans="1:13" ht="12.75">
      <c r="A195" s="17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37"/>
    </row>
    <row r="196" spans="1:13" ht="15">
      <c r="A196" s="25" t="s">
        <v>55</v>
      </c>
      <c r="C196" s="14"/>
      <c r="D196" s="14"/>
      <c r="E196" s="14"/>
      <c r="F196" s="14"/>
      <c r="G196" s="26"/>
      <c r="H196" s="26"/>
      <c r="I196" s="26"/>
      <c r="J196" s="26"/>
      <c r="K196" s="26"/>
      <c r="L196" s="14"/>
      <c r="M196" s="36"/>
    </row>
    <row r="197" spans="1:13" ht="12.75">
      <c r="A197" s="19" t="s">
        <v>25</v>
      </c>
      <c r="C197" s="14"/>
      <c r="D197" s="14"/>
      <c r="E197" s="14"/>
      <c r="F197" s="14"/>
      <c r="G197" s="16"/>
      <c r="H197" s="16"/>
      <c r="I197" s="16"/>
      <c r="J197" s="16"/>
      <c r="K197" s="16"/>
      <c r="L197" s="14"/>
      <c r="M197" s="36"/>
    </row>
    <row r="198" spans="1:13" ht="12.75">
      <c r="A198" s="17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37"/>
    </row>
    <row r="199" spans="1:13" ht="12.75">
      <c r="A199" s="23" t="s">
        <v>56</v>
      </c>
      <c r="B199" s="14" t="s">
        <v>28</v>
      </c>
      <c r="C199" s="18">
        <f>C197*'RATES '!$E$5</f>
        <v>0</v>
      </c>
      <c r="D199" s="18">
        <f>D197*'RATES '!$E$9</f>
        <v>0</v>
      </c>
      <c r="E199" s="18">
        <f>E197*'RATES '!$E$13</f>
        <v>0</v>
      </c>
      <c r="F199" s="18">
        <f>F197*'RATES '!$E$17</f>
        <v>0</v>
      </c>
      <c r="G199" s="18">
        <f>G197*'RATES '!$E$21</f>
        <v>0</v>
      </c>
      <c r="H199" s="18">
        <f>H197*'RATES '!$E$25</f>
        <v>0</v>
      </c>
      <c r="I199" s="18">
        <f>I197*'RATES '!$E$29</f>
        <v>0</v>
      </c>
      <c r="J199" s="18">
        <f>J197*'RATES '!$E$33</f>
        <v>0</v>
      </c>
      <c r="K199" s="18">
        <f>K197*'RATES '!$E$37</f>
        <v>0</v>
      </c>
      <c r="L199" s="18"/>
      <c r="M199" s="37">
        <f>SUM(C199:K199)</f>
        <v>0</v>
      </c>
    </row>
    <row r="200" spans="1:13" ht="12.75">
      <c r="A200" s="23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37"/>
    </row>
    <row r="201" spans="1:13" ht="15">
      <c r="A201" s="25" t="s">
        <v>77</v>
      </c>
      <c r="C201" s="14"/>
      <c r="D201" s="14"/>
      <c r="E201" s="14"/>
      <c r="F201" s="14"/>
      <c r="G201" s="26"/>
      <c r="H201" s="26"/>
      <c r="I201" s="26"/>
      <c r="J201" s="26"/>
      <c r="K201" s="26"/>
      <c r="L201" s="14"/>
      <c r="M201" s="36"/>
    </row>
    <row r="202" spans="1:13" ht="12.75">
      <c r="A202" s="19" t="s">
        <v>25</v>
      </c>
      <c r="C202" s="14">
        <v>7451450</v>
      </c>
      <c r="D202" s="14">
        <v>5825757</v>
      </c>
      <c r="E202" s="14">
        <v>1866327</v>
      </c>
      <c r="F202" s="14">
        <v>2373143</v>
      </c>
      <c r="G202" s="16">
        <v>9616</v>
      </c>
      <c r="H202" s="16">
        <v>15820</v>
      </c>
      <c r="I202" s="16">
        <v>3791</v>
      </c>
      <c r="J202" s="16">
        <v>507</v>
      </c>
      <c r="K202" s="16">
        <v>117</v>
      </c>
      <c r="L202" s="14">
        <v>4535</v>
      </c>
      <c r="M202" s="36"/>
    </row>
    <row r="203" spans="1:13" ht="12.75">
      <c r="A203" s="17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37"/>
    </row>
    <row r="204" spans="1:13" ht="12.75">
      <c r="A204" s="23" t="s">
        <v>78</v>
      </c>
      <c r="B204" s="14" t="s">
        <v>28</v>
      </c>
      <c r="C204" s="18">
        <f>C202*'RATES '!$F$5</f>
        <v>35766.96</v>
      </c>
      <c r="D204" s="18">
        <f>D202*'RATES '!$F$9</f>
        <v>23885.603700000003</v>
      </c>
      <c r="E204" s="18">
        <f>E202*'RATES '!$F$13</f>
        <v>5972.2464</v>
      </c>
      <c r="F204" s="18">
        <f>F202*'RATES '!$F$17</f>
        <v>8068.686199999999</v>
      </c>
      <c r="G204" s="18">
        <f>G202*'RATES '!$F$21</f>
        <v>6294.633599999999</v>
      </c>
      <c r="H204" s="18">
        <f>H202*'RATES '!$F$25</f>
        <v>11012.302000000001</v>
      </c>
      <c r="I204" s="18">
        <f>I202*'RATES '!$F$29</f>
        <v>370.3807</v>
      </c>
      <c r="J204" s="18">
        <f>J202*'RATES '!$F$33</f>
        <v>578.1828</v>
      </c>
      <c r="K204" s="18">
        <f>K202*'RATES '!$F$37</f>
        <v>186.0885</v>
      </c>
      <c r="L204" s="18">
        <f>L202*'RATES '!$F$40</f>
        <v>14.512</v>
      </c>
      <c r="M204" s="37">
        <f>SUM(C204:L204)</f>
        <v>92149.59589999999</v>
      </c>
    </row>
    <row r="205" spans="1:13" ht="12.75">
      <c r="A205" s="23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37"/>
    </row>
    <row r="206" spans="3:13" ht="12.75">
      <c r="C206" s="39">
        <f aca="true" t="shared" si="9" ref="C206:L206">SUM(C191:C194)+C199+C204</f>
        <v>35766.96</v>
      </c>
      <c r="D206" s="39">
        <f t="shared" si="9"/>
        <v>23885.603700000003</v>
      </c>
      <c r="E206" s="39">
        <f t="shared" si="9"/>
        <v>5972.2464</v>
      </c>
      <c r="F206" s="39">
        <f t="shared" si="9"/>
        <v>8068.686199999999</v>
      </c>
      <c r="G206" s="39">
        <f t="shared" si="9"/>
        <v>6294.633599999999</v>
      </c>
      <c r="H206" s="39">
        <f t="shared" si="9"/>
        <v>11012.302000000001</v>
      </c>
      <c r="I206" s="39">
        <f t="shared" si="9"/>
        <v>370.3807</v>
      </c>
      <c r="J206" s="39">
        <f t="shared" si="9"/>
        <v>578.1828</v>
      </c>
      <c r="K206" s="39">
        <f t="shared" si="9"/>
        <v>186.0885</v>
      </c>
      <c r="L206" s="39">
        <f t="shared" si="9"/>
        <v>14.512</v>
      </c>
      <c r="M206" s="38">
        <f>SUM(M191:M194)+M199+M204+0.64</f>
        <v>92150.23589999999</v>
      </c>
    </row>
    <row r="208" spans="1:13" ht="15">
      <c r="A208" s="10" t="s">
        <v>85</v>
      </c>
      <c r="B208" s="11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 ht="15">
      <c r="A209" s="25" t="s">
        <v>54</v>
      </c>
      <c r="B209" s="11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 ht="12.75">
      <c r="A210" s="19" t="s">
        <v>24</v>
      </c>
      <c r="C210" s="14"/>
      <c r="D210" s="14"/>
      <c r="E210" s="14"/>
      <c r="F210" s="14"/>
      <c r="G210" s="14"/>
      <c r="H210" s="14"/>
      <c r="I210" s="14"/>
      <c r="J210" s="15"/>
      <c r="K210" s="15"/>
      <c r="L210" s="14"/>
      <c r="M210" s="36"/>
    </row>
    <row r="211" spans="1:13" ht="12.75">
      <c r="A211" s="19" t="s">
        <v>25</v>
      </c>
      <c r="C211" s="14"/>
      <c r="D211" s="14"/>
      <c r="E211" s="14"/>
      <c r="F211" s="14"/>
      <c r="G211" s="16"/>
      <c r="H211" s="16"/>
      <c r="I211" s="16"/>
      <c r="J211" s="16"/>
      <c r="K211" s="16"/>
      <c r="L211" s="14"/>
      <c r="M211" s="36"/>
    </row>
    <row r="212" spans="1:13" ht="12.75">
      <c r="A212" s="19"/>
      <c r="C212" s="14"/>
      <c r="D212" s="14"/>
      <c r="E212" s="14"/>
      <c r="F212" s="14"/>
      <c r="G212" s="26"/>
      <c r="H212" s="26"/>
      <c r="I212" s="26"/>
      <c r="J212" s="26"/>
      <c r="K212" s="26"/>
      <c r="L212" s="14"/>
      <c r="M212" s="36"/>
    </row>
    <row r="213" spans="1:13" ht="12.75">
      <c r="A213" s="23" t="s">
        <v>26</v>
      </c>
      <c r="B213" s="14" t="s">
        <v>27</v>
      </c>
      <c r="C213" s="18">
        <f>C210*'RATES '!$C$4</f>
        <v>0</v>
      </c>
      <c r="D213" s="18">
        <f>D210*'RATES '!$C$8</f>
        <v>0</v>
      </c>
      <c r="E213" s="18">
        <f>E210*'RATES '!$C$12</f>
        <v>0</v>
      </c>
      <c r="F213" s="18">
        <f>F210*'RATES '!$C$16</f>
        <v>0</v>
      </c>
      <c r="G213" s="18">
        <f>G210*'RATES '!$C$20</f>
        <v>0</v>
      </c>
      <c r="H213" s="18">
        <f>H210*'RATES '!$C$24</f>
        <v>0</v>
      </c>
      <c r="I213" s="18">
        <f>I210*'RATES '!$C$28</f>
        <v>0</v>
      </c>
      <c r="J213" s="18">
        <f>J210*'RATES '!$C$32</f>
        <v>0</v>
      </c>
      <c r="K213" s="18">
        <f>K210*'RATES '!$C$36</f>
        <v>0</v>
      </c>
      <c r="L213" s="18"/>
      <c r="M213" s="37">
        <f>SUM(C213:K213)</f>
        <v>0</v>
      </c>
    </row>
    <row r="214" spans="1:13" ht="12.75">
      <c r="A214" s="24"/>
      <c r="B214" s="14" t="s">
        <v>28</v>
      </c>
      <c r="C214" s="18">
        <f>C211*'RATES '!$C$5</f>
        <v>0</v>
      </c>
      <c r="D214" s="18">
        <f>D211*'RATES '!$C$9</f>
        <v>0</v>
      </c>
      <c r="E214" s="18">
        <f>E211*'RATES '!$C$13</f>
        <v>0</v>
      </c>
      <c r="F214" s="18">
        <f>F211*'RATES '!$C$17</f>
        <v>0</v>
      </c>
      <c r="G214" s="18">
        <f>G211*'RATES '!$C$21</f>
        <v>0</v>
      </c>
      <c r="H214" s="18">
        <f>H211*'RATES '!$C$25</f>
        <v>0</v>
      </c>
      <c r="I214" s="18">
        <f>I211*'RATES '!$C$29</f>
        <v>0</v>
      </c>
      <c r="J214" s="18">
        <f>J211*'RATES '!$C$33</f>
        <v>0</v>
      </c>
      <c r="K214" s="18">
        <f>K211*'RATES '!$C$37</f>
        <v>0</v>
      </c>
      <c r="L214" s="18"/>
      <c r="M214" s="37">
        <f>SUM(C214:K214)</f>
        <v>0</v>
      </c>
    </row>
    <row r="215" spans="1:13" ht="12.75">
      <c r="A215" s="23" t="s">
        <v>29</v>
      </c>
      <c r="B215" s="14" t="s">
        <v>27</v>
      </c>
      <c r="C215" s="18">
        <f>C210*'RATES '!$D$4</f>
        <v>0</v>
      </c>
      <c r="D215" s="18">
        <f>D210*'RATES '!$D$8</f>
        <v>0</v>
      </c>
      <c r="E215" s="18">
        <f>E210*'RATES '!$D$12</f>
        <v>0</v>
      </c>
      <c r="F215" s="18">
        <f>F210*'RATES '!$D$16</f>
        <v>0</v>
      </c>
      <c r="G215" s="18">
        <f>G210*'RATES '!$D$20</f>
        <v>0</v>
      </c>
      <c r="H215" s="18">
        <f>H210*'RATES '!$D$24</f>
        <v>0</v>
      </c>
      <c r="I215" s="18">
        <f>I210*'RATES '!$D$28</f>
        <v>0</v>
      </c>
      <c r="J215" s="18">
        <f>J210*'RATES '!$D$32</f>
        <v>0</v>
      </c>
      <c r="K215" s="18">
        <f>K210*'RATES '!$D$36</f>
        <v>0</v>
      </c>
      <c r="L215" s="18"/>
      <c r="M215" s="37">
        <f>SUM(C215:K215)</f>
        <v>0</v>
      </c>
    </row>
    <row r="216" spans="1:13" ht="12.75">
      <c r="A216" s="17"/>
      <c r="B216" s="14" t="s">
        <v>28</v>
      </c>
      <c r="C216" s="18">
        <f>C211*'RATES '!$D$5</f>
        <v>0</v>
      </c>
      <c r="D216" s="18">
        <f>D211*'RATES '!$D$9</f>
        <v>0</v>
      </c>
      <c r="E216" s="18">
        <f>E211*'RATES '!$D$13</f>
        <v>0</v>
      </c>
      <c r="F216" s="18">
        <f>F211*'RATES '!$D$17</f>
        <v>0</v>
      </c>
      <c r="G216" s="18">
        <f>G211*'RATES '!$D$21</f>
        <v>0</v>
      </c>
      <c r="H216" s="18">
        <f>H211*'RATES '!$D$25</f>
        <v>0</v>
      </c>
      <c r="I216" s="18">
        <f>I211*'RATES '!$D$29</f>
        <v>0</v>
      </c>
      <c r="J216" s="18">
        <f>J211*'RATES '!$D$33</f>
        <v>0</v>
      </c>
      <c r="K216" s="18">
        <f>K211*'RATES '!$D$37</f>
        <v>0</v>
      </c>
      <c r="L216" s="18"/>
      <c r="M216" s="37">
        <f>SUM(C216:K216)</f>
        <v>0</v>
      </c>
    </row>
    <row r="217" spans="1:13" ht="12.75">
      <c r="A217" s="17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37"/>
    </row>
    <row r="218" spans="1:13" ht="15">
      <c r="A218" s="25" t="s">
        <v>55</v>
      </c>
      <c r="C218" s="14"/>
      <c r="D218" s="14"/>
      <c r="E218" s="14"/>
      <c r="F218" s="14"/>
      <c r="G218" s="26"/>
      <c r="H218" s="26"/>
      <c r="I218" s="26"/>
      <c r="J218" s="26"/>
      <c r="K218" s="26"/>
      <c r="L218" s="14"/>
      <c r="M218" s="36"/>
    </row>
    <row r="219" spans="1:13" ht="12.75">
      <c r="A219" s="19" t="s">
        <v>25</v>
      </c>
      <c r="C219" s="14"/>
      <c r="D219" s="14"/>
      <c r="E219" s="14">
        <v>-1057</v>
      </c>
      <c r="F219" s="14">
        <v>-1750</v>
      </c>
      <c r="G219" s="16"/>
      <c r="H219" s="16"/>
      <c r="I219" s="16"/>
      <c r="J219" s="16"/>
      <c r="K219" s="16"/>
      <c r="L219" s="14"/>
      <c r="M219" s="36"/>
    </row>
    <row r="220" spans="1:13" ht="12.75">
      <c r="A220" s="17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37"/>
    </row>
    <row r="221" spans="1:13" ht="12.75">
      <c r="A221" s="23" t="s">
        <v>56</v>
      </c>
      <c r="B221" s="14" t="s">
        <v>28</v>
      </c>
      <c r="C221" s="18">
        <f>C219*'RATES '!$E$5</f>
        <v>0</v>
      </c>
      <c r="D221" s="18">
        <f>D219*'RATES '!$E$9</f>
        <v>0</v>
      </c>
      <c r="E221" s="18">
        <f>E219*'RATES '!$E$13</f>
        <v>-3.110751</v>
      </c>
      <c r="F221" s="18">
        <f>F219*'RATES '!$E$17</f>
        <v>-6.8985</v>
      </c>
      <c r="G221" s="18">
        <f>G219*'RATES '!$E$21</f>
        <v>0</v>
      </c>
      <c r="H221" s="18">
        <f>H219*'RATES '!$E$25</f>
        <v>0</v>
      </c>
      <c r="I221" s="18">
        <f>I219*'RATES '!$E$29</f>
        <v>0</v>
      </c>
      <c r="J221" s="18">
        <f>J219*'RATES '!$E$33</f>
        <v>0</v>
      </c>
      <c r="K221" s="18">
        <f>K219*'RATES '!$E$37</f>
        <v>0</v>
      </c>
      <c r="L221" s="18"/>
      <c r="M221" s="37">
        <f>SUM(C221:K221)</f>
        <v>-10.009251</v>
      </c>
    </row>
    <row r="222" spans="1:13" ht="12.75">
      <c r="A222" s="23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37"/>
    </row>
    <row r="223" spans="1:13" ht="15">
      <c r="A223" s="25" t="s">
        <v>77</v>
      </c>
      <c r="C223" s="14"/>
      <c r="D223" s="14"/>
      <c r="E223" s="14"/>
      <c r="F223" s="14"/>
      <c r="G223" s="26"/>
      <c r="H223" s="26"/>
      <c r="I223" s="26"/>
      <c r="J223" s="26"/>
      <c r="K223" s="26"/>
      <c r="L223" s="14"/>
      <c r="M223" s="36"/>
    </row>
    <row r="224" spans="1:13" ht="12.75">
      <c r="A224" s="19" t="s">
        <v>25</v>
      </c>
      <c r="C224" s="14">
        <v>7345963</v>
      </c>
      <c r="D224" s="14">
        <v>5637730</v>
      </c>
      <c r="E224" s="14">
        <v>2126158</v>
      </c>
      <c r="F224" s="14">
        <v>2262102</v>
      </c>
      <c r="G224" s="16">
        <v>11364</v>
      </c>
      <c r="H224" s="16">
        <v>15940</v>
      </c>
      <c r="I224" s="16">
        <v>7149</v>
      </c>
      <c r="J224" s="16">
        <v>507</v>
      </c>
      <c r="K224" s="16">
        <v>126</v>
      </c>
      <c r="L224" s="14">
        <v>4535</v>
      </c>
      <c r="M224" s="36"/>
    </row>
    <row r="225" spans="1:13" ht="12.75">
      <c r="A225" s="17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37"/>
    </row>
    <row r="226" spans="1:13" ht="12.75">
      <c r="A226" s="23" t="s">
        <v>78</v>
      </c>
      <c r="B226" s="14" t="s">
        <v>28</v>
      </c>
      <c r="C226" s="18">
        <f>C224*'RATES '!$F$5</f>
        <v>35260.6224</v>
      </c>
      <c r="D226" s="18">
        <f>D224*'RATES '!$F$9</f>
        <v>23114.693000000003</v>
      </c>
      <c r="E226" s="18">
        <f>E224*'RATES '!$F$13</f>
        <v>6803.7056</v>
      </c>
      <c r="F226" s="18">
        <f>F224*'RATES '!$F$17</f>
        <v>7691.1467999999995</v>
      </c>
      <c r="G226" s="18">
        <f>G224*'RATES '!$F$21</f>
        <v>7438.8744</v>
      </c>
      <c r="H226" s="18">
        <f>H224*'RATES '!$F$25</f>
        <v>11095.834</v>
      </c>
      <c r="I226" s="18">
        <f>I224*'RATES '!$F$29</f>
        <v>698.4572999999999</v>
      </c>
      <c r="J226" s="18">
        <f>J224*'RATES '!$F$33</f>
        <v>578.1828</v>
      </c>
      <c r="K226" s="18">
        <f>K224*'RATES '!$F$37</f>
        <v>200.403</v>
      </c>
      <c r="L226" s="18">
        <f>L224*'RATES '!$F$40</f>
        <v>14.512</v>
      </c>
      <c r="M226" s="37">
        <f>SUM(C226:L226)</f>
        <v>92896.43130000001</v>
      </c>
    </row>
    <row r="227" spans="1:13" ht="12.75">
      <c r="A227" s="23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37"/>
    </row>
    <row r="228" spans="3:13" ht="12.75">
      <c r="C228" s="39">
        <f aca="true" t="shared" si="10" ref="C228:L228">SUM(C213:C216)+C221+C226</f>
        <v>35260.6224</v>
      </c>
      <c r="D228" s="39">
        <f t="shared" si="10"/>
        <v>23114.693000000003</v>
      </c>
      <c r="E228" s="39">
        <f t="shared" si="10"/>
        <v>6800.594849</v>
      </c>
      <c r="F228" s="39">
        <f t="shared" si="10"/>
        <v>7684.248299999999</v>
      </c>
      <c r="G228" s="39">
        <f t="shared" si="10"/>
        <v>7438.8744</v>
      </c>
      <c r="H228" s="39">
        <f t="shared" si="10"/>
        <v>11095.834</v>
      </c>
      <c r="I228" s="39">
        <f t="shared" si="10"/>
        <v>698.4572999999999</v>
      </c>
      <c r="J228" s="39">
        <f t="shared" si="10"/>
        <v>578.1828</v>
      </c>
      <c r="K228" s="39">
        <f t="shared" si="10"/>
        <v>200.403</v>
      </c>
      <c r="L228" s="39">
        <f t="shared" si="10"/>
        <v>14.512</v>
      </c>
      <c r="M228" s="38">
        <f>SUM(M213:M216)+M221+M226+0.53</f>
        <v>92886.95204900001</v>
      </c>
    </row>
    <row r="230" spans="1:13" ht="15">
      <c r="A230" s="10" t="s">
        <v>86</v>
      </c>
      <c r="B230" s="11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 ht="15">
      <c r="A231" s="25" t="s">
        <v>54</v>
      </c>
      <c r="B231" s="11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 ht="12.75">
      <c r="A232" s="19" t="s">
        <v>24</v>
      </c>
      <c r="C232" s="14"/>
      <c r="D232" s="14"/>
      <c r="E232" s="14"/>
      <c r="F232" s="14"/>
      <c r="G232" s="14"/>
      <c r="H232" s="14"/>
      <c r="I232" s="14"/>
      <c r="J232" s="15"/>
      <c r="K232" s="15"/>
      <c r="L232" s="14"/>
      <c r="M232" s="36"/>
    </row>
    <row r="233" spans="1:13" ht="12.75">
      <c r="A233" s="19" t="s">
        <v>25</v>
      </c>
      <c r="C233" s="14">
        <v>8873</v>
      </c>
      <c r="D233" s="14"/>
      <c r="E233" s="14"/>
      <c r="F233" s="14"/>
      <c r="G233" s="16"/>
      <c r="H233" s="16"/>
      <c r="I233" s="16"/>
      <c r="J233" s="16"/>
      <c r="K233" s="16"/>
      <c r="L233" s="14"/>
      <c r="M233" s="36"/>
    </row>
    <row r="234" spans="1:13" ht="12.75">
      <c r="A234" s="19"/>
      <c r="C234" s="14"/>
      <c r="D234" s="14"/>
      <c r="E234" s="14"/>
      <c r="F234" s="14"/>
      <c r="G234" s="26"/>
      <c r="H234" s="26"/>
      <c r="I234" s="26"/>
      <c r="J234" s="26"/>
      <c r="K234" s="26"/>
      <c r="L234" s="14"/>
      <c r="M234" s="36"/>
    </row>
    <row r="235" spans="1:13" ht="12.75">
      <c r="A235" s="23" t="s">
        <v>26</v>
      </c>
      <c r="B235" s="14" t="s">
        <v>27</v>
      </c>
      <c r="C235" s="18">
        <f>C232*'RATES '!$C$4</f>
        <v>0</v>
      </c>
      <c r="D235" s="18">
        <f>D232*'RATES '!$C$8</f>
        <v>0</v>
      </c>
      <c r="E235" s="18">
        <f>E232*'RATES '!$C$12</f>
        <v>0</v>
      </c>
      <c r="F235" s="18">
        <f>F232*'RATES '!$C$16</f>
        <v>0</v>
      </c>
      <c r="G235" s="18">
        <f>G232*'RATES '!$C$20</f>
        <v>0</v>
      </c>
      <c r="H235" s="18">
        <f>H232*'RATES '!$C$24</f>
        <v>0</v>
      </c>
      <c r="I235" s="18">
        <f>I232*'RATES '!$C$28</f>
        <v>0</v>
      </c>
      <c r="J235" s="18">
        <f>J232*'RATES '!$C$32</f>
        <v>0</v>
      </c>
      <c r="K235" s="18">
        <f>K232*'RATES '!$C$36</f>
        <v>0</v>
      </c>
      <c r="L235" s="18"/>
      <c r="M235" s="37">
        <f>SUM(C235:K235)</f>
        <v>0</v>
      </c>
    </row>
    <row r="236" spans="1:13" ht="12.75">
      <c r="A236" s="24"/>
      <c r="B236" s="14" t="s">
        <v>28</v>
      </c>
      <c r="C236" s="18">
        <f>C233*'RATES '!$C$5</f>
        <v>6.521655</v>
      </c>
      <c r="D236" s="18">
        <f>D233*'RATES '!$C$9</f>
        <v>0</v>
      </c>
      <c r="E236" s="18">
        <f>E233*'RATES '!$C$13</f>
        <v>0</v>
      </c>
      <c r="F236" s="18">
        <f>F233*'RATES '!$C$17</f>
        <v>0</v>
      </c>
      <c r="G236" s="18">
        <f>G233*'RATES '!$C$21</f>
        <v>0</v>
      </c>
      <c r="H236" s="18">
        <f>H233*'RATES '!$C$25</f>
        <v>0</v>
      </c>
      <c r="I236" s="18">
        <f>I233*'RATES '!$C$29</f>
        <v>0</v>
      </c>
      <c r="J236" s="18">
        <f>J233*'RATES '!$C$33</f>
        <v>0</v>
      </c>
      <c r="K236" s="18">
        <f>K233*'RATES '!$C$37</f>
        <v>0</v>
      </c>
      <c r="L236" s="18"/>
      <c r="M236" s="37">
        <f>SUM(C236:K236)</f>
        <v>6.521655</v>
      </c>
    </row>
    <row r="237" spans="1:13" ht="12.75">
      <c r="A237" s="23" t="s">
        <v>29</v>
      </c>
      <c r="B237" s="14" t="s">
        <v>27</v>
      </c>
      <c r="C237" s="18">
        <f>C232*'RATES '!$D$4</f>
        <v>0</v>
      </c>
      <c r="D237" s="18">
        <f>D232*'RATES '!$D$8</f>
        <v>0</v>
      </c>
      <c r="E237" s="18">
        <f>E232*'RATES '!$D$12</f>
        <v>0</v>
      </c>
      <c r="F237" s="18">
        <f>F232*'RATES '!$D$16</f>
        <v>0</v>
      </c>
      <c r="G237" s="18">
        <f>G232*'RATES '!$D$20</f>
        <v>0</v>
      </c>
      <c r="H237" s="18">
        <f>H232*'RATES '!$D$24</f>
        <v>0</v>
      </c>
      <c r="I237" s="18">
        <f>I232*'RATES '!$D$28</f>
        <v>0</v>
      </c>
      <c r="J237" s="18">
        <f>J232*'RATES '!$D$32</f>
        <v>0</v>
      </c>
      <c r="K237" s="18">
        <f>K232*'RATES '!$D$36</f>
        <v>0</v>
      </c>
      <c r="L237" s="18"/>
      <c r="M237" s="37">
        <f>SUM(C237:K237)</f>
        <v>0</v>
      </c>
    </row>
    <row r="238" spans="1:13" ht="12.75">
      <c r="A238" s="17"/>
      <c r="B238" s="14" t="s">
        <v>28</v>
      </c>
      <c r="C238" s="18">
        <f>C233*'RATES '!$D$5</f>
        <v>21.295199999999998</v>
      </c>
      <c r="D238" s="18">
        <f>D233*'RATES '!$D$9</f>
        <v>0</v>
      </c>
      <c r="E238" s="18">
        <f>E233*'RATES '!$D$13</f>
        <v>0</v>
      </c>
      <c r="F238" s="18">
        <f>F233*'RATES '!$D$17</f>
        <v>0</v>
      </c>
      <c r="G238" s="18">
        <f>G233*'RATES '!$D$21</f>
        <v>0</v>
      </c>
      <c r="H238" s="18">
        <f>H233*'RATES '!$D$25</f>
        <v>0</v>
      </c>
      <c r="I238" s="18">
        <f>I233*'RATES '!$D$29</f>
        <v>0</v>
      </c>
      <c r="J238" s="18">
        <f>J233*'RATES '!$D$33</f>
        <v>0</v>
      </c>
      <c r="K238" s="18">
        <f>K233*'RATES '!$D$37</f>
        <v>0</v>
      </c>
      <c r="L238" s="18"/>
      <c r="M238" s="37">
        <f>SUM(C238:K238)</f>
        <v>21.295199999999998</v>
      </c>
    </row>
    <row r="239" spans="1:13" ht="12.75">
      <c r="A239" s="17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37"/>
    </row>
    <row r="240" spans="1:13" ht="15">
      <c r="A240" s="25" t="s">
        <v>55</v>
      </c>
      <c r="C240" s="14"/>
      <c r="D240" s="14"/>
      <c r="E240" s="14"/>
      <c r="F240" s="14"/>
      <c r="G240" s="26"/>
      <c r="H240" s="26"/>
      <c r="I240" s="26"/>
      <c r="J240" s="26"/>
      <c r="K240" s="26"/>
      <c r="L240" s="14"/>
      <c r="M240" s="36"/>
    </row>
    <row r="241" spans="1:13" ht="12.75">
      <c r="A241" s="19" t="s">
        <v>25</v>
      </c>
      <c r="C241" s="14">
        <v>692</v>
      </c>
      <c r="D241" s="14"/>
      <c r="E241" s="14"/>
      <c r="F241" s="14"/>
      <c r="G241" s="16"/>
      <c r="H241" s="16"/>
      <c r="I241" s="16"/>
      <c r="J241" s="16"/>
      <c r="K241" s="16"/>
      <c r="L241" s="14"/>
      <c r="M241" s="36"/>
    </row>
    <row r="242" spans="1:13" ht="12.75">
      <c r="A242" s="17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37"/>
    </row>
    <row r="243" spans="1:13" ht="12.75">
      <c r="A243" s="23" t="s">
        <v>56</v>
      </c>
      <c r="B243" s="14" t="s">
        <v>28</v>
      </c>
      <c r="C243" s="18">
        <f>C241*'RATES '!$E$5</f>
        <v>2.880796</v>
      </c>
      <c r="D243" s="18">
        <f>D241*'RATES '!$E$9</f>
        <v>0</v>
      </c>
      <c r="E243" s="18">
        <f>E241*'RATES '!$E$13</f>
        <v>0</v>
      </c>
      <c r="F243" s="18">
        <f>F241*'RATES '!$E$17</f>
        <v>0</v>
      </c>
      <c r="G243" s="18">
        <f>G241*'RATES '!$E$21</f>
        <v>0</v>
      </c>
      <c r="H243" s="18">
        <f>H241*'RATES '!$E$25</f>
        <v>0</v>
      </c>
      <c r="I243" s="18">
        <f>I241*'RATES '!$E$29</f>
        <v>0</v>
      </c>
      <c r="J243" s="18">
        <f>J241*'RATES '!$E$33</f>
        <v>0</v>
      </c>
      <c r="K243" s="18">
        <f>K241*'RATES '!$E$37</f>
        <v>0</v>
      </c>
      <c r="L243" s="18"/>
      <c r="M243" s="37">
        <f>SUM(C243:K243)</f>
        <v>2.880796</v>
      </c>
    </row>
    <row r="244" spans="1:13" ht="12.75">
      <c r="A244" s="23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37"/>
    </row>
    <row r="245" spans="1:13" ht="15">
      <c r="A245" s="25" t="s">
        <v>77</v>
      </c>
      <c r="C245" s="14"/>
      <c r="D245" s="14"/>
      <c r="E245" s="14"/>
      <c r="F245" s="14"/>
      <c r="G245" s="26"/>
      <c r="H245" s="26"/>
      <c r="I245" s="26"/>
      <c r="J245" s="26"/>
      <c r="K245" s="26"/>
      <c r="L245" s="14"/>
      <c r="M245" s="36"/>
    </row>
    <row r="246" spans="1:13" ht="12.75">
      <c r="A246" s="19" t="s">
        <v>25</v>
      </c>
      <c r="C246" s="14">
        <v>7188794</v>
      </c>
      <c r="D246" s="14">
        <v>6139088</v>
      </c>
      <c r="E246" s="14">
        <v>1828333</v>
      </c>
      <c r="F246" s="14">
        <v>2167420</v>
      </c>
      <c r="G246" s="16">
        <v>10193</v>
      </c>
      <c r="H246" s="16">
        <v>17649</v>
      </c>
      <c r="I246" s="16">
        <v>7733</v>
      </c>
      <c r="J246" s="16">
        <v>507</v>
      </c>
      <c r="K246" s="16">
        <v>120</v>
      </c>
      <c r="L246" s="14">
        <v>4535</v>
      </c>
      <c r="M246" s="36"/>
    </row>
    <row r="247" spans="1:13" ht="12.75">
      <c r="A247" s="17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37"/>
    </row>
    <row r="248" spans="1:13" ht="12.75">
      <c r="A248" s="23" t="s">
        <v>78</v>
      </c>
      <c r="B248" s="14" t="s">
        <v>28</v>
      </c>
      <c r="C248" s="18">
        <f>C246*'RATES '!$F$5</f>
        <v>34506.2112</v>
      </c>
      <c r="D248" s="18">
        <f>D246*'RATES '!$F$9</f>
        <v>25170.260800000004</v>
      </c>
      <c r="E248" s="18">
        <f>E246*'RATES '!$F$13</f>
        <v>5850.6656</v>
      </c>
      <c r="F248" s="18">
        <f>F246*'RATES '!$F$17</f>
        <v>7369.227999999999</v>
      </c>
      <c r="G248" s="18">
        <f>G246*'RATES '!$F$21</f>
        <v>6672.337799999999</v>
      </c>
      <c r="H248" s="18">
        <f>H246*'RATES '!$F$25</f>
        <v>12285.468900000002</v>
      </c>
      <c r="I248" s="18">
        <f>I246*'RATES '!$F$29</f>
        <v>755.5141</v>
      </c>
      <c r="J248" s="18">
        <f>J246*'RATES '!$F$33</f>
        <v>578.1828</v>
      </c>
      <c r="K248" s="18">
        <f>K246*'RATES '!$F$37</f>
        <v>190.86</v>
      </c>
      <c r="L248" s="18">
        <f>L246*'RATES '!$F$40</f>
        <v>14.512</v>
      </c>
      <c r="M248" s="37">
        <f>SUM(C248:L248)</f>
        <v>93393.2412</v>
      </c>
    </row>
    <row r="249" spans="1:13" ht="12.75">
      <c r="A249" s="23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37"/>
    </row>
    <row r="250" spans="3:13" ht="12.75">
      <c r="C250" s="39">
        <f aca="true" t="shared" si="11" ref="C250:L250">SUM(C235:C238)+C243+C248</f>
        <v>34536.908851</v>
      </c>
      <c r="D250" s="39">
        <f t="shared" si="11"/>
        <v>25170.260800000004</v>
      </c>
      <c r="E250" s="39">
        <f t="shared" si="11"/>
        <v>5850.6656</v>
      </c>
      <c r="F250" s="39">
        <f t="shared" si="11"/>
        <v>7369.227999999999</v>
      </c>
      <c r="G250" s="39">
        <f t="shared" si="11"/>
        <v>6672.337799999999</v>
      </c>
      <c r="H250" s="39">
        <f t="shared" si="11"/>
        <v>12285.468900000002</v>
      </c>
      <c r="I250" s="39">
        <f t="shared" si="11"/>
        <v>755.5141</v>
      </c>
      <c r="J250" s="39">
        <f t="shared" si="11"/>
        <v>578.1828</v>
      </c>
      <c r="K250" s="39">
        <f t="shared" si="11"/>
        <v>190.86</v>
      </c>
      <c r="L250" s="39">
        <f t="shared" si="11"/>
        <v>14.512</v>
      </c>
      <c r="M250" s="38">
        <f>SUM(M235:M238)+M243+M248+1.07</f>
        <v>93425.008851</v>
      </c>
    </row>
    <row r="251" ht="13.5" thickBot="1"/>
    <row r="252" spans="12:13" ht="13.5" thickBot="1">
      <c r="L252" s="28" t="s">
        <v>57</v>
      </c>
      <c r="M252" s="27">
        <f>SUM(M18,M35,M52,M74,M96,M118,M140,M162,M184,M206,M228,M250)-28</f>
        <v>1201057.0020460002</v>
      </c>
    </row>
  </sheetData>
  <sheetProtection/>
  <printOptions gridLines="1" horizontalCentered="1"/>
  <pageMargins left="0.5118110236220472" right="0.2362204724409449" top="0.5118110236220472" bottom="0.5118110236220472" header="0.2362204724409449" footer="0.2362204724409449"/>
  <pageSetup horizontalDpi="600" verticalDpi="600" orientation="portrait" scale="53" r:id="rId3"/>
  <headerFooter alignWithMargins="0">
    <oddFooter>&amp;LHaldimand County Hydro Inc.
Page &amp;P of &amp;N&amp;C&amp;"Arial,Bold"&amp;F
&amp;A&amp;R&amp;8J. Scott
September 29, 2011</oddFooter>
  </headerFooter>
  <rowBreaks count="2" manualBreakCount="2">
    <brk id="75" max="255" man="1"/>
    <brk id="163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5"/>
  <sheetViews>
    <sheetView tabSelected="1" view="pageBreakPreview" zoomScale="60" zoomScaleNormal="75" zoomScalePageLayoutView="0" workbookViewId="0" topLeftCell="A1">
      <pane xSplit="2" ySplit="1" topLeftCell="C2" activePane="bottomRight" state="frozen"/>
      <selection pane="topLeft" activeCell="L184" sqref="L184"/>
      <selection pane="topRight" activeCell="L184" sqref="L184"/>
      <selection pane="bottomLeft" activeCell="L184" sqref="L184"/>
      <selection pane="bottomRight" activeCell="H114" sqref="H114"/>
    </sheetView>
  </sheetViews>
  <sheetFormatPr defaultColWidth="9.140625" defaultRowHeight="12.75"/>
  <cols>
    <col min="1" max="1" width="39.140625" style="0" bestFit="1" customWidth="1"/>
    <col min="2" max="2" width="9.7109375" style="14" customWidth="1"/>
    <col min="3" max="3" width="14.140625" style="0" bestFit="1" customWidth="1"/>
    <col min="4" max="4" width="12.57421875" style="0" bestFit="1" customWidth="1"/>
    <col min="5" max="5" width="11.57421875" style="0" bestFit="1" customWidth="1"/>
    <col min="6" max="6" width="11.28125" style="0" bestFit="1" customWidth="1"/>
    <col min="7" max="7" width="11.7109375" style="0" customWidth="1"/>
    <col min="8" max="8" width="11.28125" style="0" bestFit="1" customWidth="1"/>
    <col min="9" max="10" width="10.28125" style="0" bestFit="1" customWidth="1"/>
    <col min="12" max="12" width="12.57421875" style="0" bestFit="1" customWidth="1"/>
    <col min="13" max="13" width="16.00390625" style="6" bestFit="1" customWidth="1"/>
  </cols>
  <sheetData>
    <row r="1" spans="1:13" s="30" customFormat="1" ht="51">
      <c r="A1" s="29" t="s">
        <v>88</v>
      </c>
      <c r="B1" s="34"/>
      <c r="C1" s="32" t="s">
        <v>17</v>
      </c>
      <c r="D1" s="32" t="s">
        <v>18</v>
      </c>
      <c r="E1" s="32" t="s">
        <v>97</v>
      </c>
      <c r="F1" s="32" t="s">
        <v>96</v>
      </c>
      <c r="G1" s="32" t="s">
        <v>95</v>
      </c>
      <c r="H1" s="32" t="s">
        <v>98</v>
      </c>
      <c r="I1" s="32" t="s">
        <v>19</v>
      </c>
      <c r="J1" s="32" t="s">
        <v>20</v>
      </c>
      <c r="K1" s="32" t="s">
        <v>100</v>
      </c>
      <c r="L1" s="32" t="s">
        <v>99</v>
      </c>
      <c r="M1" s="32" t="s">
        <v>22</v>
      </c>
    </row>
    <row r="2" spans="1:13" ht="12.75">
      <c r="A2" s="8"/>
      <c r="B2" s="9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10" t="s">
        <v>89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35"/>
    </row>
    <row r="4" spans="1:13" ht="15.75">
      <c r="A4" s="25" t="s">
        <v>54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35"/>
    </row>
    <row r="5" spans="1:13" ht="12.75">
      <c r="A5" s="19" t="s">
        <v>24</v>
      </c>
      <c r="C5" s="14"/>
      <c r="D5" s="14">
        <v>-4</v>
      </c>
      <c r="E5" s="14"/>
      <c r="F5" s="14">
        <v>-11</v>
      </c>
      <c r="G5" s="14"/>
      <c r="H5" s="14"/>
      <c r="I5" s="14"/>
      <c r="J5" s="15"/>
      <c r="K5" s="15"/>
      <c r="L5" s="14"/>
      <c r="M5" s="36"/>
    </row>
    <row r="6" spans="1:13" ht="12.75">
      <c r="A6" s="19" t="s">
        <v>25</v>
      </c>
      <c r="C6" s="14"/>
      <c r="D6" s="14">
        <v>-7578</v>
      </c>
      <c r="E6" s="14"/>
      <c r="F6" s="14">
        <v>-12046</v>
      </c>
      <c r="G6" s="16"/>
      <c r="H6" s="16"/>
      <c r="I6" s="16"/>
      <c r="J6" s="16"/>
      <c r="K6" s="16"/>
      <c r="L6" s="14"/>
      <c r="M6" s="36"/>
    </row>
    <row r="7" spans="1:13" ht="12.75">
      <c r="A7" s="19"/>
      <c r="C7" s="14"/>
      <c r="D7" s="14"/>
      <c r="E7" s="14"/>
      <c r="F7" s="14"/>
      <c r="G7" s="26"/>
      <c r="H7" s="26"/>
      <c r="I7" s="26"/>
      <c r="J7" s="26"/>
      <c r="K7" s="26"/>
      <c r="L7" s="14"/>
      <c r="M7" s="36"/>
    </row>
    <row r="8" spans="1:13" ht="12.75">
      <c r="A8" s="23" t="s">
        <v>26</v>
      </c>
      <c r="B8" s="14" t="s">
        <v>27</v>
      </c>
      <c r="C8" s="18">
        <f>C5*'RATES '!$C$4</f>
        <v>0</v>
      </c>
      <c r="D8" s="18">
        <f>D5*'RATES '!$C$8</f>
        <v>-2.198</v>
      </c>
      <c r="E8" s="18">
        <f>E5*'RATES '!$C$12</f>
        <v>0</v>
      </c>
      <c r="F8" s="18">
        <f>F5*'RATES '!$C$16</f>
        <v>-9.3566</v>
      </c>
      <c r="G8" s="18">
        <f>G5*'RATES '!$C$20</f>
        <v>0</v>
      </c>
      <c r="H8" s="18">
        <f>H5*'RATES '!$C$24</f>
        <v>0</v>
      </c>
      <c r="I8" s="18">
        <f>I5*'RATES '!$C$28</f>
        <v>0</v>
      </c>
      <c r="J8" s="18">
        <f>J5*'RATES '!$C$32</f>
        <v>0</v>
      </c>
      <c r="K8" s="18">
        <f>K5*'RATES '!$C$36</f>
        <v>0</v>
      </c>
      <c r="L8" s="18"/>
      <c r="M8" s="37">
        <f>SUM(C8:K8)</f>
        <v>-11.5546</v>
      </c>
    </row>
    <row r="9" spans="1:13" ht="12.75">
      <c r="A9" s="24"/>
      <c r="B9" s="14" t="s">
        <v>28</v>
      </c>
      <c r="C9" s="18">
        <f>C6*'RATES '!$C$5</f>
        <v>0</v>
      </c>
      <c r="D9" s="18">
        <f>D6*'RATES '!$C$9</f>
        <v>-5.638032</v>
      </c>
      <c r="E9" s="18">
        <f>E6*'RATES '!$C$13</f>
        <v>0</v>
      </c>
      <c r="F9" s="18">
        <f>F6*'RATES '!$C$17</f>
        <v>-6.492794</v>
      </c>
      <c r="G9" s="18">
        <f>G6*'RATES '!$C$21</f>
        <v>0</v>
      </c>
      <c r="H9" s="18">
        <f>H6*'RATES '!$C$25</f>
        <v>0</v>
      </c>
      <c r="I9" s="18">
        <f>I6*'RATES '!$C$29</f>
        <v>0</v>
      </c>
      <c r="J9" s="18">
        <f>J6*'RATES '!$C$33</f>
        <v>0</v>
      </c>
      <c r="K9" s="18">
        <f>K6*'RATES '!$C$37</f>
        <v>0</v>
      </c>
      <c r="L9" s="18"/>
      <c r="M9" s="37">
        <f>SUM(C9:K9)</f>
        <v>-12.130825999999999</v>
      </c>
    </row>
    <row r="10" spans="1:13" ht="12.75">
      <c r="A10" s="23" t="s">
        <v>29</v>
      </c>
      <c r="B10" s="14" t="s">
        <v>27</v>
      </c>
      <c r="C10" s="18">
        <f>C5*'RATES '!$D$4</f>
        <v>0</v>
      </c>
      <c r="D10" s="18">
        <f>D5*'RATES '!$D$8</f>
        <v>-7.1944</v>
      </c>
      <c r="E10" s="18">
        <f>E5*'RATES '!$D$12</f>
        <v>0</v>
      </c>
      <c r="F10" s="18">
        <f>F5*'RATES '!$D$16</f>
        <v>-30.628400000000003</v>
      </c>
      <c r="G10" s="18">
        <f>G5*'RATES '!$D$20</f>
        <v>0</v>
      </c>
      <c r="H10" s="18">
        <f>H5*'RATES '!$D$24</f>
        <v>0</v>
      </c>
      <c r="I10" s="18">
        <f>I5*'RATES '!$D$28</f>
        <v>0</v>
      </c>
      <c r="J10" s="18">
        <f>J5*'RATES '!$D$32</f>
        <v>0</v>
      </c>
      <c r="K10" s="18">
        <f>K5*'RATES '!$D$36</f>
        <v>0</v>
      </c>
      <c r="L10" s="18"/>
      <c r="M10" s="37">
        <f>SUM(C10:K10)</f>
        <v>-37.8228</v>
      </c>
    </row>
    <row r="11" spans="1:13" ht="12.75">
      <c r="A11" s="17"/>
      <c r="B11" s="14" t="s">
        <v>28</v>
      </c>
      <c r="C11" s="18">
        <f>C6*'RATES '!$D$5</f>
        <v>0</v>
      </c>
      <c r="D11" s="18">
        <f>D6*'RATES '!$D$9</f>
        <v>-18.187199999999997</v>
      </c>
      <c r="E11" s="18">
        <f>E6*'RATES '!$D$13</f>
        <v>0</v>
      </c>
      <c r="F11" s="18">
        <f>F6*'RATES '!$D$17</f>
        <v>-21.6828</v>
      </c>
      <c r="G11" s="18">
        <f>G6*'RATES '!$D$21</f>
        <v>0</v>
      </c>
      <c r="H11" s="18">
        <f>H6*'RATES '!$D$25</f>
        <v>0</v>
      </c>
      <c r="I11" s="18">
        <f>I6*'RATES '!$D$29</f>
        <v>0</v>
      </c>
      <c r="J11" s="18">
        <f>J6*'RATES '!$D$33</f>
        <v>0</v>
      </c>
      <c r="K11" s="18">
        <f>K6*'RATES '!$D$37</f>
        <v>0</v>
      </c>
      <c r="L11" s="18"/>
      <c r="M11" s="37">
        <f>SUM(C11:K11)</f>
        <v>-39.87</v>
      </c>
    </row>
    <row r="12" spans="1:13" ht="12.75">
      <c r="A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37"/>
    </row>
    <row r="13" spans="1:13" ht="15">
      <c r="A13" s="25" t="s">
        <v>55</v>
      </c>
      <c r="C13" s="14"/>
      <c r="D13" s="14"/>
      <c r="E13" s="14"/>
      <c r="F13" s="14"/>
      <c r="G13" s="26"/>
      <c r="H13" s="26"/>
      <c r="I13" s="26"/>
      <c r="J13" s="26"/>
      <c r="K13" s="26"/>
      <c r="L13" s="14"/>
      <c r="M13" s="36"/>
    </row>
    <row r="14" spans="1:13" ht="12.75">
      <c r="A14" s="19" t="s">
        <v>25</v>
      </c>
      <c r="C14" s="14"/>
      <c r="D14" s="14">
        <v>-13446</v>
      </c>
      <c r="E14" s="14"/>
      <c r="F14" s="14">
        <v>-16627</v>
      </c>
      <c r="G14" s="16">
        <v>-1</v>
      </c>
      <c r="H14" s="16"/>
      <c r="I14" s="16"/>
      <c r="J14" s="16"/>
      <c r="K14" s="16"/>
      <c r="L14" s="14"/>
      <c r="M14" s="36"/>
    </row>
    <row r="15" spans="1:13" ht="12.75">
      <c r="A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37"/>
    </row>
    <row r="16" spans="1:13" ht="12.75">
      <c r="A16" s="23" t="s">
        <v>56</v>
      </c>
      <c r="B16" s="14" t="s">
        <v>28</v>
      </c>
      <c r="C16" s="18">
        <f>C14*'RATES '!$E$5</f>
        <v>0</v>
      </c>
      <c r="D16" s="18">
        <f>D14*'RATES '!$E$9</f>
        <v>-49.95189</v>
      </c>
      <c r="E16" s="18">
        <f>E14*'RATES '!$E$13</f>
        <v>0</v>
      </c>
      <c r="F16" s="18">
        <f>F14*'RATES '!$E$17</f>
        <v>-65.543634</v>
      </c>
      <c r="G16" s="18">
        <f>G14*'RATES '!$E$21</f>
        <v>-0.612385</v>
      </c>
      <c r="H16" s="18">
        <f>H14*'RATES '!$E$25</f>
        <v>0</v>
      </c>
      <c r="I16" s="18">
        <f>I14*'RATES '!$E$29</f>
        <v>0</v>
      </c>
      <c r="J16" s="18">
        <f>J14*'RATES '!$E$33</f>
        <v>0</v>
      </c>
      <c r="K16" s="18">
        <f>K14*'RATES '!$E$37</f>
        <v>0</v>
      </c>
      <c r="L16" s="18">
        <f>L14*'RATES '!$E$40</f>
        <v>0</v>
      </c>
      <c r="M16" s="37">
        <f>SUM(C16:L16)</f>
        <v>-116.10790899999999</v>
      </c>
    </row>
    <row r="17" spans="1:13" ht="12.75">
      <c r="A17" s="23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37"/>
    </row>
    <row r="18" spans="1:13" ht="15">
      <c r="A18" s="25" t="s">
        <v>77</v>
      </c>
      <c r="C18" s="14"/>
      <c r="D18" s="14"/>
      <c r="E18" s="14"/>
      <c r="F18" s="14"/>
      <c r="G18" s="26"/>
      <c r="H18" s="26"/>
      <c r="I18" s="26"/>
      <c r="J18" s="26"/>
      <c r="K18" s="26"/>
      <c r="L18" s="14"/>
      <c r="M18" s="36"/>
    </row>
    <row r="19" spans="1:13" ht="12.75">
      <c r="A19" s="19" t="s">
        <v>25</v>
      </c>
      <c r="C19" s="14">
        <v>9030158</v>
      </c>
      <c r="D19" s="14">
        <v>8009878</v>
      </c>
      <c r="E19" s="14">
        <v>2192826</v>
      </c>
      <c r="F19" s="14">
        <v>2568259</v>
      </c>
      <c r="G19" s="16">
        <v>10302</v>
      </c>
      <c r="H19" s="16">
        <v>17471</v>
      </c>
      <c r="I19" s="16">
        <v>7612</v>
      </c>
      <c r="J19" s="16">
        <v>507</v>
      </c>
      <c r="K19" s="16">
        <v>120</v>
      </c>
      <c r="L19" s="14">
        <v>4535</v>
      </c>
      <c r="M19" s="36"/>
    </row>
    <row r="20" spans="1:13" ht="12.75">
      <c r="A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37"/>
    </row>
    <row r="21" spans="1:13" ht="12.75">
      <c r="A21" s="23" t="s">
        <v>78</v>
      </c>
      <c r="B21" s="14" t="s">
        <v>28</v>
      </c>
      <c r="C21" s="18">
        <f>C19*'RATES '!$F$5</f>
        <v>43344.7584</v>
      </c>
      <c r="D21" s="18">
        <f>D19*'RATES '!$F$9</f>
        <v>32840.499800000005</v>
      </c>
      <c r="E21" s="18">
        <f>E19*'RATES '!$F$13</f>
        <v>7017.0432</v>
      </c>
      <c r="F21" s="18">
        <f>F19*'RATES '!$F$17</f>
        <v>8732.0806</v>
      </c>
      <c r="G21" s="18">
        <f>G19*'RATES '!$F$21</f>
        <v>6743.6892</v>
      </c>
      <c r="H21" s="18">
        <f>H19*'RATES '!$F$25</f>
        <v>12161.563100000001</v>
      </c>
      <c r="I21" s="18">
        <f>I19*'RATES '!$F$29</f>
        <v>743.6923999999999</v>
      </c>
      <c r="J21" s="18">
        <f>J19*'RATES '!$F$33</f>
        <v>578.1828</v>
      </c>
      <c r="K21" s="18">
        <f>K19*'RATES '!$F$37</f>
        <v>190.86</v>
      </c>
      <c r="L21" s="18">
        <f>L19*'RATES '!$F$40</f>
        <v>14.512</v>
      </c>
      <c r="M21" s="37">
        <f>SUM(C21:L21)</f>
        <v>112366.8815</v>
      </c>
    </row>
    <row r="22" spans="1:13" ht="12.75">
      <c r="A22" s="23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37"/>
    </row>
    <row r="23" spans="3:13" ht="12.75">
      <c r="C23" s="39">
        <f aca="true" t="shared" si="0" ref="C23:L23">SUM(C8:C11)+C16+C21</f>
        <v>43344.7584</v>
      </c>
      <c r="D23" s="39">
        <f t="shared" si="0"/>
        <v>32757.330278000005</v>
      </c>
      <c r="E23" s="39">
        <f t="shared" si="0"/>
        <v>7017.0432</v>
      </c>
      <c r="F23" s="39">
        <f t="shared" si="0"/>
        <v>8598.376371999999</v>
      </c>
      <c r="G23" s="39">
        <f t="shared" si="0"/>
        <v>6743.076814999999</v>
      </c>
      <c r="H23" s="39">
        <f t="shared" si="0"/>
        <v>12161.563100000001</v>
      </c>
      <c r="I23" s="39">
        <f t="shared" si="0"/>
        <v>743.6923999999999</v>
      </c>
      <c r="J23" s="39">
        <f t="shared" si="0"/>
        <v>578.1828</v>
      </c>
      <c r="K23" s="39">
        <f t="shared" si="0"/>
        <v>190.86</v>
      </c>
      <c r="L23" s="39">
        <f t="shared" si="0"/>
        <v>14.512</v>
      </c>
      <c r="M23" s="38">
        <f>SUM(M8:M11)+M16+M21+0.62</f>
        <v>112150.015365</v>
      </c>
    </row>
    <row r="25" spans="1:13" ht="15">
      <c r="A25" s="10" t="s">
        <v>90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 ht="15">
      <c r="A26" s="25" t="s">
        <v>54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 ht="12.75">
      <c r="A27" s="19" t="s">
        <v>24</v>
      </c>
      <c r="C27" s="14"/>
      <c r="D27" s="14">
        <v>15</v>
      </c>
      <c r="E27" s="14"/>
      <c r="F27" s="14"/>
      <c r="G27" s="14"/>
      <c r="H27" s="14"/>
      <c r="I27" s="14"/>
      <c r="J27" s="15"/>
      <c r="K27" s="15"/>
      <c r="L27" s="14"/>
      <c r="M27" s="36"/>
    </row>
    <row r="28" spans="1:13" ht="12.75">
      <c r="A28" s="19" t="s">
        <v>25</v>
      </c>
      <c r="C28" s="14"/>
      <c r="D28" s="14">
        <v>19624</v>
      </c>
      <c r="E28" s="14"/>
      <c r="F28" s="14"/>
      <c r="G28" s="16"/>
      <c r="H28" s="16"/>
      <c r="I28" s="16"/>
      <c r="J28" s="16"/>
      <c r="K28" s="16"/>
      <c r="L28" s="14"/>
      <c r="M28" s="36"/>
    </row>
    <row r="29" spans="1:13" ht="12.75">
      <c r="A29" s="19"/>
      <c r="C29" s="14"/>
      <c r="D29" s="14"/>
      <c r="E29" s="14"/>
      <c r="F29" s="14"/>
      <c r="G29" s="26"/>
      <c r="H29" s="26"/>
      <c r="I29" s="26"/>
      <c r="J29" s="26"/>
      <c r="K29" s="26"/>
      <c r="L29" s="14"/>
      <c r="M29" s="36"/>
    </row>
    <row r="30" spans="1:13" ht="12.75">
      <c r="A30" s="23" t="s">
        <v>26</v>
      </c>
      <c r="B30" s="14" t="s">
        <v>27</v>
      </c>
      <c r="C30" s="18">
        <f>C27*'RATES '!$C$4</f>
        <v>0</v>
      </c>
      <c r="D30" s="18">
        <f>D27*'RATES '!$C$8</f>
        <v>8.2425</v>
      </c>
      <c r="E30" s="18">
        <f>E27*'RATES '!$C$12</f>
        <v>0</v>
      </c>
      <c r="F30" s="18">
        <f>F27*'RATES '!$C$16</f>
        <v>0</v>
      </c>
      <c r="G30" s="18">
        <f>G27*'RATES '!$C$20</f>
        <v>0</v>
      </c>
      <c r="H30" s="18">
        <f>H27*'RATES '!$C$24</f>
        <v>0</v>
      </c>
      <c r="I30" s="18">
        <f>I27*'RATES '!$C$28</f>
        <v>0</v>
      </c>
      <c r="J30" s="18">
        <f>J27*'RATES '!$C$32</f>
        <v>0</v>
      </c>
      <c r="K30" s="18">
        <f>K27*'RATES '!$C$36</f>
        <v>0</v>
      </c>
      <c r="L30" s="18"/>
      <c r="M30" s="37">
        <f>SUM(C30:K30)</f>
        <v>8.2425</v>
      </c>
    </row>
    <row r="31" spans="1:13" ht="12.75">
      <c r="A31" s="24"/>
      <c r="B31" s="14" t="s">
        <v>28</v>
      </c>
      <c r="C31" s="18">
        <f>C28*'RATES '!$C$5</f>
        <v>0</v>
      </c>
      <c r="D31" s="18">
        <f>D28*'RATES '!$C$9</f>
        <v>14.600256</v>
      </c>
      <c r="E31" s="18">
        <f>E28*'RATES '!$C$13</f>
        <v>0</v>
      </c>
      <c r="F31" s="18">
        <f>F28*'RATES '!$C$17</f>
        <v>0</v>
      </c>
      <c r="G31" s="18">
        <f>G28*'RATES '!$C$21</f>
        <v>0</v>
      </c>
      <c r="H31" s="18">
        <f>H28*'RATES '!$C$25</f>
        <v>0</v>
      </c>
      <c r="I31" s="18">
        <f>I28*'RATES '!$C$29</f>
        <v>0</v>
      </c>
      <c r="J31" s="18">
        <f>J28*'RATES '!$C$33</f>
        <v>0</v>
      </c>
      <c r="K31" s="18">
        <f>K28*'RATES '!$C$37</f>
        <v>0</v>
      </c>
      <c r="L31" s="18"/>
      <c r="M31" s="37">
        <f>SUM(C31:K31)</f>
        <v>14.600256</v>
      </c>
    </row>
    <row r="32" spans="1:13" ht="12.75">
      <c r="A32" s="23" t="s">
        <v>29</v>
      </c>
      <c r="B32" s="14" t="s">
        <v>27</v>
      </c>
      <c r="C32" s="18">
        <f>C27*'RATES '!$D$4</f>
        <v>0</v>
      </c>
      <c r="D32" s="18">
        <f>D27*'RATES '!$D$8</f>
        <v>26.979</v>
      </c>
      <c r="E32" s="18">
        <f>E27*'RATES '!$D$12</f>
        <v>0</v>
      </c>
      <c r="F32" s="18">
        <f>F27*'RATES '!$D$16</f>
        <v>0</v>
      </c>
      <c r="G32" s="18">
        <f>G27*'RATES '!$D$20</f>
        <v>0</v>
      </c>
      <c r="H32" s="18">
        <f>H27*'RATES '!$D$24</f>
        <v>0</v>
      </c>
      <c r="I32" s="18">
        <f>I27*'RATES '!$D$28</f>
        <v>0</v>
      </c>
      <c r="J32" s="18">
        <f>J27*'RATES '!$D$32</f>
        <v>0</v>
      </c>
      <c r="K32" s="18">
        <f>K27*'RATES '!$D$36</f>
        <v>0</v>
      </c>
      <c r="L32" s="18"/>
      <c r="M32" s="37">
        <f>SUM(C32:K32)</f>
        <v>26.979</v>
      </c>
    </row>
    <row r="33" spans="1:13" ht="12.75">
      <c r="A33" s="17"/>
      <c r="B33" s="14" t="s">
        <v>28</v>
      </c>
      <c r="C33" s="18">
        <f>C28*'RATES '!$D$5</f>
        <v>0</v>
      </c>
      <c r="D33" s="18">
        <f>D28*'RATES '!$D$9</f>
        <v>47.09759999999999</v>
      </c>
      <c r="E33" s="18">
        <f>E28*'RATES '!$D$13</f>
        <v>0</v>
      </c>
      <c r="F33" s="18">
        <f>F28*'RATES '!$D$17</f>
        <v>0</v>
      </c>
      <c r="G33" s="18">
        <f>G28*'RATES '!$D$21</f>
        <v>0</v>
      </c>
      <c r="H33" s="18">
        <f>H28*'RATES '!$D$25</f>
        <v>0</v>
      </c>
      <c r="I33" s="18">
        <f>I28*'RATES '!$D$29</f>
        <v>0</v>
      </c>
      <c r="J33" s="18">
        <f>J28*'RATES '!$D$33</f>
        <v>0</v>
      </c>
      <c r="K33" s="18">
        <f>K28*'RATES '!$D$37</f>
        <v>0</v>
      </c>
      <c r="L33" s="18"/>
      <c r="M33" s="37">
        <f>SUM(C33:K33)</f>
        <v>47.09759999999999</v>
      </c>
    </row>
    <row r="34" spans="1:13" ht="12.75">
      <c r="A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37"/>
    </row>
    <row r="35" spans="1:13" ht="15">
      <c r="A35" s="25" t="s">
        <v>55</v>
      </c>
      <c r="C35" s="14"/>
      <c r="D35" s="14"/>
      <c r="E35" s="14"/>
      <c r="F35" s="14"/>
      <c r="G35" s="26"/>
      <c r="H35" s="26"/>
      <c r="I35" s="26"/>
      <c r="J35" s="26"/>
      <c r="K35" s="26"/>
      <c r="L35" s="14"/>
      <c r="M35" s="36"/>
    </row>
    <row r="36" spans="1:13" ht="12.75">
      <c r="A36" s="19" t="s">
        <v>25</v>
      </c>
      <c r="C36" s="14"/>
      <c r="D36" s="14">
        <v>30073</v>
      </c>
      <c r="E36" s="14"/>
      <c r="F36" s="14"/>
      <c r="G36" s="16"/>
      <c r="H36" s="16"/>
      <c r="I36" s="16"/>
      <c r="J36" s="16"/>
      <c r="K36" s="16"/>
      <c r="L36" s="14"/>
      <c r="M36" s="36"/>
    </row>
    <row r="37" spans="1:13" ht="12.75">
      <c r="A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37"/>
    </row>
    <row r="38" spans="1:13" ht="12.75">
      <c r="A38" s="23" t="s">
        <v>56</v>
      </c>
      <c r="B38" s="14" t="s">
        <v>28</v>
      </c>
      <c r="C38" s="18">
        <f>C36*'RATES '!$E$5</f>
        <v>0</v>
      </c>
      <c r="D38" s="18">
        <f>D36*'RATES '!$E$9</f>
        <v>111.721195</v>
      </c>
      <c r="E38" s="18">
        <f>E36*'RATES '!$E$13</f>
        <v>0</v>
      </c>
      <c r="F38" s="18">
        <f>F36*'RATES '!$E$17</f>
        <v>0</v>
      </c>
      <c r="G38" s="18">
        <f>G36*'RATES '!$E$21</f>
        <v>0</v>
      </c>
      <c r="H38" s="18">
        <f>H36*'RATES '!$E$25</f>
        <v>0</v>
      </c>
      <c r="I38" s="18">
        <f>I36*'RATES '!$E$29</f>
        <v>0</v>
      </c>
      <c r="J38" s="18">
        <f>J36*'RATES '!$E$33</f>
        <v>0</v>
      </c>
      <c r="K38" s="18">
        <f>K36*'RATES '!$E$37</f>
        <v>0</v>
      </c>
      <c r="L38" s="18"/>
      <c r="M38" s="37">
        <f>SUM(C38:K38)</f>
        <v>111.721195</v>
      </c>
    </row>
    <row r="39" spans="1:13" ht="12.75">
      <c r="A39" s="2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37"/>
    </row>
    <row r="40" spans="1:13" ht="15">
      <c r="A40" s="25" t="s">
        <v>77</v>
      </c>
      <c r="C40" s="14"/>
      <c r="D40" s="14"/>
      <c r="E40" s="14"/>
      <c r="F40" s="14"/>
      <c r="G40" s="26"/>
      <c r="H40" s="26"/>
      <c r="I40" s="26"/>
      <c r="J40" s="26"/>
      <c r="K40" s="26"/>
      <c r="L40" s="14"/>
      <c r="M40" s="36"/>
    </row>
    <row r="41" spans="1:13" ht="12.75">
      <c r="A41" s="19" t="s">
        <v>25</v>
      </c>
      <c r="C41" s="14">
        <v>8368057</v>
      </c>
      <c r="D41" s="14">
        <v>7474968</v>
      </c>
      <c r="E41" s="14">
        <v>1913664</v>
      </c>
      <c r="F41" s="14">
        <v>2444796</v>
      </c>
      <c r="G41" s="16">
        <v>9026</v>
      </c>
      <c r="H41" s="16">
        <v>16662</v>
      </c>
      <c r="I41" s="16">
        <v>7894</v>
      </c>
      <c r="J41" s="16">
        <v>507</v>
      </c>
      <c r="K41" s="16">
        <v>116</v>
      </c>
      <c r="L41" s="14">
        <v>4535</v>
      </c>
      <c r="M41" s="36"/>
    </row>
    <row r="42" spans="1:13" ht="12.75">
      <c r="A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37"/>
    </row>
    <row r="43" spans="1:13" ht="12.75">
      <c r="A43" s="23" t="s">
        <v>78</v>
      </c>
      <c r="B43" s="14" t="s">
        <v>28</v>
      </c>
      <c r="C43" s="18">
        <f>C41*'RATES '!$F$5</f>
        <v>40166.673599999995</v>
      </c>
      <c r="D43" s="18">
        <f>D41*'RATES '!$F$9</f>
        <v>30647.368800000004</v>
      </c>
      <c r="E43" s="18">
        <f>E41*'RATES '!$F$13</f>
        <v>6123.7248</v>
      </c>
      <c r="F43" s="18">
        <f>F41*'RATES '!$F$17</f>
        <v>8312.3064</v>
      </c>
      <c r="G43" s="18">
        <f>G41*'RATES '!$F$21</f>
        <v>5908.419599999999</v>
      </c>
      <c r="H43" s="18">
        <f>H41*'RATES '!$F$25</f>
        <v>11598.4182</v>
      </c>
      <c r="I43" s="18">
        <f>I41*'RATES '!$F$29</f>
        <v>771.2438</v>
      </c>
      <c r="J43" s="18">
        <f>J41*'RATES '!$F$33</f>
        <v>578.1828</v>
      </c>
      <c r="K43" s="18">
        <f>K41*'RATES '!$F$37</f>
        <v>184.498</v>
      </c>
      <c r="L43" s="18">
        <f>L41*'RATES '!$F$40</f>
        <v>14.512</v>
      </c>
      <c r="M43" s="37">
        <f>SUM(C43:L43)</f>
        <v>104305.348</v>
      </c>
    </row>
    <row r="44" spans="1:13" ht="12.75">
      <c r="A44" s="23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37"/>
    </row>
    <row r="45" spans="3:13" ht="12.75">
      <c r="C45" s="39">
        <f aca="true" t="shared" si="1" ref="C45:L45">SUM(C30:C33)+C38+C43</f>
        <v>40166.673599999995</v>
      </c>
      <c r="D45" s="39">
        <f t="shared" si="1"/>
        <v>30856.009351000004</v>
      </c>
      <c r="E45" s="39">
        <f t="shared" si="1"/>
        <v>6123.7248</v>
      </c>
      <c r="F45" s="39">
        <f t="shared" si="1"/>
        <v>8312.3064</v>
      </c>
      <c r="G45" s="39">
        <f t="shared" si="1"/>
        <v>5908.419599999999</v>
      </c>
      <c r="H45" s="39">
        <f t="shared" si="1"/>
        <v>11598.4182</v>
      </c>
      <c r="I45" s="39">
        <f t="shared" si="1"/>
        <v>771.2438</v>
      </c>
      <c r="J45" s="39">
        <f t="shared" si="1"/>
        <v>578.1828</v>
      </c>
      <c r="K45" s="39">
        <f t="shared" si="1"/>
        <v>184.498</v>
      </c>
      <c r="L45" s="39">
        <f t="shared" si="1"/>
        <v>14.512</v>
      </c>
      <c r="M45" s="38">
        <f>SUM(M30:M33)+M38+M43-0.34</f>
        <v>104513.648551</v>
      </c>
    </row>
    <row r="47" spans="1:13" ht="15">
      <c r="A47" s="10" t="s">
        <v>91</v>
      </c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 ht="15">
      <c r="A48" s="25" t="s">
        <v>54</v>
      </c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 ht="12.75">
      <c r="A49" s="19" t="s">
        <v>24</v>
      </c>
      <c r="C49" s="14"/>
      <c r="D49" s="14"/>
      <c r="E49" s="14">
        <v>44</v>
      </c>
      <c r="F49" s="14"/>
      <c r="G49" s="14"/>
      <c r="H49" s="14"/>
      <c r="I49" s="14"/>
      <c r="J49" s="15"/>
      <c r="K49" s="15">
        <v>-2</v>
      </c>
      <c r="L49" s="14"/>
      <c r="M49" s="36"/>
    </row>
    <row r="50" spans="1:13" ht="12.75">
      <c r="A50" s="19" t="s">
        <v>25</v>
      </c>
      <c r="C50" s="14"/>
      <c r="D50" s="14"/>
      <c r="E50" s="14">
        <v>19228</v>
      </c>
      <c r="F50" s="14"/>
      <c r="G50" s="16"/>
      <c r="H50" s="16"/>
      <c r="I50" s="16"/>
      <c r="J50" s="16"/>
      <c r="K50" s="16"/>
      <c r="L50" s="14"/>
      <c r="M50" s="36"/>
    </row>
    <row r="51" spans="1:13" ht="12.75">
      <c r="A51" s="19"/>
      <c r="C51" s="14"/>
      <c r="D51" s="14"/>
      <c r="E51" s="14"/>
      <c r="F51" s="14"/>
      <c r="G51" s="26"/>
      <c r="H51" s="26"/>
      <c r="I51" s="26"/>
      <c r="J51" s="26"/>
      <c r="K51" s="26"/>
      <c r="L51" s="14"/>
      <c r="M51" s="36"/>
    </row>
    <row r="52" spans="1:13" ht="12.75">
      <c r="A52" s="23" t="s">
        <v>26</v>
      </c>
      <c r="B52" s="14" t="s">
        <v>27</v>
      </c>
      <c r="C52" s="18">
        <f>C49*'RATES '!$C$4</f>
        <v>0</v>
      </c>
      <c r="D52" s="18">
        <f>D49*'RATES '!$C$8</f>
        <v>0</v>
      </c>
      <c r="E52" s="18">
        <f>E49*'RATES '!$C$12</f>
        <v>29.413999999999998</v>
      </c>
      <c r="F52" s="18">
        <f>F49*'RATES '!$C$16</f>
        <v>0</v>
      </c>
      <c r="G52" s="18">
        <f>G49*'RATES '!$C$20</f>
        <v>0</v>
      </c>
      <c r="H52" s="18">
        <f>H49*'RATES '!$C$24</f>
        <v>0</v>
      </c>
      <c r="I52" s="18">
        <f>I49*'RATES '!$C$28</f>
        <v>0</v>
      </c>
      <c r="J52" s="18">
        <f>J49*'RATES '!$C$32</f>
        <v>0</v>
      </c>
      <c r="K52" s="18">
        <f>K49*'RATES '!$C$36</f>
        <v>-0.1812</v>
      </c>
      <c r="L52" s="18"/>
      <c r="M52" s="37">
        <f>SUM(C52:K52)</f>
        <v>29.232799999999997</v>
      </c>
    </row>
    <row r="53" spans="1:13" ht="12.75">
      <c r="A53" s="24"/>
      <c r="B53" s="14" t="s">
        <v>28</v>
      </c>
      <c r="C53" s="18">
        <f>C50*'RATES '!$C$5</f>
        <v>0</v>
      </c>
      <c r="D53" s="18">
        <f>D50*'RATES '!$C$9</f>
        <v>0</v>
      </c>
      <c r="E53" s="18">
        <f>E50*'RATES '!$C$13</f>
        <v>13.209636</v>
      </c>
      <c r="F53" s="18">
        <f>F50*'RATES '!$C$17</f>
        <v>0</v>
      </c>
      <c r="G53" s="18">
        <f>G50*'RATES '!$C$21</f>
        <v>0</v>
      </c>
      <c r="H53" s="18">
        <f>H50*'RATES '!$C$25</f>
        <v>0</v>
      </c>
      <c r="I53" s="18">
        <f>I50*'RATES '!$C$29</f>
        <v>0</v>
      </c>
      <c r="J53" s="18">
        <f>J50*'RATES '!$C$33</f>
        <v>0</v>
      </c>
      <c r="K53" s="18">
        <f>K50*'RATES '!$C$37</f>
        <v>0</v>
      </c>
      <c r="L53" s="18"/>
      <c r="M53" s="37">
        <f>SUM(C53:K53)</f>
        <v>13.209636</v>
      </c>
    </row>
    <row r="54" spans="1:13" ht="12.75">
      <c r="A54" s="23" t="s">
        <v>29</v>
      </c>
      <c r="B54" s="14" t="s">
        <v>27</v>
      </c>
      <c r="C54" s="18">
        <f>C49*'RATES '!$D$4</f>
        <v>0</v>
      </c>
      <c r="D54" s="18">
        <f>D49*'RATES '!$D$8</f>
        <v>0</v>
      </c>
      <c r="E54" s="18">
        <f>E49*'RATES '!$D$12</f>
        <v>96.2808</v>
      </c>
      <c r="F54" s="18">
        <f>F49*'RATES '!$D$16</f>
        <v>0</v>
      </c>
      <c r="G54" s="18">
        <f>G49*'RATES '!$D$20</f>
        <v>0</v>
      </c>
      <c r="H54" s="18">
        <f>H49*'RATES '!$D$24</f>
        <v>0</v>
      </c>
      <c r="I54" s="18">
        <f>I49*'RATES '!$D$28</f>
        <v>0</v>
      </c>
      <c r="J54" s="18">
        <f>J49*'RATES '!$D$32</f>
        <v>0</v>
      </c>
      <c r="K54" s="18">
        <f>K49*'RATES '!$D$36</f>
        <v>-0.5932</v>
      </c>
      <c r="L54" s="18"/>
      <c r="M54" s="37">
        <f>SUM(C54:K54)</f>
        <v>95.6876</v>
      </c>
    </row>
    <row r="55" spans="1:13" ht="12.75">
      <c r="A55" s="17"/>
      <c r="B55" s="14" t="s">
        <v>28</v>
      </c>
      <c r="C55" s="18">
        <f>C50*'RATES '!$D$5</f>
        <v>0</v>
      </c>
      <c r="D55" s="18">
        <f>D50*'RATES '!$D$9</f>
        <v>0</v>
      </c>
      <c r="E55" s="18">
        <f>E50*'RATES '!$D$13</f>
        <v>42.3016</v>
      </c>
      <c r="F55" s="18">
        <f>F50*'RATES '!$D$17</f>
        <v>0</v>
      </c>
      <c r="G55" s="18">
        <f>G50*'RATES '!$D$21</f>
        <v>0</v>
      </c>
      <c r="H55" s="18">
        <f>H50*'RATES '!$D$25</f>
        <v>0</v>
      </c>
      <c r="I55" s="18">
        <f>I50*'RATES '!$D$29</f>
        <v>0</v>
      </c>
      <c r="J55" s="18">
        <f>J50*'RATES '!$D$33</f>
        <v>0</v>
      </c>
      <c r="K55" s="18">
        <f>K50*'RATES '!$D$37</f>
        <v>0</v>
      </c>
      <c r="L55" s="18"/>
      <c r="M55" s="37">
        <f>SUM(C55:K55)</f>
        <v>42.3016</v>
      </c>
    </row>
    <row r="56" spans="1:13" ht="12.75">
      <c r="A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37"/>
    </row>
    <row r="57" spans="1:13" ht="15">
      <c r="A57" s="25" t="s">
        <v>55</v>
      </c>
      <c r="C57" s="14"/>
      <c r="D57" s="14"/>
      <c r="E57" s="14"/>
      <c r="F57" s="14"/>
      <c r="G57" s="26"/>
      <c r="H57" s="26"/>
      <c r="I57" s="26"/>
      <c r="J57" s="26"/>
      <c r="K57" s="26"/>
      <c r="L57" s="14"/>
      <c r="M57" s="36"/>
    </row>
    <row r="58" spans="1:13" ht="12.75">
      <c r="A58" s="19" t="s">
        <v>25</v>
      </c>
      <c r="C58" s="14"/>
      <c r="D58" s="14"/>
      <c r="E58" s="14">
        <v>10488</v>
      </c>
      <c r="F58" s="14"/>
      <c r="G58" s="16"/>
      <c r="H58" s="16"/>
      <c r="I58" s="16"/>
      <c r="J58" s="16"/>
      <c r="K58" s="16">
        <v>-3</v>
      </c>
      <c r="L58" s="14"/>
      <c r="M58" s="36"/>
    </row>
    <row r="59" spans="1:13" ht="12.75">
      <c r="A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37"/>
    </row>
    <row r="60" spans="1:13" ht="12.75">
      <c r="A60" s="23" t="s">
        <v>56</v>
      </c>
      <c r="B60" s="14" t="s">
        <v>28</v>
      </c>
      <c r="C60" s="18">
        <f>C58*'RATES '!$E$5</f>
        <v>0</v>
      </c>
      <c r="D60" s="18">
        <f>D58*'RATES '!$E$9</f>
        <v>0</v>
      </c>
      <c r="E60" s="18">
        <f>E58*'RATES '!$E$13</f>
        <v>30.866183999999997</v>
      </c>
      <c r="F60" s="18">
        <f>F58*'RATES '!$E$17</f>
        <v>0</v>
      </c>
      <c r="G60" s="18">
        <f>G58*'RATES '!$E$21</f>
        <v>0</v>
      </c>
      <c r="H60" s="18">
        <f>H58*'RATES '!$E$25</f>
        <v>0</v>
      </c>
      <c r="I60" s="18">
        <f>I58*'RATES '!$E$29</f>
        <v>0</v>
      </c>
      <c r="J60" s="18">
        <f>J58*'RATES '!$E$33</f>
        <v>0</v>
      </c>
      <c r="K60" s="18">
        <f>K58*'RATES '!$E$37</f>
        <v>-8.135322</v>
      </c>
      <c r="L60" s="18"/>
      <c r="M60" s="37">
        <f>SUM(C60:K60)</f>
        <v>22.730861999999995</v>
      </c>
    </row>
    <row r="61" spans="1:13" ht="12.75">
      <c r="A61" s="23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37"/>
    </row>
    <row r="62" spans="1:13" ht="15">
      <c r="A62" s="25" t="s">
        <v>77</v>
      </c>
      <c r="C62" s="14"/>
      <c r="D62" s="14"/>
      <c r="E62" s="14"/>
      <c r="F62" s="14"/>
      <c r="G62" s="26"/>
      <c r="H62" s="26"/>
      <c r="I62" s="26"/>
      <c r="J62" s="26"/>
      <c r="K62" s="26"/>
      <c r="L62" s="14"/>
      <c r="M62" s="36"/>
    </row>
    <row r="63" spans="1:13" ht="12.75">
      <c r="A63" s="19" t="s">
        <v>25</v>
      </c>
      <c r="C63" s="14">
        <v>9176963</v>
      </c>
      <c r="D63" s="14">
        <v>7266368</v>
      </c>
      <c r="E63" s="14">
        <v>2658511</v>
      </c>
      <c r="F63" s="14">
        <v>2644217</v>
      </c>
      <c r="G63" s="16">
        <v>12025</v>
      </c>
      <c r="H63" s="16">
        <v>16140</v>
      </c>
      <c r="I63" s="16">
        <v>7857</v>
      </c>
      <c r="J63" s="16">
        <v>509</v>
      </c>
      <c r="K63" s="16">
        <v>132</v>
      </c>
      <c r="L63" s="14">
        <v>4535</v>
      </c>
      <c r="M63" s="36"/>
    </row>
    <row r="64" spans="1:13" ht="12.75">
      <c r="A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37"/>
    </row>
    <row r="65" spans="1:13" ht="12.75">
      <c r="A65" s="23" t="s">
        <v>78</v>
      </c>
      <c r="B65" s="14" t="s">
        <v>28</v>
      </c>
      <c r="C65" s="18">
        <f>C63*'RATES '!$F$5</f>
        <v>44049.422399999996</v>
      </c>
      <c r="D65" s="18">
        <f>D63*'RATES '!$F$9</f>
        <v>29792.1088</v>
      </c>
      <c r="E65" s="18">
        <f>E63*'RATES '!$F$13</f>
        <v>8507.235200000001</v>
      </c>
      <c r="F65" s="18">
        <f>F63*'RATES '!$F$17</f>
        <v>8990.3378</v>
      </c>
      <c r="G65" s="18">
        <f>G63*'RATES '!$F$21</f>
        <v>7871.565</v>
      </c>
      <c r="H65" s="18">
        <f>H63*'RATES '!$F$25</f>
        <v>11235.054</v>
      </c>
      <c r="I65" s="18">
        <f>I63*'RATES '!$F$29</f>
        <v>767.6288999999999</v>
      </c>
      <c r="J65" s="18">
        <f>J63*'RATES '!$F$33</f>
        <v>580.4636</v>
      </c>
      <c r="K65" s="18">
        <f>K63*'RATES '!$F$37</f>
        <v>209.946</v>
      </c>
      <c r="L65" s="18">
        <f>L63*'RATES '!$F$40</f>
        <v>14.512</v>
      </c>
      <c r="M65" s="37">
        <f>SUM(C65:L65)</f>
        <v>112018.27369999999</v>
      </c>
    </row>
    <row r="66" spans="1:13" ht="12.75">
      <c r="A66" s="2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37"/>
    </row>
    <row r="67" spans="3:13" ht="12.75">
      <c r="C67" s="39">
        <f aca="true" t="shared" si="2" ref="C67:L67">SUM(C52:C55)+C60+C65</f>
        <v>44049.422399999996</v>
      </c>
      <c r="D67" s="39">
        <f t="shared" si="2"/>
        <v>29792.1088</v>
      </c>
      <c r="E67" s="39">
        <f t="shared" si="2"/>
        <v>8719.307420000001</v>
      </c>
      <c r="F67" s="39">
        <f t="shared" si="2"/>
        <v>8990.3378</v>
      </c>
      <c r="G67" s="39">
        <f t="shared" si="2"/>
        <v>7871.565</v>
      </c>
      <c r="H67" s="39">
        <f t="shared" si="2"/>
        <v>11235.054</v>
      </c>
      <c r="I67" s="39">
        <f t="shared" si="2"/>
        <v>767.6288999999999</v>
      </c>
      <c r="J67" s="39">
        <f t="shared" si="2"/>
        <v>580.4636</v>
      </c>
      <c r="K67" s="39">
        <f t="shared" si="2"/>
        <v>201.036278</v>
      </c>
      <c r="L67" s="39">
        <f t="shared" si="2"/>
        <v>14.512</v>
      </c>
      <c r="M67" s="38">
        <f>SUM(M52:M55)+M60+M65+0.47</f>
        <v>112221.906198</v>
      </c>
    </row>
    <row r="69" spans="1:13" ht="15">
      <c r="A69" s="10" t="s">
        <v>92</v>
      </c>
      <c r="B69" s="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 ht="15">
      <c r="A70" s="25" t="s">
        <v>54</v>
      </c>
      <c r="B70" s="1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 ht="12.75">
      <c r="A71" s="19" t="s">
        <v>24</v>
      </c>
      <c r="C71" s="14"/>
      <c r="D71" s="14"/>
      <c r="E71" s="14"/>
      <c r="F71" s="14"/>
      <c r="G71" s="14"/>
      <c r="H71" s="14"/>
      <c r="I71" s="14"/>
      <c r="J71" s="15"/>
      <c r="K71" s="15"/>
      <c r="L71" s="14"/>
      <c r="M71" s="36"/>
    </row>
    <row r="72" spans="1:13" ht="12.75">
      <c r="A72" s="19" t="s">
        <v>25</v>
      </c>
      <c r="C72" s="14"/>
      <c r="D72" s="14"/>
      <c r="E72" s="14"/>
      <c r="F72" s="14"/>
      <c r="G72" s="16"/>
      <c r="H72" s="16"/>
      <c r="I72" s="16"/>
      <c r="J72" s="16"/>
      <c r="K72" s="16"/>
      <c r="L72" s="14"/>
      <c r="M72" s="36"/>
    </row>
    <row r="73" spans="1:13" ht="12.75">
      <c r="A73" s="19"/>
      <c r="C73" s="14"/>
      <c r="D73" s="14"/>
      <c r="E73" s="14"/>
      <c r="F73" s="14"/>
      <c r="G73" s="26"/>
      <c r="H73" s="26"/>
      <c r="I73" s="26"/>
      <c r="J73" s="26"/>
      <c r="K73" s="26"/>
      <c r="L73" s="14"/>
      <c r="M73" s="36"/>
    </row>
    <row r="74" spans="1:13" ht="12.75">
      <c r="A74" s="23" t="s">
        <v>26</v>
      </c>
      <c r="B74" s="14" t="s">
        <v>27</v>
      </c>
      <c r="C74" s="18">
        <f>C71*'RATES '!$C$4</f>
        <v>0</v>
      </c>
      <c r="D74" s="18">
        <f>D71*'RATES '!$C$8</f>
        <v>0</v>
      </c>
      <c r="E74" s="18">
        <f>E71*'RATES '!$C$12</f>
        <v>0</v>
      </c>
      <c r="F74" s="18">
        <f>F71*'RATES '!$C$16</f>
        <v>0</v>
      </c>
      <c r="G74" s="18">
        <f>G71*'RATES '!$C$20</f>
        <v>0</v>
      </c>
      <c r="H74" s="18">
        <f>H71*'RATES '!$C$24</f>
        <v>0</v>
      </c>
      <c r="I74" s="18">
        <f>I71*'RATES '!$C$28</f>
        <v>0</v>
      </c>
      <c r="J74" s="18">
        <f>J71*'RATES '!$C$32</f>
        <v>0</v>
      </c>
      <c r="K74" s="18">
        <f>K71*'RATES '!$C$36</f>
        <v>0</v>
      </c>
      <c r="L74" s="18"/>
      <c r="M74" s="37">
        <f>SUM(C74:K74)</f>
        <v>0</v>
      </c>
    </row>
    <row r="75" spans="1:13" ht="12.75">
      <c r="A75" s="24"/>
      <c r="B75" s="14" t="s">
        <v>28</v>
      </c>
      <c r="C75" s="18">
        <f>C72*'RATES '!$C$5</f>
        <v>0</v>
      </c>
      <c r="D75" s="18">
        <f>D72*'RATES '!$C$9</f>
        <v>0</v>
      </c>
      <c r="E75" s="18">
        <f>E72*'RATES '!$C$13</f>
        <v>0</v>
      </c>
      <c r="F75" s="18">
        <f>F72*'RATES '!$C$17</f>
        <v>0</v>
      </c>
      <c r="G75" s="18">
        <f>G72*'RATES '!$C$21</f>
        <v>0</v>
      </c>
      <c r="H75" s="18">
        <f>H72*'RATES '!$C$25</f>
        <v>0</v>
      </c>
      <c r="I75" s="18">
        <f>I72*'RATES '!$C$29</f>
        <v>0</v>
      </c>
      <c r="J75" s="18">
        <f>J72*'RATES '!$C$33</f>
        <v>0</v>
      </c>
      <c r="K75" s="18">
        <f>K72*'RATES '!$C$37</f>
        <v>0</v>
      </c>
      <c r="L75" s="18"/>
      <c r="M75" s="37">
        <f>SUM(C75:K75)</f>
        <v>0</v>
      </c>
    </row>
    <row r="76" spans="1:13" ht="12.75">
      <c r="A76" s="23" t="s">
        <v>29</v>
      </c>
      <c r="B76" s="14" t="s">
        <v>27</v>
      </c>
      <c r="C76" s="18">
        <f>C71*'RATES '!$D$4</f>
        <v>0</v>
      </c>
      <c r="D76" s="18">
        <f>D71*'RATES '!$D$8</f>
        <v>0</v>
      </c>
      <c r="E76" s="18">
        <f>E71*'RATES '!$D$12</f>
        <v>0</v>
      </c>
      <c r="F76" s="18">
        <f>F71*'RATES '!$D$16</f>
        <v>0</v>
      </c>
      <c r="G76" s="18">
        <f>G71*'RATES '!$D$20</f>
        <v>0</v>
      </c>
      <c r="H76" s="18">
        <f>H71*'RATES '!$D$24</f>
        <v>0</v>
      </c>
      <c r="I76" s="18">
        <f>I71*'RATES '!$D$28</f>
        <v>0</v>
      </c>
      <c r="J76" s="18">
        <f>J71*'RATES '!$D$32</f>
        <v>0</v>
      </c>
      <c r="K76" s="18">
        <f>K71*'RATES '!$D$36</f>
        <v>0</v>
      </c>
      <c r="L76" s="18"/>
      <c r="M76" s="37">
        <f>SUM(C76:K76)</f>
        <v>0</v>
      </c>
    </row>
    <row r="77" spans="1:13" ht="12.75">
      <c r="A77" s="17"/>
      <c r="B77" s="14" t="s">
        <v>28</v>
      </c>
      <c r="C77" s="18">
        <f>C72*'RATES '!$D$5</f>
        <v>0</v>
      </c>
      <c r="D77" s="18">
        <f>D72*'RATES '!$D$9</f>
        <v>0</v>
      </c>
      <c r="E77" s="18">
        <f>E72*'RATES '!$D$13</f>
        <v>0</v>
      </c>
      <c r="F77" s="18">
        <f>F72*'RATES '!$D$17</f>
        <v>0</v>
      </c>
      <c r="G77" s="18">
        <f>G72*'RATES '!$D$21</f>
        <v>0</v>
      </c>
      <c r="H77" s="18">
        <f>H72*'RATES '!$D$25</f>
        <v>0</v>
      </c>
      <c r="I77" s="18">
        <f>I72*'RATES '!$D$29</f>
        <v>0</v>
      </c>
      <c r="J77" s="18">
        <f>J72*'RATES '!$D$33</f>
        <v>0</v>
      </c>
      <c r="K77" s="18">
        <f>K72*'RATES '!$D$37</f>
        <v>0</v>
      </c>
      <c r="L77" s="18"/>
      <c r="M77" s="37">
        <f>SUM(C77:K77)</f>
        <v>0</v>
      </c>
    </row>
    <row r="78" spans="1:13" ht="12.75">
      <c r="A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37"/>
    </row>
    <row r="79" spans="1:13" ht="15">
      <c r="A79" s="25" t="s">
        <v>55</v>
      </c>
      <c r="C79" s="14"/>
      <c r="D79" s="14"/>
      <c r="E79" s="14"/>
      <c r="F79" s="14"/>
      <c r="G79" s="26"/>
      <c r="H79" s="26"/>
      <c r="I79" s="26"/>
      <c r="J79" s="26"/>
      <c r="K79" s="26"/>
      <c r="L79" s="14"/>
      <c r="M79" s="36"/>
    </row>
    <row r="80" spans="1:13" ht="12.75">
      <c r="A80" s="19" t="s">
        <v>25</v>
      </c>
      <c r="C80" s="14"/>
      <c r="D80" s="14"/>
      <c r="E80" s="14"/>
      <c r="F80" s="14"/>
      <c r="G80" s="16"/>
      <c r="H80" s="16"/>
      <c r="I80" s="16"/>
      <c r="J80" s="16"/>
      <c r="K80" s="16"/>
      <c r="L80" s="14"/>
      <c r="M80" s="36"/>
    </row>
    <row r="81" spans="1:13" ht="12.75">
      <c r="A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37"/>
    </row>
    <row r="82" spans="1:13" ht="12.75">
      <c r="A82" s="23" t="s">
        <v>56</v>
      </c>
      <c r="B82" s="14" t="s">
        <v>28</v>
      </c>
      <c r="C82" s="18">
        <f>C80*'RATES '!$E$5</f>
        <v>0</v>
      </c>
      <c r="D82" s="18">
        <f>D80*'RATES '!$E$9</f>
        <v>0</v>
      </c>
      <c r="E82" s="18">
        <f>E80*'RATES '!$E$13</f>
        <v>0</v>
      </c>
      <c r="F82" s="18">
        <f>F80*'RATES '!$E$17</f>
        <v>0</v>
      </c>
      <c r="G82" s="18">
        <f>G80*'RATES '!$E$21</f>
        <v>0</v>
      </c>
      <c r="H82" s="18">
        <f>H80*'RATES '!$E$25</f>
        <v>0</v>
      </c>
      <c r="I82" s="18">
        <f>I80*'RATES '!$E$29</f>
        <v>0</v>
      </c>
      <c r="J82" s="18">
        <f>J80*'RATES '!$E$33</f>
        <v>0</v>
      </c>
      <c r="K82" s="18">
        <f>K80*'RATES '!$E$37</f>
        <v>0</v>
      </c>
      <c r="L82" s="18"/>
      <c r="M82" s="37">
        <f>SUM(C82:K82)</f>
        <v>0</v>
      </c>
    </row>
    <row r="83" spans="1:13" ht="12.75">
      <c r="A83" s="23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37"/>
    </row>
    <row r="84" spans="1:13" ht="15">
      <c r="A84" s="25" t="s">
        <v>77</v>
      </c>
      <c r="C84" s="14"/>
      <c r="D84" s="14"/>
      <c r="E84" s="14"/>
      <c r="F84" s="14"/>
      <c r="G84" s="26"/>
      <c r="H84" s="26"/>
      <c r="I84" s="26"/>
      <c r="J84" s="26"/>
      <c r="K84" s="26"/>
      <c r="L84" s="14"/>
      <c r="M84" s="36"/>
    </row>
    <row r="85" spans="1:13" ht="12.75">
      <c r="A85" s="19" t="s">
        <v>25</v>
      </c>
      <c r="C85" s="14">
        <v>6201382</v>
      </c>
      <c r="D85" s="14">
        <v>6550541</v>
      </c>
      <c r="E85" s="14">
        <v>1388378</v>
      </c>
      <c r="F85" s="14">
        <v>2033928</v>
      </c>
      <c r="G85" s="16">
        <v>7995</v>
      </c>
      <c r="H85" s="16">
        <v>15819</v>
      </c>
      <c r="I85" s="16">
        <v>4638</v>
      </c>
      <c r="J85" s="16">
        <v>511</v>
      </c>
      <c r="K85" s="16">
        <v>99</v>
      </c>
      <c r="L85" s="14">
        <v>4535</v>
      </c>
      <c r="M85" s="36"/>
    </row>
    <row r="86" spans="1:13" ht="12.75">
      <c r="A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37"/>
    </row>
    <row r="87" spans="1:13" ht="12.75">
      <c r="A87" s="23" t="s">
        <v>78</v>
      </c>
      <c r="B87" s="14" t="s">
        <v>28</v>
      </c>
      <c r="C87" s="18">
        <f>C85*'RATES '!$F$5</f>
        <v>29766.633599999997</v>
      </c>
      <c r="D87" s="18">
        <f>D85*'RATES '!$F$9</f>
        <v>26857.218100000002</v>
      </c>
      <c r="E87" s="18">
        <f>E85*'RATES '!$F$13</f>
        <v>4442.8096000000005</v>
      </c>
      <c r="F87" s="18">
        <f>F85*'RATES '!$F$17</f>
        <v>6915.3552</v>
      </c>
      <c r="G87" s="18">
        <f>G85*'RATES '!$F$21</f>
        <v>5233.527</v>
      </c>
      <c r="H87" s="18">
        <f>H85*'RATES '!$F$25</f>
        <v>11011.6059</v>
      </c>
      <c r="I87" s="18">
        <f>I85*'RATES '!$F$29</f>
        <v>453.13259999999997</v>
      </c>
      <c r="J87" s="18">
        <f>J85*'RATES '!$F$33</f>
        <v>582.7444</v>
      </c>
      <c r="K87" s="18">
        <f>K85*'RATES '!$F$37</f>
        <v>157.4595</v>
      </c>
      <c r="L87" s="18">
        <f>L85*'RATES '!$F$40</f>
        <v>14.512</v>
      </c>
      <c r="M87" s="37">
        <f>SUM(C87:L87)</f>
        <v>85434.99789999999</v>
      </c>
    </row>
    <row r="88" spans="1:13" ht="12.75">
      <c r="A88" s="23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37"/>
    </row>
    <row r="89" spans="3:13" ht="12.75">
      <c r="C89" s="39">
        <f aca="true" t="shared" si="3" ref="C89:L89">SUM(C74:C77)+C82+C87</f>
        <v>29766.633599999997</v>
      </c>
      <c r="D89" s="39">
        <f t="shared" si="3"/>
        <v>26857.218100000002</v>
      </c>
      <c r="E89" s="39">
        <f t="shared" si="3"/>
        <v>4442.8096000000005</v>
      </c>
      <c r="F89" s="39">
        <f t="shared" si="3"/>
        <v>6915.3552</v>
      </c>
      <c r="G89" s="39">
        <f t="shared" si="3"/>
        <v>5233.527</v>
      </c>
      <c r="H89" s="39">
        <f t="shared" si="3"/>
        <v>11011.6059</v>
      </c>
      <c r="I89" s="39">
        <f t="shared" si="3"/>
        <v>453.13259999999997</v>
      </c>
      <c r="J89" s="39">
        <f t="shared" si="3"/>
        <v>582.7444</v>
      </c>
      <c r="K89" s="39">
        <f t="shared" si="3"/>
        <v>157.4595</v>
      </c>
      <c r="L89" s="39">
        <f t="shared" si="3"/>
        <v>14.512</v>
      </c>
      <c r="M89" s="38">
        <f>SUM(M74:M77)+M82+M87-0.82</f>
        <v>85434.17789999998</v>
      </c>
    </row>
    <row r="91" spans="1:13" ht="15">
      <c r="A91" s="10" t="s">
        <v>93</v>
      </c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 ht="15">
      <c r="A92" s="25" t="s">
        <v>54</v>
      </c>
      <c r="B92" s="1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35"/>
    </row>
    <row r="93" spans="1:13" ht="12.75">
      <c r="A93" s="19" t="s">
        <v>24</v>
      </c>
      <c r="C93" s="14"/>
      <c r="D93" s="14"/>
      <c r="E93" s="14"/>
      <c r="F93" s="14"/>
      <c r="G93" s="14"/>
      <c r="H93" s="14"/>
      <c r="I93" s="14"/>
      <c r="J93" s="15"/>
      <c r="K93" s="15"/>
      <c r="L93" s="14"/>
      <c r="M93" s="36"/>
    </row>
    <row r="94" spans="1:13" ht="12.75">
      <c r="A94" s="19" t="s">
        <v>25</v>
      </c>
      <c r="C94" s="14"/>
      <c r="D94" s="14"/>
      <c r="E94" s="14"/>
      <c r="F94" s="14"/>
      <c r="G94" s="16"/>
      <c r="H94" s="16"/>
      <c r="I94" s="16"/>
      <c r="J94" s="16"/>
      <c r="K94" s="16"/>
      <c r="L94" s="14"/>
      <c r="M94" s="36"/>
    </row>
    <row r="95" spans="1:13" ht="12.75">
      <c r="A95" s="19"/>
      <c r="C95" s="14"/>
      <c r="D95" s="14"/>
      <c r="E95" s="14"/>
      <c r="F95" s="14"/>
      <c r="G95" s="26"/>
      <c r="H95" s="26"/>
      <c r="I95" s="26"/>
      <c r="J95" s="26"/>
      <c r="K95" s="26"/>
      <c r="L95" s="14"/>
      <c r="M95" s="36"/>
    </row>
    <row r="96" spans="1:13" ht="12.75">
      <c r="A96" s="23" t="s">
        <v>26</v>
      </c>
      <c r="B96" s="14" t="s">
        <v>27</v>
      </c>
      <c r="C96" s="18">
        <f>C93*'RATES '!$C$4</f>
        <v>0</v>
      </c>
      <c r="D96" s="18">
        <f>D93*'RATES '!$C$8</f>
        <v>0</v>
      </c>
      <c r="E96" s="18">
        <f>E93*'RATES '!$C$12</f>
        <v>0</v>
      </c>
      <c r="F96" s="18">
        <f>F93*'RATES '!$C$16</f>
        <v>0</v>
      </c>
      <c r="G96" s="18">
        <f>G93*'RATES '!$C$20</f>
        <v>0</v>
      </c>
      <c r="H96" s="18">
        <f>H93*'RATES '!$C$24</f>
        <v>0</v>
      </c>
      <c r="I96" s="18">
        <f>I93*'RATES '!$C$28</f>
        <v>0</v>
      </c>
      <c r="J96" s="18">
        <f>J93*'RATES '!$C$32</f>
        <v>0</v>
      </c>
      <c r="K96" s="18">
        <f>K93*'RATES '!$C$36</f>
        <v>0</v>
      </c>
      <c r="L96" s="18"/>
      <c r="M96" s="37">
        <f>SUM(C96:K96)</f>
        <v>0</v>
      </c>
    </row>
    <row r="97" spans="1:13" ht="12.75">
      <c r="A97" s="24"/>
      <c r="B97" s="14" t="s">
        <v>28</v>
      </c>
      <c r="C97" s="18">
        <f>C94*'RATES '!$C$5</f>
        <v>0</v>
      </c>
      <c r="D97" s="18">
        <f>D94*'RATES '!$C$9</f>
        <v>0</v>
      </c>
      <c r="E97" s="18">
        <f>E94*'RATES '!$C$13</f>
        <v>0</v>
      </c>
      <c r="F97" s="18">
        <f>F94*'RATES '!$C$17</f>
        <v>0</v>
      </c>
      <c r="G97" s="18">
        <f>G94*'RATES '!$C$21</f>
        <v>0</v>
      </c>
      <c r="H97" s="18">
        <f>H94*'RATES '!$C$25</f>
        <v>0</v>
      </c>
      <c r="I97" s="18">
        <f>I94*'RATES '!$C$29</f>
        <v>0</v>
      </c>
      <c r="J97" s="18">
        <f>J94*'RATES '!$C$33</f>
        <v>0</v>
      </c>
      <c r="K97" s="18">
        <f>K94*'RATES '!$C$37</f>
        <v>0</v>
      </c>
      <c r="L97" s="18"/>
      <c r="M97" s="37">
        <f>SUM(C97:K97)</f>
        <v>0</v>
      </c>
    </row>
    <row r="98" spans="1:13" ht="12.75">
      <c r="A98" s="23" t="s">
        <v>29</v>
      </c>
      <c r="B98" s="14" t="s">
        <v>27</v>
      </c>
      <c r="C98" s="18">
        <f>C93*'RATES '!$D$4</f>
        <v>0</v>
      </c>
      <c r="D98" s="18">
        <f>D93*'RATES '!$D$8</f>
        <v>0</v>
      </c>
      <c r="E98" s="18">
        <f>E93*'RATES '!$D$12</f>
        <v>0</v>
      </c>
      <c r="F98" s="18">
        <f>F93*'RATES '!$D$16</f>
        <v>0</v>
      </c>
      <c r="G98" s="18">
        <f>G93*'RATES '!$D$20</f>
        <v>0</v>
      </c>
      <c r="H98" s="18">
        <f>H93*'RATES '!$D$24</f>
        <v>0</v>
      </c>
      <c r="I98" s="18">
        <f>I93*'RATES '!$D$28</f>
        <v>0</v>
      </c>
      <c r="J98" s="18">
        <f>J93*'RATES '!$D$32</f>
        <v>0</v>
      </c>
      <c r="K98" s="18">
        <f>K93*'RATES '!$D$36</f>
        <v>0</v>
      </c>
      <c r="L98" s="18"/>
      <c r="M98" s="37">
        <f>SUM(C98:K98)</f>
        <v>0</v>
      </c>
    </row>
    <row r="99" spans="1:13" ht="12.75">
      <c r="A99" s="17"/>
      <c r="B99" s="14" t="s">
        <v>28</v>
      </c>
      <c r="C99" s="18">
        <f>C94*'RATES '!$D$5</f>
        <v>0</v>
      </c>
      <c r="D99" s="18">
        <f>D94*'RATES '!$D$9</f>
        <v>0</v>
      </c>
      <c r="E99" s="18">
        <f>E94*'RATES '!$D$13</f>
        <v>0</v>
      </c>
      <c r="F99" s="18">
        <f>F94*'RATES '!$D$17</f>
        <v>0</v>
      </c>
      <c r="G99" s="18">
        <f>G94*'RATES '!$D$21</f>
        <v>0</v>
      </c>
      <c r="H99" s="18">
        <f>H94*'RATES '!$D$25</f>
        <v>0</v>
      </c>
      <c r="I99" s="18">
        <f>I94*'RATES '!$D$29</f>
        <v>0</v>
      </c>
      <c r="J99" s="18">
        <f>J94*'RATES '!$D$33</f>
        <v>0</v>
      </c>
      <c r="K99" s="18">
        <f>K94*'RATES '!$D$37</f>
        <v>0</v>
      </c>
      <c r="L99" s="18"/>
      <c r="M99" s="37">
        <f>SUM(C99:K99)</f>
        <v>0</v>
      </c>
    </row>
    <row r="100" spans="1:13" ht="12.75">
      <c r="A100" s="17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37"/>
    </row>
    <row r="101" spans="1:13" ht="15">
      <c r="A101" s="25" t="s">
        <v>55</v>
      </c>
      <c r="C101" s="14"/>
      <c r="D101" s="14"/>
      <c r="E101" s="14"/>
      <c r="F101" s="14"/>
      <c r="G101" s="26"/>
      <c r="H101" s="26"/>
      <c r="I101" s="26"/>
      <c r="J101" s="26"/>
      <c r="K101" s="26"/>
      <c r="L101" s="14"/>
      <c r="M101" s="36"/>
    </row>
    <row r="102" spans="1:13" ht="12.75">
      <c r="A102" s="19" t="s">
        <v>25</v>
      </c>
      <c r="C102" s="14"/>
      <c r="D102" s="14"/>
      <c r="E102" s="14"/>
      <c r="F102" s="14"/>
      <c r="G102" s="16"/>
      <c r="H102" s="16"/>
      <c r="I102" s="16"/>
      <c r="J102" s="16"/>
      <c r="K102" s="16"/>
      <c r="L102" s="14"/>
      <c r="M102" s="36"/>
    </row>
    <row r="103" spans="1:13" ht="12.75">
      <c r="A103" s="17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37"/>
    </row>
    <row r="104" spans="1:13" ht="12.75">
      <c r="A104" s="23" t="s">
        <v>56</v>
      </c>
      <c r="B104" s="14" t="s">
        <v>28</v>
      </c>
      <c r="C104" s="18">
        <f>C102*'RATES '!$E$5</f>
        <v>0</v>
      </c>
      <c r="D104" s="18">
        <f>D102*'RATES '!$E$9</f>
        <v>0</v>
      </c>
      <c r="E104" s="18">
        <f>E102*'RATES '!$E$13</f>
        <v>0</v>
      </c>
      <c r="F104" s="18">
        <f>F102*'RATES '!$E$17</f>
        <v>0</v>
      </c>
      <c r="G104" s="18">
        <f>G102*'RATES '!$E$21</f>
        <v>0</v>
      </c>
      <c r="H104" s="18">
        <f>H102*'RATES '!$E$25</f>
        <v>0</v>
      </c>
      <c r="I104" s="18">
        <f>I102*'RATES '!$E$29</f>
        <v>0</v>
      </c>
      <c r="J104" s="18">
        <f>J102*'RATES '!$E$33</f>
        <v>0</v>
      </c>
      <c r="K104" s="18">
        <f>K102*'RATES '!$E$37</f>
        <v>0</v>
      </c>
      <c r="L104" s="18"/>
      <c r="M104" s="37">
        <f>SUM(C104:K104)</f>
        <v>0</v>
      </c>
    </row>
    <row r="105" spans="1:13" ht="12.75">
      <c r="A105" s="23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37"/>
    </row>
    <row r="106" spans="1:13" ht="15">
      <c r="A106" s="25" t="s">
        <v>77</v>
      </c>
      <c r="C106" s="14"/>
      <c r="D106" s="14"/>
      <c r="E106" s="14"/>
      <c r="F106" s="14"/>
      <c r="G106" s="26"/>
      <c r="H106" s="26"/>
      <c r="I106" s="26"/>
      <c r="J106" s="26"/>
      <c r="K106" s="26"/>
      <c r="L106" s="14"/>
      <c r="M106" s="36"/>
    </row>
    <row r="107" spans="1:13" ht="12.75">
      <c r="A107" s="19" t="s">
        <v>25</v>
      </c>
      <c r="C107" s="14">
        <v>6955802</v>
      </c>
      <c r="D107" s="14">
        <v>5466423</v>
      </c>
      <c r="E107" s="14">
        <v>1981909</v>
      </c>
      <c r="F107" s="14">
        <v>2384188</v>
      </c>
      <c r="G107" s="16">
        <v>10035</v>
      </c>
      <c r="H107" s="16">
        <v>15573</v>
      </c>
      <c r="I107" s="16">
        <v>2340</v>
      </c>
      <c r="J107" s="16">
        <v>511</v>
      </c>
      <c r="K107" s="16">
        <v>123</v>
      </c>
      <c r="L107" s="14">
        <v>4535</v>
      </c>
      <c r="M107" s="36"/>
    </row>
    <row r="108" spans="1:13" ht="12.75">
      <c r="A108" s="17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37"/>
    </row>
    <row r="109" spans="1:13" ht="12.75">
      <c r="A109" s="23" t="s">
        <v>78</v>
      </c>
      <c r="B109" s="14" t="s">
        <v>28</v>
      </c>
      <c r="C109" s="18">
        <f>C107*'RATES '!$F$5</f>
        <v>33387.849599999994</v>
      </c>
      <c r="D109" s="18">
        <f>D107*'RATES '!$F$9</f>
        <v>22412.334300000002</v>
      </c>
      <c r="E109" s="18">
        <f>E107*'RATES '!$F$13</f>
        <v>6342.1088</v>
      </c>
      <c r="F109" s="18">
        <f>F107*'RATES '!$F$17</f>
        <v>8106.2392</v>
      </c>
      <c r="G109" s="18">
        <f>G107*'RATES '!$F$21</f>
        <v>6568.910999999999</v>
      </c>
      <c r="H109" s="18">
        <f>H107*'RATES '!$F$25</f>
        <v>10840.365300000001</v>
      </c>
      <c r="I109" s="18">
        <f>I107*'RATES '!$F$29</f>
        <v>228.618</v>
      </c>
      <c r="J109" s="18">
        <f>J107*'RATES '!$F$33</f>
        <v>582.7444</v>
      </c>
      <c r="K109" s="18">
        <f>K107*'RATES '!$F$37</f>
        <v>195.63150000000002</v>
      </c>
      <c r="L109" s="18">
        <f>L107*'RATES '!$F$40</f>
        <v>14.512</v>
      </c>
      <c r="M109" s="37">
        <f>SUM(C109:L109)</f>
        <v>88679.3141</v>
      </c>
    </row>
    <row r="110" spans="1:13" ht="12.75">
      <c r="A110" s="23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37"/>
    </row>
    <row r="111" spans="3:13" ht="12.75">
      <c r="C111" s="39">
        <f aca="true" t="shared" si="4" ref="C111:L111">SUM(C96:C99)+C104+C109</f>
        <v>33387.849599999994</v>
      </c>
      <c r="D111" s="39">
        <f t="shared" si="4"/>
        <v>22412.334300000002</v>
      </c>
      <c r="E111" s="39">
        <f t="shared" si="4"/>
        <v>6342.1088</v>
      </c>
      <c r="F111" s="39">
        <f t="shared" si="4"/>
        <v>8106.2392</v>
      </c>
      <c r="G111" s="39">
        <f t="shared" si="4"/>
        <v>6568.910999999999</v>
      </c>
      <c r="H111" s="39">
        <f t="shared" si="4"/>
        <v>10840.365300000001</v>
      </c>
      <c r="I111" s="39">
        <f t="shared" si="4"/>
        <v>228.618</v>
      </c>
      <c r="J111" s="39">
        <f t="shared" si="4"/>
        <v>582.7444</v>
      </c>
      <c r="K111" s="39">
        <f t="shared" si="4"/>
        <v>195.63150000000002</v>
      </c>
      <c r="L111" s="39">
        <f t="shared" si="4"/>
        <v>14.512</v>
      </c>
      <c r="M111" s="38">
        <f>SUM(M96:M99)+M104+M109-1.09</f>
        <v>88678.2241</v>
      </c>
    </row>
    <row r="113" spans="1:13" ht="15">
      <c r="A113" s="10" t="s">
        <v>94</v>
      </c>
      <c r="B113" s="11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35"/>
    </row>
    <row r="114" spans="1:13" ht="15">
      <c r="A114" s="25" t="s">
        <v>54</v>
      </c>
      <c r="B114" s="1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 ht="12.75">
      <c r="A115" s="19" t="s">
        <v>24</v>
      </c>
      <c r="C115" s="14">
        <f>-1</f>
        <v>-1</v>
      </c>
      <c r="D115" s="14"/>
      <c r="E115" s="14">
        <f>-8-2</f>
        <v>-10</v>
      </c>
      <c r="F115" s="14">
        <f>-46+11-11</f>
        <v>-46</v>
      </c>
      <c r="G115" s="14"/>
      <c r="H115" s="14"/>
      <c r="I115" s="14"/>
      <c r="J115" s="15"/>
      <c r="K115" s="15"/>
      <c r="L115" s="14"/>
      <c r="M115" s="36"/>
    </row>
    <row r="116" spans="1:13" ht="12.75">
      <c r="A116" s="19" t="s">
        <v>25</v>
      </c>
      <c r="C116" s="14">
        <f>-60</f>
        <v>-60</v>
      </c>
      <c r="D116" s="14">
        <f>-190-11245</f>
        <v>-11435</v>
      </c>
      <c r="E116" s="14">
        <f>-1162-2656+14</f>
        <v>-3804</v>
      </c>
      <c r="F116" s="14">
        <f>-20859-2560+78-78</f>
        <v>-23419</v>
      </c>
      <c r="G116" s="16"/>
      <c r="H116" s="16"/>
      <c r="I116" s="16"/>
      <c r="J116" s="16"/>
      <c r="K116" s="16"/>
      <c r="L116" s="14"/>
      <c r="M116" s="36"/>
    </row>
    <row r="117" spans="1:13" ht="12.75">
      <c r="A117" s="19"/>
      <c r="C117" s="14"/>
      <c r="D117" s="14"/>
      <c r="E117" s="14"/>
      <c r="F117" s="14"/>
      <c r="G117" s="26"/>
      <c r="H117" s="26"/>
      <c r="I117" s="26"/>
      <c r="J117" s="26"/>
      <c r="K117" s="26"/>
      <c r="L117" s="14"/>
      <c r="M117" s="36"/>
    </row>
    <row r="118" spans="1:13" ht="12.75">
      <c r="A118" s="23" t="s">
        <v>26</v>
      </c>
      <c r="B118" s="14" t="s">
        <v>27</v>
      </c>
      <c r="C118" s="18">
        <f>C115*'RATES '!$C$4</f>
        <v>-0.4924</v>
      </c>
      <c r="D118" s="18">
        <f>D115*'RATES '!$C$8</f>
        <v>0</v>
      </c>
      <c r="E118" s="18">
        <f>E115*'RATES '!$C$12</f>
        <v>-6.685</v>
      </c>
      <c r="F118" s="18">
        <f>F115*'RATES '!$C$16</f>
        <v>-39.1276</v>
      </c>
      <c r="G118" s="18">
        <f>G115*'RATES '!$C$20</f>
        <v>0</v>
      </c>
      <c r="H118" s="18">
        <f>H115*'RATES '!$C$24</f>
        <v>0</v>
      </c>
      <c r="I118" s="18">
        <f>I115*'RATES '!$C$28</f>
        <v>0</v>
      </c>
      <c r="J118" s="18">
        <f>J115*'RATES '!$C$32</f>
        <v>0</v>
      </c>
      <c r="K118" s="18">
        <f>K115*'RATES '!$C$36</f>
        <v>0</v>
      </c>
      <c r="L118" s="18"/>
      <c r="M118" s="37">
        <f>SUM(C118:K118)</f>
        <v>-46.305</v>
      </c>
    </row>
    <row r="119" spans="1:13" ht="12.75">
      <c r="A119" s="24"/>
      <c r="B119" s="14" t="s">
        <v>28</v>
      </c>
      <c r="C119" s="18">
        <f>C116*'RATES '!$C$5</f>
        <v>-0.0441</v>
      </c>
      <c r="D119" s="18">
        <f>D116*'RATES '!$C$9</f>
        <v>-8.50764</v>
      </c>
      <c r="E119" s="18">
        <f>E116*'RATES '!$C$13</f>
        <v>-2.6133480000000002</v>
      </c>
      <c r="F119" s="18">
        <f>F116*'RATES '!$C$17</f>
        <v>-12.622841</v>
      </c>
      <c r="G119" s="18">
        <f>G116*'RATES '!$C$21</f>
        <v>0</v>
      </c>
      <c r="H119" s="18">
        <f>H116*'RATES '!$C$25</f>
        <v>0</v>
      </c>
      <c r="I119" s="18">
        <f>I116*'RATES '!$C$29</f>
        <v>0</v>
      </c>
      <c r="J119" s="18">
        <f>J116*'RATES '!$C$33</f>
        <v>0</v>
      </c>
      <c r="K119" s="18">
        <f>K116*'RATES '!$C$37</f>
        <v>0</v>
      </c>
      <c r="L119" s="18"/>
      <c r="M119" s="37">
        <f>SUM(C119:K119)</f>
        <v>-23.787929</v>
      </c>
    </row>
    <row r="120" spans="1:13" ht="12.75">
      <c r="A120" s="23" t="s">
        <v>29</v>
      </c>
      <c r="B120" s="14" t="s">
        <v>27</v>
      </c>
      <c r="C120" s="18">
        <f>C115*'RATES '!$D$4</f>
        <v>-1.6119</v>
      </c>
      <c r="D120" s="18">
        <f>D115*'RATES '!$D$8</f>
        <v>0</v>
      </c>
      <c r="E120" s="18">
        <f>E115*'RATES '!$D$12</f>
        <v>-21.882</v>
      </c>
      <c r="F120" s="18">
        <f>F115*'RATES '!$D$16</f>
        <v>-128.0824</v>
      </c>
      <c r="G120" s="18">
        <f>G115*'RATES '!$D$20</f>
        <v>0</v>
      </c>
      <c r="H120" s="18">
        <f>H115*'RATES '!$D$24</f>
        <v>0</v>
      </c>
      <c r="I120" s="18">
        <f>I115*'RATES '!$D$28</f>
        <v>0</v>
      </c>
      <c r="J120" s="18">
        <f>J115*'RATES '!$D$32</f>
        <v>0</v>
      </c>
      <c r="K120" s="18">
        <f>K115*'RATES '!$D$36</f>
        <v>0</v>
      </c>
      <c r="L120" s="18"/>
      <c r="M120" s="37">
        <f>SUM(C120:K120)</f>
        <v>-151.5763</v>
      </c>
    </row>
    <row r="121" spans="1:13" ht="12.75">
      <c r="A121" s="17"/>
      <c r="B121" s="14" t="s">
        <v>28</v>
      </c>
      <c r="C121" s="18">
        <f>C116*'RATES '!$D$5</f>
        <v>-0.144</v>
      </c>
      <c r="D121" s="18">
        <f>D116*'RATES '!$D$9</f>
        <v>-27.444</v>
      </c>
      <c r="E121" s="18">
        <f>E116*'RATES '!$D$13</f>
        <v>-8.3688</v>
      </c>
      <c r="F121" s="18">
        <f>F116*'RATES '!$D$17</f>
        <v>-42.154199999999996</v>
      </c>
      <c r="G121" s="18">
        <f>G116*'RATES '!$D$21</f>
        <v>0</v>
      </c>
      <c r="H121" s="18">
        <f>H116*'RATES '!$D$25</f>
        <v>0</v>
      </c>
      <c r="I121" s="18">
        <f>I116*'RATES '!$D$29</f>
        <v>0</v>
      </c>
      <c r="J121" s="18">
        <f>J116*'RATES '!$D$33</f>
        <v>0</v>
      </c>
      <c r="K121" s="18">
        <f>K116*'RATES '!$D$37</f>
        <v>0</v>
      </c>
      <c r="L121" s="18"/>
      <c r="M121" s="37">
        <f>SUM(C121:K121)</f>
        <v>-78.11099999999999</v>
      </c>
    </row>
    <row r="122" spans="1:13" ht="12.75">
      <c r="A122" s="17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37"/>
    </row>
    <row r="123" spans="1:13" ht="15">
      <c r="A123" s="25" t="s">
        <v>55</v>
      </c>
      <c r="C123" s="14"/>
      <c r="D123" s="14"/>
      <c r="E123" s="14"/>
      <c r="F123" s="14"/>
      <c r="G123" s="26"/>
      <c r="H123" s="26"/>
      <c r="I123" s="26"/>
      <c r="J123" s="26"/>
      <c r="K123" s="26"/>
      <c r="L123" s="14"/>
      <c r="M123" s="36"/>
    </row>
    <row r="124" spans="1:13" ht="12.75">
      <c r="A124" s="19" t="s">
        <v>25</v>
      </c>
      <c r="C124" s="14"/>
      <c r="D124" s="14">
        <f>-90+141750+3021-6175</f>
        <v>138506</v>
      </c>
      <c r="E124" s="14">
        <f>-1992</f>
        <v>-1992</v>
      </c>
      <c r="F124" s="14">
        <f>-240-11412+6980+88-88</f>
        <v>-4672</v>
      </c>
      <c r="G124" s="16"/>
      <c r="H124" s="16"/>
      <c r="I124" s="16"/>
      <c r="J124" s="16"/>
      <c r="K124" s="16">
        <f>1</f>
        <v>1</v>
      </c>
      <c r="L124" s="14"/>
      <c r="M124" s="36"/>
    </row>
    <row r="125" spans="1:13" ht="12.75">
      <c r="A125" s="17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37"/>
    </row>
    <row r="126" spans="1:13" ht="12.75">
      <c r="A126" s="23" t="s">
        <v>56</v>
      </c>
      <c r="B126" s="14" t="s">
        <v>28</v>
      </c>
      <c r="C126" s="18">
        <f>C124*'RATES '!$E$5</f>
        <v>0</v>
      </c>
      <c r="D126" s="18">
        <f>D124*'RATES '!$E$9</f>
        <v>514.54979</v>
      </c>
      <c r="E126" s="18">
        <f>E124*'RATES '!$E$13</f>
        <v>-5.862456</v>
      </c>
      <c r="F126" s="18">
        <f>F124*'RATES '!$E$17</f>
        <v>-18.417024</v>
      </c>
      <c r="G126" s="18">
        <f>G124*'RATES '!$E$21</f>
        <v>0</v>
      </c>
      <c r="H126" s="18">
        <f>H124*'RATES '!$E$25</f>
        <v>0</v>
      </c>
      <c r="I126" s="18">
        <f>I124*'RATES '!$E$29</f>
        <v>0</v>
      </c>
      <c r="J126" s="18">
        <f>J124*'RATES '!$E$33</f>
        <v>0</v>
      </c>
      <c r="K126" s="18">
        <f>K124*'RATES '!$E$37</f>
        <v>2.711774</v>
      </c>
      <c r="L126" s="18"/>
      <c r="M126" s="37">
        <f>SUM(C126:K126)</f>
        <v>492.982084</v>
      </c>
    </row>
    <row r="127" spans="1:13" ht="12.75">
      <c r="A127" s="23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37"/>
    </row>
    <row r="128" spans="1:13" ht="15">
      <c r="A128" s="25" t="s">
        <v>77</v>
      </c>
      <c r="C128" s="14"/>
      <c r="D128" s="14"/>
      <c r="E128" s="14"/>
      <c r="F128" s="14"/>
      <c r="G128" s="26"/>
      <c r="H128" s="26"/>
      <c r="I128" s="26"/>
      <c r="J128" s="26"/>
      <c r="K128" s="26"/>
      <c r="L128" s="14"/>
      <c r="M128" s="36"/>
    </row>
    <row r="129" spans="1:13" ht="12.75">
      <c r="A129" s="19" t="s">
        <v>25</v>
      </c>
      <c r="C129" s="14">
        <f>1247863+3729-199-806+806-320-10</f>
        <v>1251063</v>
      </c>
      <c r="D129" s="14">
        <f>803706-4169+158097-1020-285-1305+17246-7701+18938+2152</f>
        <v>985659</v>
      </c>
      <c r="E129" s="14">
        <f>460624-370-1992-166-31</f>
        <v>458065</v>
      </c>
      <c r="F129" s="14">
        <f>378070-210-11380-970+2236+50868+96-96</f>
        <v>418614</v>
      </c>
      <c r="G129" s="16">
        <v>1673</v>
      </c>
      <c r="H129" s="16">
        <v>849</v>
      </c>
      <c r="I129" s="16"/>
      <c r="J129" s="16"/>
      <c r="K129" s="16">
        <v>23</v>
      </c>
      <c r="L129" s="14">
        <v>1314</v>
      </c>
      <c r="M129" s="36"/>
    </row>
    <row r="130" spans="1:13" ht="12.75">
      <c r="A130" s="1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37"/>
    </row>
    <row r="131" spans="1:14" ht="12.75">
      <c r="A131" s="23" t="s">
        <v>78</v>
      </c>
      <c r="B131" s="14" t="s">
        <v>28</v>
      </c>
      <c r="C131" s="18">
        <f>C129*'RATES '!$F$5</f>
        <v>6005.1024</v>
      </c>
      <c r="D131" s="18">
        <f>D129*'RATES '!$F$9</f>
        <v>4041.2019000000005</v>
      </c>
      <c r="E131" s="18">
        <f>E129*'RATES '!$F$13</f>
        <v>1465.808</v>
      </c>
      <c r="F131" s="18">
        <f>F129*'RATES '!$F$17</f>
        <v>1423.2875999999999</v>
      </c>
      <c r="G131" s="18">
        <f>G129*'RATES '!$F$21</f>
        <v>1095.1458</v>
      </c>
      <c r="H131" s="18">
        <f>H129*'RATES '!$F$25</f>
        <v>590.9889000000001</v>
      </c>
      <c r="I131" s="18">
        <f>I129*'RATES '!$F$29</f>
        <v>0</v>
      </c>
      <c r="J131" s="18">
        <f>J129*'RATES '!$F$33</f>
        <v>0</v>
      </c>
      <c r="K131" s="18">
        <f>K129*'RATES '!$F$37</f>
        <v>36.5815</v>
      </c>
      <c r="L131" s="18">
        <f>L129*'RATES '!$F$40</f>
        <v>4.2048000000000005</v>
      </c>
      <c r="M131" s="37">
        <f>SUM(C131:L131)</f>
        <v>14662.3209</v>
      </c>
      <c r="N131" s="40"/>
    </row>
    <row r="132" spans="1:13" ht="12.75">
      <c r="A132" s="23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37"/>
    </row>
    <row r="133" spans="3:13" ht="12.75">
      <c r="C133" s="39">
        <f aca="true" t="shared" si="5" ref="C133:L133">SUM(C118:C121)+C126+C131</f>
        <v>6002.8099999999995</v>
      </c>
      <c r="D133" s="39">
        <f t="shared" si="5"/>
        <v>4519.800050000001</v>
      </c>
      <c r="E133" s="39">
        <f t="shared" si="5"/>
        <v>1420.396396</v>
      </c>
      <c r="F133" s="39">
        <f t="shared" si="5"/>
        <v>1182.883535</v>
      </c>
      <c r="G133" s="39">
        <f t="shared" si="5"/>
        <v>1095.1458</v>
      </c>
      <c r="H133" s="39">
        <f t="shared" si="5"/>
        <v>590.9889000000001</v>
      </c>
      <c r="I133" s="39">
        <f t="shared" si="5"/>
        <v>0</v>
      </c>
      <c r="J133" s="39">
        <f t="shared" si="5"/>
        <v>0</v>
      </c>
      <c r="K133" s="39">
        <f t="shared" si="5"/>
        <v>39.293274</v>
      </c>
      <c r="L133" s="39">
        <f t="shared" si="5"/>
        <v>4.2048000000000005</v>
      </c>
      <c r="M133" s="38">
        <f>SUM(M118:M121)+M126+M131+0.06+1</f>
        <v>14856.582755</v>
      </c>
    </row>
    <row r="134" ht="13.5" thickBot="1"/>
    <row r="135" spans="12:13" ht="13.5" thickBot="1">
      <c r="L135" s="28" t="s">
        <v>57</v>
      </c>
      <c r="M135" s="27">
        <f>SUM(M23,M45,M67,M89,M111,M133)</f>
        <v>517854.554869</v>
      </c>
    </row>
  </sheetData>
  <sheetProtection/>
  <printOptions gridLines="1" horizontalCentered="1"/>
  <pageMargins left="0.5118110236220472" right="0.2362204724409449" top="0.5118110236220472" bottom="0.5118110236220472" header="0.2362204724409449" footer="0.2362204724409449"/>
  <pageSetup horizontalDpi="600" verticalDpi="600" orientation="portrait" scale="56" r:id="rId3"/>
  <headerFooter alignWithMargins="0">
    <oddFooter>&amp;LHaldimand County Hydro Inc.
Page &amp;P of &amp;N&amp;C&amp;"Arial,Bold"&amp;F
&amp;A&amp;R&amp;8J. Scott
September 29, 2011</oddFooter>
  </headerFooter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Jackie Scott</dc:creator>
  <cp:keywords/>
  <dc:description/>
  <cp:lastModifiedBy>Jackie Scott</cp:lastModifiedBy>
  <cp:lastPrinted>2011-09-29T23:53:06Z</cp:lastPrinted>
  <dcterms:created xsi:type="dcterms:W3CDTF">2011-09-29T13:27:09Z</dcterms:created>
  <dcterms:modified xsi:type="dcterms:W3CDTF">2011-09-30T20:35:00Z</dcterms:modified>
  <cp:category/>
  <cp:version/>
  <cp:contentType/>
  <cp:contentStatus/>
</cp:coreProperties>
</file>