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Jackie Scott</author>
  </authors>
  <commentList>
    <comment ref="D52" authorId="0">
      <text>
        <r>
          <rPr>
            <b/>
            <sz val="8"/>
            <rFont val="Tahoma"/>
            <family val="2"/>
          </rPr>
          <t>Jackie Scott:</t>
        </r>
        <r>
          <rPr>
            <sz val="8"/>
            <rFont val="Tahoma"/>
            <family val="2"/>
          </rPr>
          <t xml:space="preserve">
Per 2005 RAM/Proxy Calculation for 2005 Tax Calculations:
Permanent changes to base rate (re: change in late payment penalty and a provision for the revenue losses incurred by this change - as approved in June 12, 2002 Rate Order).</t>
        </r>
      </text>
    </comment>
  </commentList>
</comments>
</file>

<file path=xl/sharedStrings.xml><?xml version="1.0" encoding="utf-8"?>
<sst xmlns="http://schemas.openxmlformats.org/spreadsheetml/2006/main" count="880" uniqueCount="504">
  <si>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</si>
  <si>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</si>
  <si>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</si>
  <si>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</si>
  <si>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</si>
  <si>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</si>
  <si>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</si>
  <si>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</si>
  <si>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</si>
  <si>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</si>
  <si>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</si>
  <si>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</si>
  <si>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</si>
  <si>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</si>
  <si>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</si>
  <si>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</si>
  <si>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</si>
  <si>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</si>
  <si>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</si>
  <si>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</si>
  <si>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</si>
  <si>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</si>
  <si>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</si>
  <si>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</si>
  <si>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</si>
  <si>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</si>
  <si>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</si>
  <si>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</si>
  <si>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</si>
  <si>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</si>
  <si>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</si>
  <si>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</si>
  <si>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</si>
  <si>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</si>
  <si>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</si>
  <si>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</si>
  <si>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</si>
  <si>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</si>
  <si>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</si>
  <si>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</si>
  <si>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</si>
  <si>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</si>
  <si>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</si>
  <si>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</si>
  <si>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</si>
  <si>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</si>
  <si>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</si>
  <si>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</si>
  <si>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</si>
  <si>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</si>
  <si>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</si>
  <si>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</si>
  <si>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</si>
  <si>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</si>
  <si>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</si>
  <si>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</si>
  <si>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</si>
  <si>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</si>
  <si>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</si>
  <si>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</si>
  <si>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</si>
  <si>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</si>
  <si>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</si>
  <si>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</si>
  <si>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</si>
  <si>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</si>
  <si>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</si>
  <si>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</si>
  <si>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</si>
  <si>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</si>
  <si>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</si>
  <si>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</si>
  <si>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</si>
  <si>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</si>
  <si>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</si>
  <si>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</si>
  <si>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</si>
  <si>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</si>
  <si>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</si>
  <si>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</si>
  <si>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</si>
  <si>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</si>
  <si>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</si>
  <si>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</si>
  <si>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</si>
  <si>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</si>
  <si>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</si>
  <si>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</si>
  <si>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</si>
  <si>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</si>
  <si>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</si>
  <si>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</si>
  <si>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</si>
  <si>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</si>
  <si>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</si>
  <si>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</si>
  <si>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</si>
  <si>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</si>
  <si>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</si>
  <si>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</si>
  <si>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</si>
  <si>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</si>
  <si>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</si>
  <si>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</si>
  <si>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</si>
  <si>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</si>
  <si>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</si>
  <si>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</si>
  <si>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</si>
  <si>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</si>
  <si>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</si>
  <si>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</si>
  <si>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</si>
  <si>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</si>
  <si>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</si>
  <si>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</si>
  <si>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</si>
  <si>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</si>
  <si>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</si>
  <si>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</si>
  <si>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</si>
  <si>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</si>
  <si>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</si>
  <si>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</si>
  <si>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</si>
  <si>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</si>
  <si>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</si>
  <si>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</si>
  <si>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</si>
  <si>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</si>
  <si>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</si>
  <si>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</si>
  <si>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</si>
  <si>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</si>
  <si>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</si>
  <si>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</si>
  <si>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</si>
  <si>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</si>
  <si>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</si>
  <si>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</si>
  <si>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</si>
  <si>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</si>
  <si>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</si>
  <si>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</si>
  <si>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</si>
  <si>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</si>
  <si>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</si>
  <si>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</si>
  <si>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</si>
  <si>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</si>
  <si>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</si>
  <si>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</si>
  <si>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</si>
  <si>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</si>
  <si>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</si>
  <si>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</si>
  <si>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</si>
  <si>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</si>
  <si>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</si>
  <si>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</si>
  <si>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</si>
  <si>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</si>
  <si>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</si>
  <si>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</si>
  <si>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</si>
  <si>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</si>
  <si>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</si>
  <si>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</si>
  <si>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</si>
  <si>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</si>
  <si>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</si>
  <si>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</si>
  <si>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</si>
  <si>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</si>
  <si>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</si>
  <si>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</si>
  <si>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</si>
  <si>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</si>
  <si>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</si>
  <si>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</si>
  <si>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</si>
  <si>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</si>
  <si>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</si>
  <si>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</si>
  <si>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</si>
  <si>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</si>
  <si>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</si>
  <si>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</si>
  <si>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</si>
  <si>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</si>
  <si>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</si>
  <si>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</si>
  <si>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</si>
  <si>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</si>
  <si>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</si>
  <si>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</si>
  <si>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</si>
  <si>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</si>
  <si>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</si>
  <si>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</si>
  <si>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</si>
  <si>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</si>
  <si>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</si>
  <si>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</si>
  <si>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</si>
  <si>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</si>
  <si>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</si>
  <si>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</si>
  <si>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</si>
  <si>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</si>
  <si>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</si>
  <si>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</si>
  <si>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</si>
  <si>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</si>
  <si>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</si>
  <si>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</si>
  <si>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</si>
  <si>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</si>
  <si>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</si>
  <si>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</si>
  <si>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</si>
  <si>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</si>
  <si>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</si>
  <si>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</si>
  <si>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</si>
  <si>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</si>
  <si>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</si>
  <si>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</si>
  <si>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</si>
  <si>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</si>
  <si>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</si>
  <si>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</si>
  <si>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</si>
  <si>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</si>
  <si>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</si>
  <si>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</si>
  <si>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</si>
  <si>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</si>
  <si>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</si>
  <si>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</si>
  <si>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</si>
  <si>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</si>
  <si>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</si>
  <si>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</si>
  <si>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</si>
  <si>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</si>
  <si>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</si>
  <si>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</si>
  <si>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</si>
  <si>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</si>
  <si>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</si>
  <si>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</si>
  <si>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</si>
  <si>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</si>
  <si>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</si>
  <si>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</si>
  <si>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</si>
  <si>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</si>
  <si>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</si>
  <si>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</si>
  <si>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</si>
  <si>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</si>
  <si>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</si>
  <si>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</si>
  <si>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</si>
  <si>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</si>
  <si>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</si>
  <si>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</si>
  <si>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</si>
  <si>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</si>
  <si>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</si>
  <si>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</si>
  <si>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</si>
  <si>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</si>
  <si>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</si>
  <si>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</si>
  <si>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</si>
  <si>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</si>
  <si>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</si>
  <si>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</si>
  <si>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</si>
  <si>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</si>
  <si>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</si>
  <si>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</si>
  <si>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</si>
  <si>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</si>
  <si>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</si>
  <si>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</si>
  <si>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</si>
  <si>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</si>
  <si>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</si>
  <si>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</si>
  <si>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</si>
  <si>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</si>
  <si>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</si>
  <si>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</si>
  <si>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</si>
  <si>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</si>
  <si>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</si>
  <si>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</si>
  <si>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</si>
  <si>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</si>
  <si>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</si>
  <si>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</si>
  <si>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</si>
  <si>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</si>
  <si>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</si>
  <si>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</si>
  <si>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</si>
  <si>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</si>
  <si>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</si>
  <si>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</si>
  <si>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</si>
  <si>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</si>
  <si>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</si>
  <si>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</si>
  <si>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</si>
  <si>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</si>
  <si>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</si>
  <si>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</si>
  <si>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</si>
  <si>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</si>
  <si>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</si>
  <si>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</si>
  <si>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</si>
  <si>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</si>
  <si>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</si>
  <si>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</si>
  <si>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</si>
  <si>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</si>
  <si>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</si>
  <si>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</si>
  <si>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</si>
  <si>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</si>
  <si>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</si>
  <si>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</si>
  <si>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</si>
  <si>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</si>
  <si>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</si>
  <si>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</si>
  <si>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</si>
  <si>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</si>
  <si>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</si>
  <si>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</si>
  <si>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</si>
  <si>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</si>
  <si>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</si>
  <si>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</si>
  <si>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</si>
  <si>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</si>
  <si>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</si>
  <si>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</si>
  <si>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</si>
  <si>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</si>
  <si>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</si>
  <si>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</si>
  <si>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</si>
  <si>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</si>
  <si>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</si>
  <si>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</si>
  <si>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</si>
  <si>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</si>
  <si>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</si>
  <si>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</si>
  <si>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</si>
  <si>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</si>
  <si>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</si>
  <si>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</si>
  <si>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</si>
  <si>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</si>
  <si>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</si>
  <si>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</si>
  <si>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</si>
  <si>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</si>
  <si>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</si>
  <si>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</si>
  <si>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</si>
  <si>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</si>
  <si>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</si>
  <si>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</si>
  <si>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</si>
  <si>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</si>
  <si>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</si>
  <si>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</si>
  <si>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</si>
  <si>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</si>
  <si>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</si>
  <si>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</si>
  <si>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</si>
  <si>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</si>
  <si>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</si>
  <si>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</si>
  <si>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</si>
  <si>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</si>
  <si>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</si>
  <si>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</si>
  <si>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</si>
  <si>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</si>
  <si>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</si>
  <si>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</si>
  <si>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</si>
  <si>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</si>
  <si>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</si>
  <si>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</si>
  <si>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</si>
  <si>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</si>
  <si>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</si>
  <si>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</si>
  <si>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</si>
  <si>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</si>
  <si>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</si>
  <si>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</si>
  <si>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</si>
  <si>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</si>
  <si>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</si>
  <si>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</si>
  <si>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</si>
  <si>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</si>
  <si>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</si>
  <si>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</si>
  <si>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</si>
  <si>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</si>
  <si>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</si>
  <si>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</si>
  <si>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</si>
  <si>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</si>
  <si>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</si>
  <si>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</si>
  <si>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</si>
  <si>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</si>
  <si>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</si>
  <si>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</si>
  <si>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</si>
  <si>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</si>
  <si>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</si>
  <si>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</si>
  <si>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</si>
  <si>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</si>
  <si>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</si>
  <si>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</si>
  <si>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</si>
  <si>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</si>
  <si>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</si>
  <si>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</si>
  <si>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</si>
  <si>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</si>
  <si>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</si>
  <si>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</si>
  <si>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</si>
  <si>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</si>
  <si>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</si>
  <si>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</si>
  <si>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</si>
  <si>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</si>
  <si>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</si>
  <si>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</si>
  <si>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</si>
  <si>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</si>
  <si>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</si>
  <si>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</si>
  <si>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</si>
  <si>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</si>
  <si>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</si>
  <si>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</si>
  <si>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</si>
  <si>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</si>
  <si>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</si>
  <si>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</si>
  <si>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</si>
  <si>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</si>
  <si>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</si>
  <si>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</si>
  <si>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</si>
  <si>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</si>
  <si>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</si>
  <si>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</si>
  <si>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</si>
  <si>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</si>
  <si>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</si>
  <si>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</si>
  <si>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</si>
  <si>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</si>
  <si>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</si>
  <si>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</si>
  <si>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</si>
  <si>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</si>
  <si>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</si>
  <si>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</si>
  <si>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</si>
  <si>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</si>
  <si>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</si>
  <si>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Utility Name: HALDIMAND COUNTY HYDRO INC.</t>
  </si>
  <si>
    <t>Y</t>
  </si>
  <si>
    <t>N</t>
  </si>
  <si>
    <t>CDM 2005 incremental OM&amp;A expenses per 2005 PILs model</t>
  </si>
  <si>
    <t>Does this include LCT? N</t>
  </si>
  <si>
    <t>Total deemed interest  (REGINFO CELL D62)</t>
  </si>
  <si>
    <t>Ontario Specified Tax Credits</t>
  </si>
  <si>
    <t>Regulatory Assets - opening "debit" balances</t>
  </si>
  <si>
    <t>Regulatory Assets - closing "credit" balances</t>
  </si>
  <si>
    <t>Income for tax purposes - joint ventures or partnerships</t>
  </si>
  <si>
    <r>
      <t xml:space="preserve">Income Tax Rate ()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</si>
  <si>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Income Tax Rate used for gross-up ()</t>
  </si>
  <si>
    <t>Actual Income Tax Rate used for gross-up ()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</si>
</sst>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&quot;$&quot;#,##0.00;\(&quot;$&quot;#,##0.00\)"/>
    <numFmt numFmtId="214" formatCode="#,##0;\(#,##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3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5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6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5" borderId="43" xfId="0" applyNumberFormat="1" applyFill="1" applyBorder="1" applyAlignment="1" applyProtection="1">
      <alignment horizontal="center" vertical="top"/>
      <protection locked="0"/>
    </xf>
    <xf numFmtId="10" fontId="0" fillId="35" borderId="50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10" fontId="0" fillId="35" borderId="41" xfId="0" applyNumberFormat="1" applyFill="1" applyBorder="1" applyAlignment="1" applyProtection="1">
      <alignment horizontal="center" vertical="top"/>
      <protection locked="0"/>
    </xf>
    <xf numFmtId="178" fontId="0" fillId="35" borderId="43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5" xfId="0" applyFill="1" applyBorder="1" applyAlignment="1" applyProtection="1">
      <alignment horizontal="center" vertical="top"/>
      <protection locked="0"/>
    </xf>
    <xf numFmtId="0" fontId="0" fillId="35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0" fontId="0" fillId="40" borderId="50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3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5" xfId="0" applyNumberFormat="1" applyFill="1" applyBorder="1" applyAlignment="1" applyProtection="1">
      <alignment horizontal="center" vertical="center"/>
      <protection locked="0"/>
    </xf>
    <xf numFmtId="0" fontId="0" fillId="40" borderId="45" xfId="0" applyFill="1" applyBorder="1" applyAlignment="1" applyProtection="1">
      <alignment horizontal="center" vertical="top"/>
      <protection locked="0"/>
    </xf>
    <xf numFmtId="0" fontId="0" fillId="40" borderId="51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7" xfId="42" applyNumberFormat="1" applyFont="1" applyFill="1" applyBorder="1" applyAlignment="1" applyProtection="1">
      <alignment horizontal="center" vertical="top"/>
      <protection locked="0"/>
    </xf>
    <xf numFmtId="4" fontId="9" fillId="39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8" xfId="0" applyFont="1" applyFill="1" applyBorder="1" applyAlignment="1" applyProtection="1">
      <alignment horizontal="center" vertical="top"/>
      <protection locked="0"/>
    </xf>
    <xf numFmtId="3" fontId="3" fillId="39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0" fontId="9" fillId="39" borderId="54" xfId="0" applyFont="1" applyFill="1" applyBorder="1" applyAlignment="1" applyProtection="1">
      <alignment horizontal="center" vertical="center" wrapText="1"/>
      <protection locked="0"/>
    </xf>
    <xf numFmtId="3" fontId="3" fillId="36" borderId="47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0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7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6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1" borderId="17" xfId="0" applyNumberFormat="1" applyFon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Font="1" applyFill="1" applyAlignment="1" applyProtection="1">
      <alignment vertical="top"/>
      <protection locked="0"/>
    </xf>
    <xf numFmtId="0" fontId="3" fillId="0" borderId="0" xfId="0" applyFont="1" applyBorder="1" applyAlignment="1">
      <alignment vertical="top" wrapText="1"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3" fillId="0" borderId="57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horizontal="left" vertical="top" indent="1"/>
      <protection/>
    </xf>
    <xf numFmtId="0" fontId="3" fillId="0" borderId="0" xfId="0" applyFont="1" applyBorder="1" applyAlignment="1">
      <alignment vertical="top" wrapText="1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214" fontId="0" fillId="40" borderId="0" xfId="0" applyNumberFormat="1" applyFill="1" applyAlignment="1" applyProtection="1">
      <alignment/>
      <protection/>
    </xf>
    <xf numFmtId="214" fontId="0" fillId="0" borderId="0" xfId="0" applyNumberFormat="1" applyAlignment="1" applyProtection="1">
      <alignment/>
      <protection/>
    </xf>
    <xf numFmtId="214" fontId="0" fillId="35" borderId="0" xfId="0" applyNumberFormat="1" applyFill="1" applyAlignment="1" applyProtection="1">
      <alignment/>
      <protection/>
    </xf>
    <xf numFmtId="214" fontId="0" fillId="0" borderId="0" xfId="0" applyNumberFormat="1" applyFill="1" applyAlignment="1" applyProtection="1">
      <alignment/>
      <protection/>
    </xf>
    <xf numFmtId="214" fontId="0" fillId="40" borderId="0" xfId="0" applyNumberFormat="1" applyFill="1" applyAlignment="1">
      <alignment/>
    </xf>
    <xf numFmtId="214" fontId="0" fillId="0" borderId="0" xfId="0" applyNumberFormat="1" applyAlignment="1">
      <alignment/>
    </xf>
    <xf numFmtId="214" fontId="0" fillId="0" borderId="0" xfId="0" applyNumberFormat="1" applyFill="1" applyAlignment="1">
      <alignment/>
    </xf>
    <xf numFmtId="214" fontId="0" fillId="35" borderId="0" xfId="0" applyNumberFormat="1" applyFill="1" applyAlignment="1">
      <alignment/>
    </xf>
    <xf numFmtId="214" fontId="0" fillId="40" borderId="0" xfId="0" applyNumberFormat="1" applyFill="1" applyAlignment="1">
      <alignment vertical="top"/>
    </xf>
    <xf numFmtId="214" fontId="0" fillId="0" borderId="0" xfId="0" applyNumberFormat="1" applyFont="1" applyFill="1" applyAlignment="1">
      <alignment/>
    </xf>
    <xf numFmtId="214" fontId="0" fillId="35" borderId="58" xfId="0" applyNumberFormat="1" applyFill="1" applyBorder="1" applyAlignment="1" applyProtection="1">
      <alignment/>
      <protection/>
    </xf>
    <xf numFmtId="214" fontId="0" fillId="35" borderId="59" xfId="0" applyNumberForma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ldimand_2002_PILs%20Model_20110921_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1">
          <cell r="A1" t="str">
            <v>SIMPIL MODEL 
(Halton Hills Version per Board Decision in EB-2008-0381)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25">
      <selection activeCell="I60" sqref="I6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38.25">
      <c r="A1" s="482" t="str">
        <f>'[2]REGINFO'!A1</f>
        <v>SIMPIL MODEL 
(Halton Hills Version per Board Decision in EB-2008-0381)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44" t="s">
        <v>444</v>
      </c>
      <c r="E3" s="8"/>
      <c r="F3" s="8"/>
      <c r="G3" s="8"/>
      <c r="H3" s="8"/>
    </row>
    <row r="4" spans="1:8" ht="12.75">
      <c r="A4" s="2" t="s">
        <v>477</v>
      </c>
      <c r="C4" s="8"/>
      <c r="D4" s="443" t="s">
        <v>439</v>
      </c>
      <c r="E4" s="418"/>
      <c r="H4" s="8"/>
    </row>
    <row r="5" spans="1:8" ht="12.75">
      <c r="A5" s="51"/>
      <c r="C5" s="8"/>
      <c r="D5" s="442" t="s">
        <v>440</v>
      </c>
      <c r="E5" s="390"/>
      <c r="H5" s="8"/>
    </row>
    <row r="6" spans="1:8" ht="12.75">
      <c r="A6" s="2" t="s">
        <v>126</v>
      </c>
      <c r="B6" s="386">
        <v>365</v>
      </c>
      <c r="C6" s="8" t="s">
        <v>127</v>
      </c>
      <c r="D6" s="21"/>
      <c r="H6" s="8"/>
    </row>
    <row r="7" spans="1:8" ht="13.5" thickBot="1">
      <c r="A7" s="51" t="s">
        <v>254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3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3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483" t="s">
        <v>493</v>
      </c>
    </row>
    <row r="18" spans="1:4" ht="15" customHeight="1">
      <c r="A18" s="387" t="s">
        <v>313</v>
      </c>
      <c r="C18" s="8"/>
      <c r="D18" s="8"/>
    </row>
    <row r="19" spans="1:4" ht="15" customHeight="1">
      <c r="A19" s="506" t="s">
        <v>314</v>
      </c>
      <c r="B19" s="8" t="s">
        <v>311</v>
      </c>
      <c r="C19" s="8" t="s">
        <v>64</v>
      </c>
      <c r="D19" s="484" t="s">
        <v>493</v>
      </c>
    </row>
    <row r="20" spans="1:4" ht="13.5" thickBot="1">
      <c r="A20" s="507"/>
      <c r="B20" s="8" t="s">
        <v>312</v>
      </c>
      <c r="C20" s="8" t="s">
        <v>64</v>
      </c>
      <c r="D20" s="483" t="s">
        <v>493</v>
      </c>
    </row>
    <row r="21" spans="1:4" ht="12.75">
      <c r="A21" s="506" t="s">
        <v>310</v>
      </c>
      <c r="B21" s="8" t="s">
        <v>311</v>
      </c>
      <c r="C21" s="8"/>
      <c r="D21" s="413">
        <v>1</v>
      </c>
    </row>
    <row r="22" spans="1:4" ht="12.75">
      <c r="A22" s="506"/>
      <c r="B22" s="8" t="s">
        <v>312</v>
      </c>
      <c r="C22" s="8"/>
      <c r="D22" s="413">
        <v>1</v>
      </c>
    </row>
    <row r="23" spans="1:4" ht="7.5" customHeight="1">
      <c r="A23" s="45"/>
      <c r="C23" s="8"/>
      <c r="D23" s="386"/>
    </row>
    <row r="24" spans="1:4" ht="12.75">
      <c r="A24" s="45" t="s">
        <v>210</v>
      </c>
      <c r="C24" s="8" t="s">
        <v>211</v>
      </c>
      <c r="D24" s="414" t="s">
        <v>478</v>
      </c>
    </row>
    <row r="25" ht="6.75" customHeight="1" thickBot="1">
      <c r="A25" s="12"/>
    </row>
    <row r="26" spans="1:5" ht="12.75">
      <c r="A26" s="253" t="s">
        <v>67</v>
      </c>
      <c r="C26" s="8"/>
      <c r="E26" s="433" t="s">
        <v>295</v>
      </c>
    </row>
    <row r="27" spans="1:5" ht="12.75">
      <c r="A27" s="254" t="s">
        <v>68</v>
      </c>
      <c r="C27" s="8"/>
      <c r="E27" s="434" t="s">
        <v>296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285</v>
      </c>
      <c r="D31" s="411">
        <v>33509753</v>
      </c>
      <c r="H31" s="5"/>
    </row>
    <row r="32" ht="6" customHeight="1"/>
    <row r="33" spans="1:8" ht="12.75">
      <c r="A33" t="s">
        <v>71</v>
      </c>
      <c r="D33" s="41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2">
        <v>0.0988</v>
      </c>
      <c r="H37" s="41"/>
    </row>
    <row r="38" ht="4.5" customHeight="1">
      <c r="H38" s="34"/>
    </row>
    <row r="39" spans="1:8" ht="12.75">
      <c r="A39" t="s">
        <v>74</v>
      </c>
      <c r="D39" s="412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2870110.34445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5">
        <v>1557675</v>
      </c>
      <c r="E43" s="385">
        <f>D43</f>
        <v>1557675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1312435.3444500002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6">
        <v>437478</v>
      </c>
      <c r="E47" s="385">
        <f aca="true" t="shared" si="0" ref="E47:E53">D47</f>
        <v>437478</v>
      </c>
      <c r="H47" s="40"/>
      <c r="J47" s="5"/>
      <c r="K47" s="5"/>
    </row>
    <row r="48" spans="1:11" ht="12.75">
      <c r="A48" t="s">
        <v>288</v>
      </c>
      <c r="D48" s="416">
        <v>437478</v>
      </c>
      <c r="E48" s="385">
        <f>D48</f>
        <v>437478</v>
      </c>
      <c r="F48" s="22"/>
      <c r="H48" s="40"/>
      <c r="J48" s="5"/>
      <c r="K48" s="5"/>
    </row>
    <row r="49" spans="1:11" ht="12.75">
      <c r="A49" t="s">
        <v>289</v>
      </c>
      <c r="D49" s="417"/>
      <c r="E49" s="385">
        <f>D49</f>
        <v>0</v>
      </c>
      <c r="F49" s="22"/>
      <c r="H49" s="40"/>
      <c r="J49" s="5"/>
      <c r="K49" s="5"/>
    </row>
    <row r="50" spans="1:11" ht="12.75">
      <c r="A50" t="s">
        <v>290</v>
      </c>
      <c r="D50" s="418"/>
      <c r="E50" s="385">
        <f t="shared" si="0"/>
        <v>0</v>
      </c>
      <c r="H50" s="40"/>
      <c r="J50" s="5"/>
      <c r="K50" s="5"/>
    </row>
    <row r="51" spans="1:11" ht="12.75">
      <c r="A51" t="s">
        <v>436</v>
      </c>
      <c r="C51" s="481"/>
      <c r="D51" s="416">
        <v>437478</v>
      </c>
      <c r="E51" s="385">
        <f t="shared" si="0"/>
        <v>437478</v>
      </c>
      <c r="G51" s="3"/>
      <c r="H51" s="40"/>
      <c r="J51" s="5"/>
      <c r="K51" s="5"/>
    </row>
    <row r="52" spans="1:11" ht="12.75">
      <c r="A52" t="s">
        <v>459</v>
      </c>
      <c r="D52" s="416">
        <v>184653</v>
      </c>
      <c r="E52" s="385">
        <f t="shared" si="0"/>
        <v>184653</v>
      </c>
      <c r="G52" s="479"/>
      <c r="H52" s="40"/>
      <c r="J52" s="5"/>
      <c r="K52" s="5"/>
    </row>
    <row r="53" spans="4:11" ht="12.75">
      <c r="D53" s="418"/>
      <c r="E53" s="385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2">
        <f>SUM(E43:E53)</f>
        <v>3054762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16754876.5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1655381.7982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16754876.5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0">
        <f>D60*D39</f>
        <v>1214728.54625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1">
        <f>IF(D41&gt;0,(((D43+D47)/D41)*D62),0)</f>
        <v>844416.7688266197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1">
        <f>IF(D41&gt;0,(((D43+D47+D48)/D41)*D62),0)</f>
        <v>1029572.3730297722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1">
        <f>IF(D41&gt;0,(((D43+D47+D48)/D41)*D62),0)</f>
        <v>1029572.3730297722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1">
        <f>D62</f>
        <v>1214728.54625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3"/>
  <headerFooter alignWithMargins="0">
    <oddFooter>&amp;LHaldimand County Hydro Inc.
Page &amp;P of &amp;N&amp;C&amp;F
&amp;"Arial,Bold"&amp;A&amp;RJ. Scott
September 26, 2011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47">
      <selection activeCell="F117" sqref="F11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26.25">
      <c r="A1" s="485" t="str">
        <f>REGINFO!A1</f>
        <v>SIMPIL MODEL 
(Halton Hills Version per Board Decision in EB-2008-0381)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461</v>
      </c>
      <c r="H1" s="208"/>
    </row>
    <row r="2" spans="1:8" ht="12.75">
      <c r="A2" s="209" t="s">
        <v>460</v>
      </c>
      <c r="B2" s="210"/>
      <c r="C2" s="211" t="s">
        <v>35</v>
      </c>
      <c r="D2" s="212"/>
      <c r="E2" s="213" t="s">
        <v>24</v>
      </c>
      <c r="F2" s="214" t="s">
        <v>24</v>
      </c>
      <c r="G2" s="182" t="s">
        <v>462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248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2" t="str">
        <f>REGINFO!E1</f>
        <v>Version 2009.1</v>
      </c>
      <c r="H5" s="215"/>
    </row>
    <row r="6" spans="1:8" ht="12.75">
      <c r="A6" s="209" t="str">
        <f>REGINFO!A3</f>
        <v>Utility Name: HALDIMAND COUNTY HYDRO INC.</v>
      </c>
      <c r="B6" s="114"/>
      <c r="D6" s="136"/>
      <c r="E6" s="114"/>
      <c r="G6" s="114"/>
      <c r="H6" s="45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54"/>
    </row>
    <row r="8" spans="2:12" ht="12.75">
      <c r="B8" s="220"/>
      <c r="C8" s="228"/>
      <c r="D8" s="212"/>
      <c r="E8" s="136"/>
      <c r="F8" s="218"/>
      <c r="G8" s="182" t="s">
        <v>87</v>
      </c>
      <c r="H8" s="215"/>
      <c r="J8" s="34"/>
      <c r="K8" s="34"/>
      <c r="L8" s="34"/>
    </row>
    <row r="9" spans="1:8" ht="12.75">
      <c r="A9" s="209" t="s">
        <v>126</v>
      </c>
      <c r="B9" s="419">
        <f>REGINFO!B6</f>
        <v>365</v>
      </c>
      <c r="C9" s="229" t="s">
        <v>127</v>
      </c>
      <c r="D9" s="212"/>
      <c r="E9" s="136"/>
      <c r="F9" s="218"/>
      <c r="G9" s="182" t="s">
        <v>90</v>
      </c>
      <c r="H9" s="215"/>
    </row>
    <row r="10" spans="1:8" ht="12.75">
      <c r="A10" s="209" t="s">
        <v>254</v>
      </c>
      <c r="B10" s="419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339</v>
      </c>
      <c r="B16" s="124">
        <v>1</v>
      </c>
      <c r="C16" s="256">
        <f>REGINFO!E54</f>
        <v>3054762</v>
      </c>
      <c r="D16" s="17"/>
      <c r="E16" s="264">
        <f>G16-C16</f>
        <v>-1182564</v>
      </c>
      <c r="F16" s="3"/>
      <c r="G16" s="264">
        <f>TAXREC!E50</f>
        <v>1872198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206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8">
        <v>1863832</v>
      </c>
      <c r="D20" s="18"/>
      <c r="E20" s="264">
        <f>G20-C20</f>
        <v>491191</v>
      </c>
      <c r="F20" s="6"/>
      <c r="G20" s="264">
        <f>TAXREC!E61</f>
        <v>2355023</v>
      </c>
      <c r="H20" s="150"/>
    </row>
    <row r="21" spans="1:8" ht="12.75">
      <c r="A21" s="157" t="s">
        <v>56</v>
      </c>
      <c r="B21" s="126">
        <v>3</v>
      </c>
      <c r="C21" s="258"/>
      <c r="D21" s="18"/>
      <c r="E21" s="264">
        <f>G21-C21</f>
        <v>0</v>
      </c>
      <c r="F21" s="6"/>
      <c r="G21" s="264">
        <f>TAXREC!E62</f>
        <v>0</v>
      </c>
      <c r="H21" s="150"/>
    </row>
    <row r="22" spans="1:8" ht="12.75">
      <c r="A22" s="157" t="s">
        <v>262</v>
      </c>
      <c r="B22" s="126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50"/>
    </row>
    <row r="23" spans="1:8" ht="12.75">
      <c r="A23" s="157" t="s">
        <v>261</v>
      </c>
      <c r="B23" s="126">
        <v>4</v>
      </c>
      <c r="C23" s="258"/>
      <c r="D23" s="18"/>
      <c r="E23" s="264">
        <f>G23-C23</f>
        <v>0</v>
      </c>
      <c r="F23" s="6"/>
      <c r="G23" s="264">
        <f>TAXREC!E64</f>
        <v>0</v>
      </c>
      <c r="H23" s="150"/>
    </row>
    <row r="24" spans="1:8" ht="12.75">
      <c r="A24" s="157" t="s">
        <v>263</v>
      </c>
      <c r="B24" s="126">
        <v>5</v>
      </c>
      <c r="C24" s="258">
        <v>214577</v>
      </c>
      <c r="D24" s="18"/>
      <c r="E24" s="264">
        <f>G24-C24</f>
        <v>3261131</v>
      </c>
      <c r="F24" s="6"/>
      <c r="G24" s="264">
        <f>TAXREC!E65</f>
        <v>3475708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58"/>
      <c r="D26" s="18"/>
      <c r="E26" s="264">
        <f>G26-C26</f>
        <v>0</v>
      </c>
      <c r="F26" s="6"/>
      <c r="G26" s="264">
        <f>TAXREC!E92</f>
        <v>0</v>
      </c>
      <c r="H26" s="150"/>
    </row>
    <row r="27" spans="1:8" ht="12.75">
      <c r="A27" s="157" t="s">
        <v>158</v>
      </c>
      <c r="B27" s="126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50"/>
    </row>
    <row r="28" spans="1:8" ht="12.75">
      <c r="A28" s="157" t="s">
        <v>157</v>
      </c>
      <c r="B28" s="126">
        <v>6</v>
      </c>
      <c r="C28" s="258"/>
      <c r="D28" s="18"/>
      <c r="E28" s="264">
        <f>G28-C28</f>
        <v>52302</v>
      </c>
      <c r="F28" s="6"/>
      <c r="G28" s="264">
        <f>TAXREC!E67</f>
        <v>52302</v>
      </c>
      <c r="H28" s="150"/>
    </row>
    <row r="29" spans="1:8" ht="12.75">
      <c r="A29" s="157" t="s">
        <v>156</v>
      </c>
      <c r="B29" s="126">
        <v>6</v>
      </c>
      <c r="C29" s="258"/>
      <c r="D29" s="18"/>
      <c r="E29" s="264">
        <f>G29-C29</f>
        <v>0</v>
      </c>
      <c r="F29" s="6"/>
      <c r="G29" s="264">
        <f>TAXREC!E68</f>
        <v>0</v>
      </c>
      <c r="H29" s="150"/>
    </row>
    <row r="30" spans="1:8" ht="15">
      <c r="A30" s="470" t="s">
        <v>392</v>
      </c>
      <c r="B30" s="126"/>
      <c r="C30" s="256"/>
      <c r="D30" s="18"/>
      <c r="E30" s="264">
        <f>G30-C30</f>
        <v>0</v>
      </c>
      <c r="F30" s="6"/>
      <c r="G30" s="264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340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8">
        <v>1903327</v>
      </c>
      <c r="D33" s="131"/>
      <c r="E33" s="264">
        <f aca="true" t="shared" si="0" ref="E33:E42">G33-C33</f>
        <v>-154311</v>
      </c>
      <c r="F33" s="6"/>
      <c r="G33" s="264">
        <f>TAXREC!E97+TAXREC!E98</f>
        <v>1749016</v>
      </c>
      <c r="H33" s="150"/>
    </row>
    <row r="34" spans="1:8" ht="12.75">
      <c r="A34" s="157" t="s">
        <v>57</v>
      </c>
      <c r="B34" s="126">
        <v>8</v>
      </c>
      <c r="C34" s="258"/>
      <c r="D34" s="131"/>
      <c r="E34" s="264">
        <f t="shared" si="0"/>
        <v>0</v>
      </c>
      <c r="F34" s="6"/>
      <c r="G34" s="264">
        <f>TAXREC!E99</f>
        <v>0</v>
      </c>
      <c r="H34" s="150"/>
    </row>
    <row r="35" spans="1:8" ht="12.75">
      <c r="A35" s="157" t="s">
        <v>45</v>
      </c>
      <c r="B35" s="126">
        <v>9</v>
      </c>
      <c r="C35" s="258"/>
      <c r="D35" s="131"/>
      <c r="E35" s="264">
        <f t="shared" si="0"/>
        <v>0</v>
      </c>
      <c r="F35" s="6"/>
      <c r="G35" s="264">
        <f>TAXREC!E100</f>
        <v>0</v>
      </c>
      <c r="H35" s="150"/>
    </row>
    <row r="36" spans="1:8" ht="12.75">
      <c r="A36" s="157" t="s">
        <v>264</v>
      </c>
      <c r="B36" s="126">
        <v>10</v>
      </c>
      <c r="C36" s="258">
        <v>34503</v>
      </c>
      <c r="D36" s="131"/>
      <c r="E36" s="264">
        <f t="shared" si="0"/>
        <v>2937561</v>
      </c>
      <c r="F36" s="6"/>
      <c r="G36" s="264">
        <f>TAXREC!E102+TAXREC!E103</f>
        <v>2972064</v>
      </c>
      <c r="H36" s="150"/>
    </row>
    <row r="37" spans="1:8" ht="12.75">
      <c r="A37" s="154" t="s">
        <v>86</v>
      </c>
      <c r="B37" s="124">
        <v>11</v>
      </c>
      <c r="C37" s="257">
        <f>REGINFO!D70</f>
        <v>1214728.54625</v>
      </c>
      <c r="D37" s="131"/>
      <c r="E37" s="264">
        <f t="shared" si="0"/>
        <v>-246502.5462499999</v>
      </c>
      <c r="F37" s="6"/>
      <c r="G37" s="264">
        <f>TAXREC!E51</f>
        <v>968226</v>
      </c>
      <c r="H37" s="150"/>
    </row>
    <row r="38" spans="1:8" ht="12.75">
      <c r="A38" s="154" t="s">
        <v>260</v>
      </c>
      <c r="B38" s="124">
        <v>4</v>
      </c>
      <c r="C38" s="258"/>
      <c r="D38" s="131"/>
      <c r="E38" s="264">
        <f t="shared" si="0"/>
        <v>0</v>
      </c>
      <c r="F38" s="6"/>
      <c r="G38" s="264">
        <f>TAXREC!E104</f>
        <v>0</v>
      </c>
      <c r="H38" s="150"/>
    </row>
    <row r="39" spans="1:8" ht="12.75">
      <c r="A39" s="154" t="s">
        <v>259</v>
      </c>
      <c r="B39" s="124">
        <v>4</v>
      </c>
      <c r="C39" s="258"/>
      <c r="D39" s="131"/>
      <c r="E39" s="264">
        <f t="shared" si="0"/>
        <v>0</v>
      </c>
      <c r="F39" s="6"/>
      <c r="G39" s="264">
        <f>TAXREC!E105</f>
        <v>0</v>
      </c>
      <c r="H39" s="150"/>
    </row>
    <row r="40" spans="1:8" ht="12.75">
      <c r="A40" s="154" t="s">
        <v>12</v>
      </c>
      <c r="B40" s="124">
        <v>3</v>
      </c>
      <c r="C40" s="258"/>
      <c r="D40" s="131"/>
      <c r="E40" s="264">
        <f t="shared" si="0"/>
        <v>0</v>
      </c>
      <c r="F40" s="6"/>
      <c r="G40" s="264">
        <f>TAXREC!E106</f>
        <v>0</v>
      </c>
      <c r="H40" s="150"/>
    </row>
    <row r="41" spans="1:8" ht="12.75">
      <c r="A41" s="154" t="s">
        <v>13</v>
      </c>
      <c r="B41" s="124">
        <v>3</v>
      </c>
      <c r="C41" s="258"/>
      <c r="D41" s="131"/>
      <c r="E41" s="264">
        <f t="shared" si="0"/>
        <v>0</v>
      </c>
      <c r="F41" s="6"/>
      <c r="G41" s="264">
        <f>TAXREC!E107</f>
        <v>0</v>
      </c>
      <c r="H41" s="150"/>
    </row>
    <row r="42" spans="1:8" ht="12.75">
      <c r="A42" s="154" t="s">
        <v>183</v>
      </c>
      <c r="B42" s="124">
        <v>11</v>
      </c>
      <c r="C42" s="258"/>
      <c r="D42" s="131"/>
      <c r="E42" s="264">
        <f t="shared" si="0"/>
        <v>0</v>
      </c>
      <c r="F42" s="6"/>
      <c r="G42" s="264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486" t="s">
        <v>494</v>
      </c>
      <c r="B44" s="126">
        <v>12</v>
      </c>
      <c r="C44" s="258">
        <v>33333</v>
      </c>
      <c r="D44" s="131"/>
      <c r="E44" s="264">
        <f>G44-C44</f>
        <v>-33333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258"/>
      <c r="D45" s="131"/>
      <c r="E45" s="264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8"/>
      <c r="D46" s="131"/>
      <c r="E46" s="264">
        <f>G46-C46</f>
        <v>869</v>
      </c>
      <c r="F46" s="6"/>
      <c r="G46" s="249">
        <f>TAXREC!E110</f>
        <v>869</v>
      </c>
      <c r="H46" s="150"/>
    </row>
    <row r="47" spans="1:8" ht="12.75">
      <c r="A47" s="157" t="s">
        <v>153</v>
      </c>
      <c r="B47" s="126">
        <v>12</v>
      </c>
      <c r="C47" s="258"/>
      <c r="D47" s="131"/>
      <c r="E47" s="264">
        <f>G47-C47</f>
        <v>0</v>
      </c>
      <c r="F47" s="6"/>
      <c r="G47" s="249">
        <f>TAXREC!E111</f>
        <v>0</v>
      </c>
      <c r="H47" s="150"/>
    </row>
    <row r="48" spans="1:8" ht="15">
      <c r="A48" s="470" t="s">
        <v>392</v>
      </c>
      <c r="B48" s="126"/>
      <c r="C48" s="256"/>
      <c r="D48" s="131"/>
      <c r="E48" s="264">
        <f>G48-C48</f>
        <v>0</v>
      </c>
      <c r="F48" s="6"/>
      <c r="G48" s="249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326</v>
      </c>
      <c r="B50" s="124"/>
      <c r="C50" s="260">
        <f>C16+SUM(C20:C30)-SUM(C33:C48)</f>
        <v>1947279.4537500003</v>
      </c>
      <c r="D50" s="101"/>
      <c r="E50" s="260">
        <f>E16+SUM(E20:E30)-SUM(E33:E48)</f>
        <v>117776.54624999966</v>
      </c>
      <c r="F50" s="421" t="s">
        <v>364</v>
      </c>
      <c r="G50" s="260">
        <f>G16+SUM(G20:G30)-SUM(G33:G48)</f>
        <v>2065056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334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338</v>
      </c>
      <c r="B53" s="126">
        <v>13</v>
      </c>
      <c r="C53" s="259">
        <f>IF($C$50&gt;'Tax Rates'!$E$11,'Tax Rates'!$F$16,IF($C$50&gt;'Tax Rates'!$C$11,'Tax Rates'!$E$16,'Tax Rates'!$C$16))</f>
        <v>0.3612</v>
      </c>
      <c r="D53" s="101"/>
      <c r="E53" s="265">
        <f>+G53-C53</f>
        <v>0</v>
      </c>
      <c r="F53" s="113"/>
      <c r="G53" s="462">
        <f>+'Tax Rates'!F52</f>
        <v>0.3612</v>
      </c>
      <c r="H53" s="150"/>
      <c r="I53" s="459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1">
        <f>IF(C50&gt;0,C50*C53,0)</f>
        <v>703357.3386945002</v>
      </c>
      <c r="D55" s="101"/>
      <c r="E55" s="264">
        <f>G55-C55</f>
        <v>42540.661305499845</v>
      </c>
      <c r="F55" s="421" t="s">
        <v>365</v>
      </c>
      <c r="G55" s="261">
        <f>TAXREC!E144</f>
        <v>745898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2"/>
      <c r="D58" s="131"/>
      <c r="E58" s="264">
        <f>+G58-C58</f>
        <v>5870</v>
      </c>
      <c r="F58" s="421" t="s">
        <v>365</v>
      </c>
      <c r="G58" s="267">
        <f>TAXREC!E145</f>
        <v>5870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3">
        <f>+C55-C58</f>
        <v>703357.3386945002</v>
      </c>
      <c r="D60" s="132"/>
      <c r="E60" s="266">
        <f>+E55-E58</f>
        <v>36670.661305499845</v>
      </c>
      <c r="F60" s="421" t="s">
        <v>365</v>
      </c>
      <c r="G60" s="266">
        <f>+G55-G58</f>
        <v>740028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1">
        <f>Ratebase</f>
        <v>33509753</v>
      </c>
      <c r="D66" s="101"/>
      <c r="E66" s="264">
        <f>G66-C66</f>
        <v>6660616</v>
      </c>
      <c r="F66" s="6"/>
      <c r="G66" s="464">
        <v>40170369</v>
      </c>
      <c r="H66" s="150"/>
      <c r="I66" s="465" t="s">
        <v>468</v>
      </c>
    </row>
    <row r="67" spans="1:10" ht="12.75">
      <c r="A67" s="151" t="s">
        <v>357</v>
      </c>
      <c r="B67" s="124">
        <v>16</v>
      </c>
      <c r="C67" s="257">
        <f>IF(C66&gt;0,'Tax Rates'!C21,0)</f>
        <v>7425000</v>
      </c>
      <c r="D67" s="101"/>
      <c r="E67" s="264">
        <f>G67-C67</f>
        <v>62139</v>
      </c>
      <c r="F67" s="6"/>
      <c r="G67" s="264">
        <f>'Tax Rates'!C57</f>
        <v>7487139</v>
      </c>
      <c r="H67" s="150"/>
      <c r="I67" s="465" t="s">
        <v>468</v>
      </c>
      <c r="J67" s="488"/>
    </row>
    <row r="68" spans="1:8" ht="12.75">
      <c r="A68" s="151" t="s">
        <v>42</v>
      </c>
      <c r="B68" s="124"/>
      <c r="C68" s="261">
        <f>IF((C66-C67)&gt;0,C66-C67,0)</f>
        <v>26084753</v>
      </c>
      <c r="D68" s="101"/>
      <c r="E68" s="264">
        <f>SUM(E66:E67)</f>
        <v>6722755</v>
      </c>
      <c r="F68" s="113"/>
      <c r="G68" s="261">
        <f>G66-G67</f>
        <v>32683230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298">
        <f>'Tax Rates'!C18</f>
        <v>0.003</v>
      </c>
      <c r="D70" s="101"/>
      <c r="E70" s="265">
        <f>+G70-C70</f>
        <v>0</v>
      </c>
      <c r="F70" s="6"/>
      <c r="G70" s="298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315</v>
      </c>
      <c r="B72" s="124"/>
      <c r="C72" s="261">
        <f>IF(C68&gt;0,C68*C70,0)*REGINFO!$B$6/REGINFO!$B$7</f>
        <v>78254.259</v>
      </c>
      <c r="D72" s="100"/>
      <c r="E72" s="264">
        <f>+G72-C72</f>
        <v>19795.430999999997</v>
      </c>
      <c r="F72" s="466"/>
      <c r="G72" s="261">
        <f>IF(G68&gt;0,G68*G70,0)*REGINFO!$B$6/REGINFO!$B$7</f>
        <v>98049.69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216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1">
        <f>Ratebase</f>
        <v>33509753</v>
      </c>
      <c r="D75" s="101"/>
      <c r="E75" s="264">
        <f>+G75-C75</f>
        <v>6660616</v>
      </c>
      <c r="F75" s="6"/>
      <c r="G75" s="464">
        <v>40170369</v>
      </c>
      <c r="H75" s="150"/>
      <c r="I75" s="465" t="s">
        <v>468</v>
      </c>
    </row>
    <row r="76" spans="1:9" ht="12.75">
      <c r="A76" s="151" t="s">
        <v>357</v>
      </c>
      <c r="B76" s="124">
        <v>19</v>
      </c>
      <c r="C76" s="257">
        <f>IF(C75&gt;0,'Tax Rates'!C22,0)</f>
        <v>49500000</v>
      </c>
      <c r="D76" s="18"/>
      <c r="E76" s="264">
        <f>+G76-C76</f>
        <v>500000</v>
      </c>
      <c r="F76" s="6"/>
      <c r="G76" s="264">
        <f>'Tax Rates'!C58</f>
        <v>50000000</v>
      </c>
      <c r="H76" s="150"/>
      <c r="I76" s="465" t="s">
        <v>468</v>
      </c>
    </row>
    <row r="77" spans="1:8" ht="12.75">
      <c r="A77" s="151" t="s">
        <v>42</v>
      </c>
      <c r="B77" s="124"/>
      <c r="C77" s="261">
        <f>IF((C75-C76)&gt;0,C75-C76,0)</f>
        <v>0</v>
      </c>
      <c r="D77" s="19"/>
      <c r="E77" s="264">
        <f>SUM(E75:E76)</f>
        <v>7160616</v>
      </c>
      <c r="F77" s="113"/>
      <c r="G77" s="261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298">
        <f>'Tax Rates'!C19</f>
        <v>0.00175</v>
      </c>
      <c r="D79" s="101"/>
      <c r="E79" s="265">
        <f>G79-C79</f>
        <v>0.00025</v>
      </c>
      <c r="F79" s="6"/>
      <c r="G79" s="265">
        <f>'Tax Rates'!C55</f>
        <v>0.002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1">
        <f>IF(C77&gt;0,C77*C79,0)*REGINFO!$B$6/REGINFO!$B$7</f>
        <v>0</v>
      </c>
      <c r="D81" s="101"/>
      <c r="E81" s="264">
        <f>+G81-C81</f>
        <v>0</v>
      </c>
      <c r="F81" s="6"/>
      <c r="G81" s="261">
        <f>G77*G79*B9/B10</f>
        <v>0</v>
      </c>
      <c r="H81" s="150"/>
    </row>
    <row r="82" spans="1:8" ht="12.75">
      <c r="A82" s="151" t="s">
        <v>317</v>
      </c>
      <c r="B82" s="124">
        <v>21</v>
      </c>
      <c r="C82" s="297">
        <f>IF(C77&gt;0,IF(C60&gt;0,C50*'Tax Rates'!C20,0),0)</f>
        <v>0</v>
      </c>
      <c r="D82" s="101"/>
      <c r="E82" s="264">
        <f>+G82-C82</f>
        <v>0</v>
      </c>
      <c r="F82" s="6"/>
      <c r="G82" s="297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1">
        <f>C81-C82</f>
        <v>0</v>
      </c>
      <c r="D84" s="16"/>
      <c r="E84" s="264">
        <f>E81-E82</f>
        <v>0</v>
      </c>
      <c r="F84" s="102"/>
      <c r="G84" s="261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225</v>
      </c>
      <c r="B88" s="124"/>
      <c r="C88" s="259">
        <f>IF($C$50&gt;'Tax Rates'!$E$11,'Tax Rates'!$F$16,IF(AND($C$50&gt;='Tax Rates'!$C$11,$C$50&lt;='Tax Rates'!E11),'Tax Rates'!$E$16,'Tax Rates'!$C$16))</f>
        <v>0.3612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366</v>
      </c>
      <c r="B90" s="126">
        <v>22</v>
      </c>
      <c r="C90" s="261">
        <f>C60/(1-C88)</f>
        <v>1101060.329828585</v>
      </c>
      <c r="D90" s="20"/>
      <c r="E90" s="138"/>
      <c r="F90" s="420" t="s">
        <v>488</v>
      </c>
      <c r="G90" s="267">
        <f>TAXREC!E156</f>
        <v>740028</v>
      </c>
      <c r="H90" s="150"/>
    </row>
    <row r="91" spans="1:8" ht="12.75">
      <c r="A91" s="157" t="s">
        <v>367</v>
      </c>
      <c r="B91" s="126">
        <v>23</v>
      </c>
      <c r="C91" s="261">
        <f>C84/(1-C88)</f>
        <v>0</v>
      </c>
      <c r="D91" s="20"/>
      <c r="E91" s="138"/>
      <c r="F91" s="420" t="s">
        <v>488</v>
      </c>
      <c r="G91" s="267">
        <f>TAXREC!E158</f>
        <v>0</v>
      </c>
      <c r="H91" s="150"/>
    </row>
    <row r="92" spans="1:8" ht="12.75">
      <c r="A92" s="157" t="s">
        <v>345</v>
      </c>
      <c r="B92" s="126">
        <v>24</v>
      </c>
      <c r="C92" s="261">
        <f>C72</f>
        <v>78254.259</v>
      </c>
      <c r="D92" s="20"/>
      <c r="E92" s="138"/>
      <c r="F92" s="420" t="s">
        <v>488</v>
      </c>
      <c r="G92" s="267">
        <f>TAXREC!E157</f>
        <v>98050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489</v>
      </c>
      <c r="B95" s="124">
        <v>25</v>
      </c>
      <c r="C95" s="266">
        <f>SUM(C90:C93)</f>
        <v>1179314.588828585</v>
      </c>
      <c r="D95" s="6"/>
      <c r="E95" s="138"/>
      <c r="F95" s="420" t="s">
        <v>488</v>
      </c>
      <c r="G95" s="405">
        <f>SUM(G90:G94)</f>
        <v>838078</v>
      </c>
      <c r="H95" s="163"/>
    </row>
    <row r="96" spans="1:8" ht="12.75">
      <c r="A96" s="395" t="s">
        <v>306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303</v>
      </c>
      <c r="B99" s="122"/>
      <c r="C99" s="111"/>
      <c r="D99" s="3"/>
      <c r="E99" s="111"/>
      <c r="F99" s="3"/>
      <c r="G99" s="199"/>
      <c r="H99" s="163"/>
    </row>
    <row r="100" spans="1:8" ht="13.5">
      <c r="A100" s="165" t="s">
        <v>245</v>
      </c>
      <c r="B100" s="122"/>
      <c r="C100" s="111"/>
      <c r="D100" s="3"/>
      <c r="E100" s="142" t="s">
        <v>247</v>
      </c>
      <c r="F100" s="37"/>
      <c r="G100" s="199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3261131</v>
      </c>
      <c r="F105" s="37"/>
      <c r="G105" s="200"/>
      <c r="H105" s="163"/>
    </row>
    <row r="106" spans="1:8" ht="12.75">
      <c r="A106" s="157" t="s">
        <v>360</v>
      </c>
      <c r="B106" s="126">
        <v>6</v>
      </c>
      <c r="C106" s="111"/>
      <c r="D106" s="3"/>
      <c r="E106" s="249">
        <f>E26</f>
        <v>0</v>
      </c>
      <c r="F106" s="37"/>
      <c r="G106" s="200"/>
      <c r="H106" s="163"/>
    </row>
    <row r="107" spans="1:8" ht="12.75">
      <c r="A107" s="157" t="s">
        <v>361</v>
      </c>
      <c r="B107" s="126">
        <v>6</v>
      </c>
      <c r="C107" s="111"/>
      <c r="D107" s="3"/>
      <c r="E107" s="249">
        <f>E28</f>
        <v>52302</v>
      </c>
      <c r="F107" s="37"/>
      <c r="G107" s="200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2937561</v>
      </c>
      <c r="F111" s="37"/>
      <c r="G111" s="200"/>
      <c r="H111" s="163"/>
    </row>
    <row r="112" spans="1:8" ht="12.75">
      <c r="A112" s="154" t="s">
        <v>473</v>
      </c>
      <c r="B112" s="126">
        <v>11</v>
      </c>
      <c r="C112" s="111"/>
      <c r="D112" s="3"/>
      <c r="E112" s="461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200"/>
      <c r="H116" s="163"/>
    </row>
    <row r="117" spans="1:8" ht="12.75">
      <c r="A117" s="157" t="s">
        <v>362</v>
      </c>
      <c r="B117" s="126">
        <v>12</v>
      </c>
      <c r="C117" s="111"/>
      <c r="D117" s="3"/>
      <c r="E117" s="249">
        <f>E44</f>
        <v>-33333</v>
      </c>
      <c r="F117" s="37"/>
      <c r="G117" s="200"/>
      <c r="H117" s="163"/>
    </row>
    <row r="118" spans="1:8" ht="12.75">
      <c r="A118" s="157" t="s">
        <v>363</v>
      </c>
      <c r="B118" s="126">
        <v>12</v>
      </c>
      <c r="C118" s="111"/>
      <c r="D118" s="3"/>
      <c r="E118" s="249">
        <f>E46</f>
        <v>869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218</v>
      </c>
      <c r="B120" s="126">
        <v>26</v>
      </c>
      <c r="C120" s="111"/>
      <c r="D120" s="116" t="s">
        <v>188</v>
      </c>
      <c r="E120" s="261">
        <f>SUM(E102:E107)-SUM(E109:E118)</f>
        <v>408336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501</v>
      </c>
      <c r="B122" s="126"/>
      <c r="C122" s="111"/>
      <c r="D122" s="3" t="s">
        <v>229</v>
      </c>
      <c r="E122" s="458">
        <f>+'Tax Rates'!F52</f>
        <v>0.3612</v>
      </c>
      <c r="F122" s="459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244</v>
      </c>
      <c r="B124" s="126"/>
      <c r="C124" s="111"/>
      <c r="D124" s="3" t="s">
        <v>188</v>
      </c>
      <c r="E124" s="261">
        <f>E120*E122</f>
        <v>147490.9632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1">
        <f>E58</f>
        <v>5870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1">
        <f>E124-E126</f>
        <v>141620.9632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521" t="s">
        <v>502</v>
      </c>
      <c r="B130" s="126"/>
      <c r="C130" s="111"/>
      <c r="D130" s="3"/>
      <c r="E130" s="309">
        <f>E122</f>
        <v>0.3612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349</v>
      </c>
      <c r="B132" s="129"/>
      <c r="C132" s="111"/>
      <c r="D132" s="3"/>
      <c r="E132" s="474">
        <f>E128/(1-E130)</f>
        <v>221698.43957420162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27">
      <c r="A134" s="168" t="s">
        <v>352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6.25">
      <c r="A136" s="170" t="s">
        <v>233</v>
      </c>
      <c r="B136" s="129"/>
      <c r="C136" s="111"/>
      <c r="D136" s="117" t="s">
        <v>188</v>
      </c>
      <c r="E136" s="299">
        <f>C50</f>
        <v>1947279.4537500003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235</v>
      </c>
      <c r="B138" s="129"/>
      <c r="C138" s="111"/>
      <c r="D138" s="118" t="s">
        <v>229</v>
      </c>
      <c r="E138" s="309">
        <f>IF((E120+E136)&gt;'Tax Rates'!E47,'Tax Rates'!F52,IF((E120+E136)&gt;'Tax Rates'!D47,'Tax Rates'!E52,IF((E120+E136)&gt;'Tax Rates'!C47,'Tax Rates'!D52,'Tax Rates'!C52)))</f>
        <v>0.3612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227</v>
      </c>
      <c r="B140" s="129"/>
      <c r="C140" s="111"/>
      <c r="D140" s="117" t="s">
        <v>188</v>
      </c>
      <c r="E140" s="300">
        <f>IF(E136&gt;0,E136*E138,0)</f>
        <v>703357.3386945002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236</v>
      </c>
      <c r="B142" s="129"/>
      <c r="C142" s="111"/>
      <c r="D142" s="117" t="s">
        <v>187</v>
      </c>
      <c r="E142" s="301">
        <f>TAXREC!E145</f>
        <v>5870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228</v>
      </c>
      <c r="B144" s="129"/>
      <c r="C144" s="111"/>
      <c r="D144" s="118" t="s">
        <v>188</v>
      </c>
      <c r="E144" s="299">
        <f>E140-E142</f>
        <v>697487.3386945002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6.25">
      <c r="A146" s="170" t="s">
        <v>237</v>
      </c>
      <c r="B146" s="129"/>
      <c r="C146" s="111"/>
      <c r="D146" s="117" t="s">
        <v>187</v>
      </c>
      <c r="E146" s="299">
        <f>C60</f>
        <v>703357.3386945002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230</v>
      </c>
      <c r="B148" s="129"/>
      <c r="C148" s="111"/>
      <c r="D148" s="117" t="s">
        <v>188</v>
      </c>
      <c r="E148" s="299">
        <f>E144-E146</f>
        <v>-5870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4" t="s">
        <v>20</v>
      </c>
      <c r="B150" s="129"/>
      <c r="C150" s="111"/>
      <c r="D150" s="118"/>
      <c r="E150" s="469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299">
        <f>C66</f>
        <v>33509753</v>
      </c>
      <c r="F151" s="37"/>
      <c r="G151" s="200"/>
      <c r="H151" s="163"/>
    </row>
    <row r="152" spans="1:8" ht="12.75">
      <c r="A152" s="170" t="s">
        <v>355</v>
      </c>
      <c r="B152" s="129"/>
      <c r="C152" s="111"/>
      <c r="D152" s="117" t="s">
        <v>187</v>
      </c>
      <c r="E152" s="302">
        <f>IF(E151&gt;0,'Tax Rates'!C39,0)</f>
        <v>7500000</v>
      </c>
      <c r="F152" s="37"/>
      <c r="G152" s="200"/>
      <c r="H152" s="163"/>
    </row>
    <row r="153" spans="1:8" ht="12.75">
      <c r="A153" s="170" t="s">
        <v>231</v>
      </c>
      <c r="B153" s="129"/>
      <c r="C153" s="111"/>
      <c r="D153" s="117" t="s">
        <v>188</v>
      </c>
      <c r="E153" s="299">
        <f>E151-E152</f>
        <v>26009753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356</v>
      </c>
      <c r="B155" s="129"/>
      <c r="C155" s="111"/>
      <c r="D155" s="118" t="s">
        <v>229</v>
      </c>
      <c r="E155" s="303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232</v>
      </c>
      <c r="B157" s="129"/>
      <c r="C157" s="111"/>
      <c r="D157" s="118" t="s">
        <v>188</v>
      </c>
      <c r="E157" s="299">
        <f>IF(E153&gt;0,E153*E155*B9/B10,0)</f>
        <v>78029.259</v>
      </c>
      <c r="F157" s="37"/>
      <c r="G157" s="200"/>
      <c r="H157" s="163"/>
    </row>
    <row r="158" spans="1:8" ht="26.25">
      <c r="A158" s="170" t="s">
        <v>307</v>
      </c>
      <c r="B158" s="129"/>
      <c r="C158" s="111"/>
      <c r="D158" s="117" t="s">
        <v>187</v>
      </c>
      <c r="E158" s="302">
        <f>C72</f>
        <v>78254.259</v>
      </c>
      <c r="F158" s="37"/>
      <c r="G158" s="200"/>
      <c r="H158" s="163"/>
    </row>
    <row r="159" spans="1:8" ht="12.75" customHeight="1">
      <c r="A159" s="171" t="s">
        <v>242</v>
      </c>
      <c r="B159" s="129"/>
      <c r="C159" s="111"/>
      <c r="D159" s="117" t="s">
        <v>188</v>
      </c>
      <c r="E159" s="463">
        <f>E157-E158</f>
        <v>-225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4" t="s">
        <v>234</v>
      </c>
      <c r="B161" s="129"/>
      <c r="C161" s="111"/>
      <c r="D161" s="118"/>
      <c r="E161" s="301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299">
        <f>C75</f>
        <v>33509753</v>
      </c>
      <c r="F162" s="37"/>
      <c r="G162" s="200"/>
      <c r="H162" s="163"/>
    </row>
    <row r="163" spans="1:8" ht="12.75">
      <c r="A163" s="170" t="s">
        <v>354</v>
      </c>
      <c r="B163" s="129"/>
      <c r="C163" s="111"/>
      <c r="D163" s="117" t="s">
        <v>187</v>
      </c>
      <c r="E163" s="302">
        <f>IF(E162&gt;0,'Tax Rates'!C40,0)</f>
        <v>50000000</v>
      </c>
      <c r="F163" s="37"/>
      <c r="G163" s="200"/>
      <c r="H163" s="163"/>
    </row>
    <row r="164" spans="1:8" ht="12.75">
      <c r="A164" s="170" t="s">
        <v>238</v>
      </c>
      <c r="B164" s="129"/>
      <c r="C164" s="111"/>
      <c r="D164" s="118" t="s">
        <v>188</v>
      </c>
      <c r="E164" s="299">
        <f>E162-E163</f>
        <v>-16490247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308</v>
      </c>
      <c r="B166" s="129"/>
      <c r="C166" s="111"/>
      <c r="D166" s="118"/>
      <c r="E166" s="303">
        <f>'Tax Rates'!C55</f>
        <v>0.002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239</v>
      </c>
      <c r="B168" s="129"/>
      <c r="C168" s="111"/>
      <c r="D168" s="118"/>
      <c r="E168" s="299">
        <f>IF(E164&gt;0,E164*E166*B9/B10,0)</f>
        <v>0</v>
      </c>
      <c r="F168" s="37"/>
      <c r="G168" s="200"/>
      <c r="H168" s="163"/>
    </row>
    <row r="169" spans="1:8" ht="12.75">
      <c r="A169" s="170" t="s">
        <v>318</v>
      </c>
      <c r="B169" s="129"/>
      <c r="C169" s="111"/>
      <c r="D169" s="117" t="s">
        <v>187</v>
      </c>
      <c r="E169" s="304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240</v>
      </c>
      <c r="B170" s="129"/>
      <c r="C170" s="111"/>
      <c r="D170" s="118" t="s">
        <v>188</v>
      </c>
      <c r="E170" s="299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39"/>
      <c r="F171" s="37"/>
      <c r="G171" s="200"/>
      <c r="H171" s="163"/>
    </row>
    <row r="172" spans="1:8" ht="12.75">
      <c r="A172" s="406" t="s">
        <v>344</v>
      </c>
      <c r="B172" s="129"/>
      <c r="C172" s="111"/>
      <c r="D172" s="117" t="s">
        <v>187</v>
      </c>
      <c r="E172" s="302">
        <f>C84</f>
        <v>0</v>
      </c>
      <c r="F172" s="37"/>
      <c r="G172" s="200"/>
      <c r="H172" s="163"/>
    </row>
    <row r="173" spans="1:8" ht="12.75">
      <c r="A173" s="154" t="s">
        <v>243</v>
      </c>
      <c r="B173" s="129"/>
      <c r="C173" s="111"/>
      <c r="D173" s="118" t="s">
        <v>188</v>
      </c>
      <c r="E173" s="463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489" t="s">
        <v>503</v>
      </c>
      <c r="B175" s="129"/>
      <c r="C175" s="111"/>
      <c r="D175" s="118"/>
      <c r="E175" s="458">
        <f>E138</f>
        <v>0.3612</v>
      </c>
      <c r="F175" s="459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241</v>
      </c>
      <c r="B177" s="129"/>
      <c r="C177" s="111"/>
      <c r="D177" s="118" t="s">
        <v>186</v>
      </c>
      <c r="E177" s="299">
        <f>E148/(1-E175)</f>
        <v>-9189.104571070757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299">
        <f>IF(E164&gt;0,E173/(1-E175),-C91)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299">
        <f>E159</f>
        <v>-225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350</v>
      </c>
      <c r="B181" s="129"/>
      <c r="C181" s="111"/>
      <c r="D181" s="118" t="s">
        <v>188</v>
      </c>
      <c r="E181" s="473">
        <f>SUM(E177:E179)</f>
        <v>-9414.104571070757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472</v>
      </c>
      <c r="B183" s="129"/>
      <c r="C183" s="111"/>
      <c r="D183" s="118" t="s">
        <v>186</v>
      </c>
      <c r="E183" s="473">
        <f>E132</f>
        <v>221698.43957420162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3.5">
      <c r="A185" s="172" t="s">
        <v>351</v>
      </c>
      <c r="B185" s="129"/>
      <c r="C185" s="111"/>
      <c r="D185" s="118" t="s">
        <v>188</v>
      </c>
      <c r="E185" s="473">
        <f>E181+E183</f>
        <v>212284.33500313087</v>
      </c>
      <c r="F185" s="37"/>
      <c r="G185" s="200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222</v>
      </c>
      <c r="B193" s="126"/>
      <c r="C193" s="111"/>
      <c r="D193" s="119"/>
      <c r="E193" s="305">
        <f>REGINFO!D62</f>
        <v>1214728.54625</v>
      </c>
      <c r="F193" s="3"/>
      <c r="G193" s="122"/>
      <c r="H193" s="163"/>
    </row>
    <row r="194" spans="1:8" ht="12.75">
      <c r="A194" s="154" t="s">
        <v>249</v>
      </c>
      <c r="B194" s="126"/>
      <c r="C194" s="111"/>
      <c r="D194" s="119"/>
      <c r="E194" s="305">
        <f>REGINFO!D66</f>
        <v>1029572.3730297722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341</v>
      </c>
      <c r="B196" s="126"/>
      <c r="C196" s="111"/>
      <c r="D196" s="119"/>
      <c r="E196" s="305">
        <f>E193-E194</f>
        <v>185156.1732202277</v>
      </c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255</v>
      </c>
      <c r="B199" s="126"/>
      <c r="C199" s="111"/>
      <c r="D199" s="119"/>
      <c r="E199" s="146"/>
      <c r="F199" s="3"/>
      <c r="G199" s="478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478"/>
      <c r="H200" s="163"/>
    </row>
    <row r="201" spans="1:8" ht="12.75">
      <c r="A201" s="154" t="s">
        <v>250</v>
      </c>
      <c r="B201" s="126"/>
      <c r="C201" s="111"/>
      <c r="D201" s="119"/>
      <c r="E201" s="305">
        <f>G37+G42</f>
        <v>968226</v>
      </c>
      <c r="F201" s="3"/>
      <c r="G201" s="478"/>
      <c r="H201" s="163"/>
    </row>
    <row r="202" spans="1:8" ht="12.75">
      <c r="A202" s="489" t="s">
        <v>496</v>
      </c>
      <c r="B202" s="126"/>
      <c r="C202" s="111"/>
      <c r="D202" s="119"/>
      <c r="E202" s="305">
        <f>REGINFO!D62</f>
        <v>1214728.54625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0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474</v>
      </c>
      <c r="B206" s="126"/>
      <c r="C206" s="111"/>
      <c r="D206" s="119"/>
      <c r="E206" s="460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223</v>
      </c>
      <c r="B208" s="177"/>
      <c r="C208" s="178"/>
      <c r="D208" s="179"/>
      <c r="E208" s="306">
        <f>+E196-E204</f>
        <v>185156.1732202277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zoomScalePageLayoutView="0" workbookViewId="0" topLeftCell="A55">
      <selection activeCell="G104" sqref="G10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0.5742187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26.25">
      <c r="A1" s="487" t="str">
        <f>REGINFO!A1</f>
        <v>SIMPIL MODEL 
(Halton Hills Version per Board Decision in EB-2008-0381)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HALDIMAND COUNTY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76">
        <v>0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6" t="s">
        <v>226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4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1" t="s">
        <v>324</v>
      </c>
      <c r="B23" s="392"/>
      <c r="C23" s="393"/>
      <c r="D23" s="394"/>
      <c r="E23" s="28"/>
      <c r="F23" s="11"/>
      <c r="G23" s="11"/>
      <c r="H23" s="6"/>
      <c r="I23" s="6"/>
    </row>
    <row r="24" spans="1:9" ht="12.75">
      <c r="A24" s="391" t="s">
        <v>257</v>
      </c>
      <c r="B24" s="392"/>
      <c r="C24" s="393"/>
      <c r="D24" s="394"/>
      <c r="E24" s="28"/>
      <c r="F24" s="11"/>
      <c r="G24" s="11"/>
      <c r="H24" s="6"/>
      <c r="I24" s="6"/>
    </row>
    <row r="25" spans="1:9" ht="12.75">
      <c r="A25" s="391" t="s">
        <v>221</v>
      </c>
      <c r="B25" s="392"/>
      <c r="C25" s="393"/>
      <c r="D25" s="394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1" t="s">
        <v>322</v>
      </c>
      <c r="B27" s="392"/>
      <c r="C27" s="393"/>
      <c r="D27" s="394"/>
      <c r="E27" s="28"/>
      <c r="F27" s="11"/>
      <c r="G27" s="11"/>
      <c r="H27" s="6"/>
      <c r="I27" s="6"/>
    </row>
    <row r="28" spans="1:9" ht="12.75">
      <c r="A28" s="391" t="s">
        <v>323</v>
      </c>
      <c r="B28" s="392"/>
      <c r="C28" s="393"/>
      <c r="D28" s="39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272</v>
      </c>
      <c r="B31" s="23" t="s">
        <v>186</v>
      </c>
      <c r="C31" s="282">
        <f>12467922+9844902+133026-22395+72007</f>
        <v>22495462</v>
      </c>
      <c r="D31" s="283"/>
      <c r="E31" s="281">
        <f>C31-D31</f>
        <v>22495462</v>
      </c>
      <c r="F31" s="11"/>
      <c r="G31" s="11"/>
      <c r="H31" s="6"/>
      <c r="I31" s="6"/>
    </row>
    <row r="32" spans="1:9" ht="12.75">
      <c r="A32" s="4" t="s">
        <v>219</v>
      </c>
      <c r="B32" s="23" t="s">
        <v>186</v>
      </c>
      <c r="C32" s="282">
        <f>9011618-72007</f>
        <v>8939611</v>
      </c>
      <c r="D32" s="283"/>
      <c r="E32" s="281">
        <f>C32-D32</f>
        <v>8939611</v>
      </c>
      <c r="F32" s="11"/>
      <c r="G32" s="11"/>
      <c r="H32" s="6"/>
      <c r="I32" s="6"/>
    </row>
    <row r="33" spans="1:9" ht="12.75">
      <c r="A33" s="4" t="s">
        <v>209</v>
      </c>
      <c r="B33" s="23" t="s">
        <v>186</v>
      </c>
      <c r="C33" s="282">
        <v>646545</v>
      </c>
      <c r="D33" s="283"/>
      <c r="E33" s="281">
        <f>C33-D33</f>
        <v>646545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2"/>
      <c r="D34" s="283"/>
      <c r="E34" s="281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207</v>
      </c>
      <c r="B39" s="23" t="s">
        <v>187</v>
      </c>
      <c r="C39" s="282">
        <f>22495462</f>
        <v>22495462</v>
      </c>
      <c r="D39" s="283"/>
      <c r="E39" s="281">
        <f>C39-D39</f>
        <v>22495462</v>
      </c>
      <c r="F39" s="11"/>
      <c r="G39" s="11"/>
      <c r="H39" s="6"/>
      <c r="I39" s="6"/>
    </row>
    <row r="40" spans="1:9" ht="12.75">
      <c r="A40" s="46" t="s">
        <v>208</v>
      </c>
      <c r="B40" s="23" t="s">
        <v>187</v>
      </c>
      <c r="C40" s="282">
        <f>1505470+63261</f>
        <v>1568731</v>
      </c>
      <c r="D40" s="283"/>
      <c r="E40" s="281">
        <f aca="true" t="shared" si="0" ref="E40:E48">C40-D40</f>
        <v>1568731</v>
      </c>
      <c r="F40" s="11"/>
      <c r="G40" s="475"/>
      <c r="H40" s="6"/>
      <c r="I40" s="6"/>
    </row>
    <row r="41" spans="1:9" ht="12.75">
      <c r="A41" s="4" t="s">
        <v>273</v>
      </c>
      <c r="B41" s="23" t="s">
        <v>187</v>
      </c>
      <c r="C41" s="282">
        <f>1144673</f>
        <v>1144673</v>
      </c>
      <c r="D41" s="283"/>
      <c r="E41" s="281">
        <f t="shared" si="0"/>
        <v>1144673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2">
        <f>2685337+87332-127138</f>
        <v>2645531</v>
      </c>
      <c r="D42" s="283"/>
      <c r="E42" s="281">
        <f t="shared" si="0"/>
        <v>2645531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2">
        <f>2227885+127138</f>
        <v>2355023</v>
      </c>
      <c r="D43" s="283"/>
      <c r="E43" s="281">
        <f t="shared" si="0"/>
        <v>2355023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2"/>
      <c r="D44" s="283"/>
      <c r="E44" s="281">
        <f t="shared" si="0"/>
        <v>0</v>
      </c>
      <c r="F44" s="11"/>
      <c r="G44" s="11"/>
      <c r="H44" s="6"/>
      <c r="I44" s="6"/>
    </row>
    <row r="45" spans="1:11" ht="12.75">
      <c r="A45" s="4" t="s">
        <v>479</v>
      </c>
      <c r="B45" s="23" t="s">
        <v>187</v>
      </c>
      <c r="C45" s="282"/>
      <c r="D45" s="283"/>
      <c r="E45" s="281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490</v>
      </c>
      <c r="B46" s="23" t="s">
        <v>187</v>
      </c>
      <c r="C46" s="282"/>
      <c r="D46" s="283"/>
      <c r="E46" s="281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2"/>
      <c r="D47" s="283"/>
      <c r="E47" s="281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78">
        <f>SUM(C31:C36)-SUM(C39:C49)</f>
        <v>1872198</v>
      </c>
      <c r="D50" s="278">
        <f>SUM(D31:D36)-SUM(D39:D49)</f>
        <v>0</v>
      </c>
      <c r="E50" s="278">
        <f>SUM(E31:E35)-SUM(E39:E48)</f>
        <v>1872198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2">
        <v>968226</v>
      </c>
      <c r="D51" s="282"/>
      <c r="E51" s="279">
        <f>+C51-D51</f>
        <v>968226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2">
        <v>747049</v>
      </c>
      <c r="D52" s="282"/>
      <c r="E52" s="280">
        <f>+C52-D52</f>
        <v>747049</v>
      </c>
      <c r="F52" s="8"/>
      <c r="G52" s="407" t="s">
        <v>495</v>
      </c>
    </row>
    <row r="53" spans="1:6" ht="12.75">
      <c r="A53" s="2" t="s">
        <v>130</v>
      </c>
      <c r="B53" s="8" t="s">
        <v>188</v>
      </c>
      <c r="C53" s="278">
        <f>C50-C51-C52</f>
        <v>156923</v>
      </c>
      <c r="D53" s="278">
        <f>D50-D51-D52</f>
        <v>0</v>
      </c>
      <c r="E53" s="278">
        <f>E50-E51-E52</f>
        <v>156923</v>
      </c>
      <c r="F53" s="8"/>
    </row>
    <row r="54" spans="1:6" ht="22.5">
      <c r="A54" s="86" t="s">
        <v>212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4">
        <f>C52</f>
        <v>747049</v>
      </c>
      <c r="D59" s="284">
        <f>D52</f>
        <v>0</v>
      </c>
      <c r="E59" s="269">
        <f>+C59-D59</f>
        <v>747049</v>
      </c>
      <c r="F59" s="8"/>
      <c r="G59" s="407" t="s">
        <v>495</v>
      </c>
    </row>
    <row r="60" spans="1:6" ht="12.75">
      <c r="A60" s="4" t="s">
        <v>325</v>
      </c>
      <c r="B60" s="8" t="s">
        <v>186</v>
      </c>
      <c r="C60" s="315">
        <v>0</v>
      </c>
      <c r="D60" s="315"/>
      <c r="E60" s="269">
        <f>+C60-D60</f>
        <v>0</v>
      </c>
      <c r="F60" s="8"/>
    </row>
    <row r="61" spans="1:7" ht="12.75">
      <c r="A61" t="s">
        <v>4</v>
      </c>
      <c r="B61" s="8" t="s">
        <v>186</v>
      </c>
      <c r="C61" s="284">
        <f>C43</f>
        <v>2355023</v>
      </c>
      <c r="D61" s="284">
        <f>D43</f>
        <v>0</v>
      </c>
      <c r="E61" s="269">
        <f>+C61-D61</f>
        <v>2355023</v>
      </c>
      <c r="F61" s="8"/>
      <c r="G61" s="407"/>
    </row>
    <row r="62" spans="1:6" ht="12.75">
      <c r="A62" t="s">
        <v>6</v>
      </c>
      <c r="B62" s="8" t="s">
        <v>186</v>
      </c>
      <c r="C62" s="315"/>
      <c r="D62" s="284">
        <v>0</v>
      </c>
      <c r="E62" s="269">
        <f>+C62-D62</f>
        <v>0</v>
      </c>
      <c r="F62" s="8"/>
    </row>
    <row r="63" spans="1:6" ht="12.75">
      <c r="A63" s="31" t="s">
        <v>277</v>
      </c>
      <c r="B63" s="8" t="s">
        <v>186</v>
      </c>
      <c r="C63" s="313">
        <f>'Tax Reserves'!C22</f>
        <v>0</v>
      </c>
      <c r="D63" s="314">
        <f>'Tax Reserves'!D22</f>
        <v>0</v>
      </c>
      <c r="E63" s="269">
        <f>C63-D63</f>
        <v>0</v>
      </c>
      <c r="F63" s="8"/>
    </row>
    <row r="64" spans="1:6" ht="12.75">
      <c r="A64" s="4" t="s">
        <v>52</v>
      </c>
      <c r="B64" s="8" t="s">
        <v>186</v>
      </c>
      <c r="C64" s="313">
        <f>'Tax Reserves'!C63</f>
        <v>0</v>
      </c>
      <c r="D64" s="314">
        <f>'Tax Reserves'!D63</f>
        <v>0</v>
      </c>
      <c r="E64" s="269">
        <f>+C64-D64</f>
        <v>0</v>
      </c>
      <c r="F64" s="8"/>
    </row>
    <row r="65" spans="1:7" ht="12.75">
      <c r="A65" t="s">
        <v>441</v>
      </c>
      <c r="B65" s="8" t="s">
        <v>186</v>
      </c>
      <c r="C65" s="283">
        <f>642431+318697+262503+576124+1675953</f>
        <v>3475708</v>
      </c>
      <c r="D65" s="283"/>
      <c r="E65" s="269">
        <f>+C65-D65</f>
        <v>3475708</v>
      </c>
      <c r="F65" s="8"/>
      <c r="G65" s="503" t="s">
        <v>498</v>
      </c>
    </row>
    <row r="66" spans="1:6" ht="15">
      <c r="A66" s="456" t="s">
        <v>392</v>
      </c>
      <c r="B66" s="8"/>
      <c r="C66" s="436">
        <f>'TAXREC 3 No True-up'!C47</f>
        <v>0</v>
      </c>
      <c r="D66" s="436">
        <f>'TAXREC 3 No True-up'!D47</f>
        <v>0</v>
      </c>
      <c r="E66" s="269">
        <f>+C66-D66</f>
        <v>0</v>
      </c>
      <c r="F66" s="8"/>
    </row>
    <row r="67" spans="1:6" ht="12.75">
      <c r="A67" t="s">
        <v>159</v>
      </c>
      <c r="B67" s="8" t="s">
        <v>186</v>
      </c>
      <c r="C67" s="249">
        <f>'TAXREC 2'!C77</f>
        <v>52302</v>
      </c>
      <c r="D67" s="249">
        <f>'TAXREC 2'!D77</f>
        <v>0</v>
      </c>
      <c r="E67" s="269">
        <f>+C67-D67</f>
        <v>52302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69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69">
        <f>SUM(C59:C68)</f>
        <v>6630082</v>
      </c>
      <c r="D70" s="269">
        <f>SUM(D59:D68)</f>
        <v>0</v>
      </c>
      <c r="E70" s="269">
        <f>SUM(E59:E68)</f>
        <v>6630082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1"/>
      <c r="D73" s="291"/>
      <c r="E73" s="269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1"/>
      <c r="D74" s="291"/>
      <c r="E74" s="269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1"/>
      <c r="D75" s="291"/>
      <c r="E75" s="269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71">
        <v>0</v>
      </c>
      <c r="D76" s="291"/>
      <c r="E76" s="467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1"/>
      <c r="D77" s="291"/>
      <c r="E77" s="269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1"/>
      <c r="D78" s="291"/>
      <c r="E78" s="269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1"/>
      <c r="D79" s="291"/>
      <c r="E79" s="269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49">
        <f>C70+C80</f>
        <v>6630082</v>
      </c>
      <c r="D82" s="249">
        <f>D70+D80</f>
        <v>0</v>
      </c>
      <c r="E82" s="249">
        <f>E70+E80</f>
        <v>6630082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7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150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429</v>
      </c>
      <c r="B93" s="270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195</v>
      </c>
      <c r="B94" s="270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1">
        <v>1721254</v>
      </c>
      <c r="D97" s="291"/>
      <c r="E97" s="269">
        <f>+C97-D97</f>
        <v>1721254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1">
        <v>27762</v>
      </c>
      <c r="D98" s="291"/>
      <c r="E98" s="269">
        <f>+C98-D98</f>
        <v>27762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1"/>
      <c r="D99" s="291"/>
      <c r="E99" s="269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1">
        <f>197147+664111+7033+599593+1504180</f>
        <v>2972064</v>
      </c>
      <c r="D103" s="291"/>
      <c r="E103" s="280">
        <f t="shared" si="5"/>
        <v>2972064</v>
      </c>
      <c r="F103" s="8"/>
      <c r="G103" s="504" t="s">
        <v>499</v>
      </c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6">
        <f>'Tax Reserves'!C35</f>
        <v>0</v>
      </c>
      <c r="D104" s="316">
        <f>'Tax Reserves'!D35</f>
        <v>0</v>
      </c>
      <c r="E104" s="269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6">
        <f>'Tax Reserves'!C50</f>
        <v>0</v>
      </c>
      <c r="D105" s="316">
        <f>'Tax Reserves'!D50</f>
        <v>0</v>
      </c>
      <c r="E105" s="279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6" t="s">
        <v>392</v>
      </c>
      <c r="B108" s="8"/>
      <c r="C108" s="252">
        <f>'TAXREC 3 No True-up'!C73</f>
        <v>0</v>
      </c>
      <c r="D108" s="252">
        <f>'TAXREC 3 No True-up'!D73</f>
        <v>0</v>
      </c>
      <c r="E108" s="269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869</v>
      </c>
      <c r="D110" s="249">
        <f>'TAXREC 2'!D119</f>
        <v>0</v>
      </c>
      <c r="E110" s="249">
        <f>'TAXREC 2'!E119</f>
        <v>869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4721949</v>
      </c>
      <c r="D113" s="249">
        <f>SUM(D97:D111)</f>
        <v>0</v>
      </c>
      <c r="E113" s="249">
        <f>SUM(E97:E111)</f>
        <v>4721949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1"/>
      <c r="D115" s="291"/>
      <c r="E115" s="269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220</v>
      </c>
      <c r="B116" s="8" t="s">
        <v>187</v>
      </c>
      <c r="C116" s="291"/>
      <c r="D116" s="291"/>
      <c r="E116" s="269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1"/>
      <c r="D117" s="291"/>
      <c r="E117" s="269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1"/>
      <c r="D118" s="291"/>
      <c r="E118" s="269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1"/>
      <c r="D119" s="291"/>
      <c r="E119" s="269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9">
        <f>C113+C120</f>
        <v>4721949</v>
      </c>
      <c r="D122" s="249">
        <f>D113+D120</f>
        <v>0</v>
      </c>
      <c r="E122" s="249">
        <f>+E113+E120</f>
        <v>4721949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197</v>
      </c>
      <c r="B130" s="270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0" t="s">
        <v>198</v>
      </c>
      <c r="B131" s="270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196</v>
      </c>
      <c r="B132" s="270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49">
        <f>+C53+C82-C122</f>
        <v>2065056</v>
      </c>
      <c r="D134" s="249">
        <f>D53+D82-D122</f>
        <v>0</v>
      </c>
      <c r="E134" s="249">
        <f>E53+E82-E122</f>
        <v>2065056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187</v>
      </c>
      <c r="C136" s="291">
        <v>0</v>
      </c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187</v>
      </c>
      <c r="C137" s="307"/>
      <c r="D137" s="307"/>
      <c r="E137" s="389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89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0">
        <f>C134-C136-C137-C138</f>
        <v>2065056</v>
      </c>
      <c r="D139" s="250">
        <f>D134-D136-D137-D138</f>
        <v>0</v>
      </c>
      <c r="E139" s="250">
        <f>E134-E136-E137-E138</f>
        <v>2065056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186</v>
      </c>
      <c r="C142" s="295">
        <v>456790</v>
      </c>
      <c r="D142" s="295"/>
      <c r="E142" s="250">
        <f>C142-D142</f>
        <v>456790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186</v>
      </c>
      <c r="C143" s="295">
        <v>289108</v>
      </c>
      <c r="D143" s="295"/>
      <c r="E143" s="289">
        <f>C143-D143</f>
        <v>289108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745898</v>
      </c>
      <c r="D144" s="250">
        <f>D142+D143</f>
        <v>0</v>
      </c>
      <c r="E144" s="250">
        <f>E142+E143</f>
        <v>745898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187</v>
      </c>
      <c r="C145" s="295">
        <v>5870</v>
      </c>
      <c r="D145" s="295"/>
      <c r="E145" s="290">
        <f>C145-D145</f>
        <v>5870</v>
      </c>
      <c r="F145" s="8"/>
      <c r="G145" s="45"/>
      <c r="H145" s="45"/>
      <c r="I145" s="45"/>
      <c r="J145" s="45"/>
      <c r="K145" s="45"/>
    </row>
    <row r="146" spans="1:11" ht="12.75">
      <c r="A146" s="317" t="s">
        <v>99</v>
      </c>
      <c r="B146" s="8" t="s">
        <v>188</v>
      </c>
      <c r="C146" s="250">
        <f>C144-C145</f>
        <v>740028</v>
      </c>
      <c r="D146" s="250">
        <f>D144-D145</f>
        <v>0</v>
      </c>
      <c r="E146" s="250">
        <f>E144-E145</f>
        <v>740028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396">
        <f>C142/C139</f>
        <v>0.2211998124990315</v>
      </c>
      <c r="D149" s="5"/>
      <c r="E149" s="397">
        <f>C149</f>
        <v>0.2211998124990315</v>
      </c>
      <c r="F149" s="8"/>
      <c r="G149" s="472" t="s">
        <v>465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396">
        <f>C143/C139</f>
        <v>0.14000007747973905</v>
      </c>
      <c r="D150" s="5"/>
      <c r="E150" s="397">
        <f>C150</f>
        <v>0.14000007747973905</v>
      </c>
      <c r="F150" s="8"/>
      <c r="G150" s="472" t="s">
        <v>466</v>
      </c>
      <c r="H150" s="45"/>
      <c r="I150" s="45"/>
      <c r="J150" s="45"/>
      <c r="K150" s="45"/>
    </row>
    <row r="151" spans="1:11" ht="12.75">
      <c r="A151" t="s">
        <v>329</v>
      </c>
      <c r="B151" s="8"/>
      <c r="C151" s="397">
        <f>SUM(C149:C150)</f>
        <v>0.36119988997877056</v>
      </c>
      <c r="D151" s="5"/>
      <c r="E151" s="397">
        <f>SUM(E149:E150)</f>
        <v>0.36119988997877056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471</v>
      </c>
      <c r="B155" s="8"/>
    </row>
    <row r="156" spans="1:5" ht="12.75">
      <c r="A156" t="s">
        <v>217</v>
      </c>
      <c r="B156" s="85" t="s">
        <v>186</v>
      </c>
      <c r="C156" s="249">
        <f>C146</f>
        <v>740028</v>
      </c>
      <c r="D156" s="249">
        <f>D146</f>
        <v>0</v>
      </c>
      <c r="E156" s="249">
        <f>E146</f>
        <v>740028</v>
      </c>
    </row>
    <row r="157" spans="1:5" ht="12.75">
      <c r="A157" t="s">
        <v>20</v>
      </c>
      <c r="B157" s="85" t="s">
        <v>186</v>
      </c>
      <c r="C157" s="468">
        <v>98050</v>
      </c>
      <c r="D157" s="249"/>
      <c r="E157" s="249">
        <f>C157+D157</f>
        <v>98050</v>
      </c>
    </row>
    <row r="158" spans="1:5" ht="12.75">
      <c r="A158" t="s">
        <v>216</v>
      </c>
      <c r="B158" s="85" t="s">
        <v>186</v>
      </c>
      <c r="C158" s="468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301</v>
      </c>
      <c r="B160" s="65" t="s">
        <v>188</v>
      </c>
      <c r="C160" s="249">
        <f>C156+C157+C158</f>
        <v>838078</v>
      </c>
      <c r="D160" s="249">
        <f>D156+D157+D158</f>
        <v>0</v>
      </c>
      <c r="E160" s="249">
        <f>E156+E157+E158</f>
        <v>838078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MODEL 
(Halton Hills Version per Board Decision in EB-2008-0381)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HALDIMAND COUNTY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271</v>
      </c>
      <c r="B12" s="60"/>
      <c r="C12" s="308"/>
      <c r="D12" s="308"/>
      <c r="E12" s="60"/>
    </row>
    <row r="13" spans="1:5" ht="12.75">
      <c r="A13" s="60"/>
      <c r="B13" s="60"/>
      <c r="C13" s="291"/>
      <c r="D13" s="291"/>
      <c r="E13" s="249">
        <f>C13-D13</f>
        <v>0</v>
      </c>
    </row>
    <row r="14" spans="1:5" ht="12.75">
      <c r="A14" s="60" t="s">
        <v>279</v>
      </c>
      <c r="B14" s="60"/>
      <c r="C14" s="291"/>
      <c r="D14" s="291"/>
      <c r="E14" s="249">
        <f aca="true" t="shared" si="0" ref="E14:E21">C14-D14</f>
        <v>0</v>
      </c>
    </row>
    <row r="15" spans="1:5" ht="12.75">
      <c r="A15" s="60" t="s">
        <v>280</v>
      </c>
      <c r="B15" s="60"/>
      <c r="C15" s="291"/>
      <c r="D15" s="291"/>
      <c r="E15" s="249">
        <f t="shared" si="0"/>
        <v>0</v>
      </c>
    </row>
    <row r="16" spans="1:5" ht="12.75">
      <c r="A16" s="60" t="s">
        <v>281</v>
      </c>
      <c r="B16" s="60"/>
      <c r="C16" s="291"/>
      <c r="D16" s="291"/>
      <c r="E16" s="249">
        <f t="shared" si="0"/>
        <v>0</v>
      </c>
    </row>
    <row r="17" spans="1:5" ht="12.75">
      <c r="A17" s="60" t="s">
        <v>282</v>
      </c>
      <c r="B17" s="60"/>
      <c r="C17" s="291"/>
      <c r="D17" s="291"/>
      <c r="E17" s="249">
        <f t="shared" si="0"/>
        <v>0</v>
      </c>
    </row>
    <row r="18" spans="1:5" ht="12.75">
      <c r="A18" s="60" t="s">
        <v>446</v>
      </c>
      <c r="B18" s="60"/>
      <c r="C18" s="291"/>
      <c r="D18" s="291"/>
      <c r="E18" s="249">
        <f t="shared" si="0"/>
        <v>0</v>
      </c>
    </row>
    <row r="19" spans="1:5" ht="12.75">
      <c r="A19" s="60" t="s">
        <v>446</v>
      </c>
      <c r="B19" s="60"/>
      <c r="C19" s="291"/>
      <c r="D19" s="291"/>
      <c r="E19" s="249">
        <f t="shared" si="0"/>
        <v>0</v>
      </c>
    </row>
    <row r="20" spans="1:5" ht="12.75">
      <c r="A20" s="60"/>
      <c r="B20" s="60"/>
      <c r="C20" s="291"/>
      <c r="D20" s="291"/>
      <c r="E20" s="249">
        <f t="shared" si="0"/>
        <v>0</v>
      </c>
    </row>
    <row r="21" spans="1:5" ht="12.75">
      <c r="A21" s="60"/>
      <c r="B21" s="60"/>
      <c r="C21" s="307"/>
      <c r="D21" s="307"/>
      <c r="E21" s="276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270</v>
      </c>
      <c r="B24" s="60"/>
      <c r="C24" s="90"/>
      <c r="D24" s="90"/>
      <c r="E24" s="90"/>
    </row>
    <row r="25" spans="1:5" ht="12.75">
      <c r="A25" s="60"/>
      <c r="B25" s="60"/>
      <c r="C25" s="291"/>
      <c r="D25" s="291"/>
      <c r="E25" s="249">
        <f>C25-D25</f>
        <v>0</v>
      </c>
    </row>
    <row r="26" spans="1:5" ht="12.75">
      <c r="A26" s="60" t="s">
        <v>279</v>
      </c>
      <c r="B26" s="60"/>
      <c r="C26" s="291">
        <v>0</v>
      </c>
      <c r="D26" s="291"/>
      <c r="E26" s="249">
        <f aca="true" t="shared" si="1" ref="E26:E33">C26-D26</f>
        <v>0</v>
      </c>
    </row>
    <row r="27" spans="1:5" ht="12.75">
      <c r="A27" s="60" t="s">
        <v>280</v>
      </c>
      <c r="B27" s="60"/>
      <c r="C27" s="291"/>
      <c r="D27" s="291"/>
      <c r="E27" s="249">
        <f t="shared" si="1"/>
        <v>0</v>
      </c>
    </row>
    <row r="28" spans="1:5" ht="12.75">
      <c r="A28" s="60" t="s">
        <v>281</v>
      </c>
      <c r="B28" s="60"/>
      <c r="C28" s="291"/>
      <c r="D28" s="291"/>
      <c r="E28" s="249">
        <f t="shared" si="1"/>
        <v>0</v>
      </c>
    </row>
    <row r="29" spans="1:5" ht="12.75">
      <c r="A29" s="60" t="s">
        <v>282</v>
      </c>
      <c r="B29" s="60"/>
      <c r="C29" s="291"/>
      <c r="D29" s="291"/>
      <c r="E29" s="249">
        <f t="shared" si="1"/>
        <v>0</v>
      </c>
    </row>
    <row r="30" spans="1:5" ht="12.75">
      <c r="A30" s="60" t="s">
        <v>446</v>
      </c>
      <c r="B30" s="60"/>
      <c r="C30" s="291"/>
      <c r="D30" s="291"/>
      <c r="E30" s="249">
        <f t="shared" si="1"/>
        <v>0</v>
      </c>
    </row>
    <row r="31" spans="1:5" ht="12.75">
      <c r="A31" s="60" t="s">
        <v>446</v>
      </c>
      <c r="B31" s="60"/>
      <c r="C31" s="291"/>
      <c r="D31" s="291"/>
      <c r="E31" s="249">
        <f t="shared" si="1"/>
        <v>0</v>
      </c>
    </row>
    <row r="32" spans="1:5" ht="12.75">
      <c r="A32" s="60"/>
      <c r="B32" s="60"/>
      <c r="C32" s="291"/>
      <c r="D32" s="291"/>
      <c r="E32" s="249">
        <f t="shared" si="1"/>
        <v>0</v>
      </c>
    </row>
    <row r="33" spans="1:5" ht="13.5" thickBot="1">
      <c r="A33" s="61"/>
      <c r="B33" s="60"/>
      <c r="C33" s="291"/>
      <c r="D33" s="291"/>
      <c r="E33" s="249">
        <f t="shared" si="1"/>
        <v>0</v>
      </c>
    </row>
    <row r="34" spans="1:5" ht="12.75">
      <c r="A34" s="55" t="s">
        <v>131</v>
      </c>
      <c r="C34" s="22"/>
      <c r="D34" s="22"/>
      <c r="E34" s="276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271</v>
      </c>
      <c r="B40" s="60"/>
      <c r="C40" s="90"/>
      <c r="D40" s="90"/>
      <c r="E40" s="90"/>
    </row>
    <row r="41" spans="1:5" ht="12.75">
      <c r="A41" s="60"/>
      <c r="B41" s="60"/>
      <c r="C41" s="291"/>
      <c r="D41" s="291"/>
      <c r="E41" s="249">
        <f>C41-D41</f>
        <v>0</v>
      </c>
    </row>
    <row r="42" spans="1:5" ht="12.75">
      <c r="A42" s="60"/>
      <c r="B42" s="60"/>
      <c r="C42" s="291"/>
      <c r="D42" s="291"/>
      <c r="E42" s="249">
        <f aca="true" t="shared" si="2" ref="E42:E49">C42-D42</f>
        <v>0</v>
      </c>
    </row>
    <row r="43" spans="1:5" ht="12.75">
      <c r="A43" s="60" t="s">
        <v>265</v>
      </c>
      <c r="B43" s="60"/>
      <c r="C43" s="291"/>
      <c r="D43" s="291"/>
      <c r="E43" s="249">
        <f t="shared" si="2"/>
        <v>0</v>
      </c>
    </row>
    <row r="44" spans="1:5" ht="12.75">
      <c r="A44" s="60" t="s">
        <v>266</v>
      </c>
      <c r="B44" s="60"/>
      <c r="C44" s="291">
        <v>0</v>
      </c>
      <c r="D44" s="291"/>
      <c r="E44" s="249">
        <f t="shared" si="2"/>
        <v>0</v>
      </c>
    </row>
    <row r="45" spans="1:5" ht="12.75">
      <c r="A45" s="60" t="s">
        <v>267</v>
      </c>
      <c r="B45" s="60"/>
      <c r="C45" s="291"/>
      <c r="D45" s="291"/>
      <c r="E45" s="249">
        <f t="shared" si="2"/>
        <v>0</v>
      </c>
    </row>
    <row r="46" spans="1:5" ht="12.75">
      <c r="A46" s="60" t="s">
        <v>268</v>
      </c>
      <c r="B46" s="60"/>
      <c r="C46" s="291"/>
      <c r="D46" s="291"/>
      <c r="E46" s="249">
        <f t="shared" si="2"/>
        <v>0</v>
      </c>
    </row>
    <row r="47" spans="1:5" ht="12.75">
      <c r="A47" s="60" t="s">
        <v>446</v>
      </c>
      <c r="B47" s="60"/>
      <c r="C47" s="291"/>
      <c r="D47" s="291"/>
      <c r="E47" s="249">
        <f t="shared" si="2"/>
        <v>0</v>
      </c>
    </row>
    <row r="48" spans="1:5" ht="12.75">
      <c r="A48" s="60" t="s">
        <v>446</v>
      </c>
      <c r="B48" s="60"/>
      <c r="C48" s="291"/>
      <c r="D48" s="291"/>
      <c r="E48" s="249">
        <f t="shared" si="2"/>
        <v>0</v>
      </c>
    </row>
    <row r="49" spans="1:5" ht="12.75">
      <c r="A49" s="60"/>
      <c r="B49" s="60"/>
      <c r="C49" s="307"/>
      <c r="D49" s="307"/>
      <c r="E49" s="276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270</v>
      </c>
      <c r="B52" s="60"/>
      <c r="C52" s="90"/>
      <c r="D52" s="90"/>
      <c r="E52" s="90"/>
    </row>
    <row r="53" spans="1:5" ht="12.75">
      <c r="A53" s="60"/>
      <c r="B53" s="60"/>
      <c r="C53" s="291"/>
      <c r="D53" s="291"/>
      <c r="E53" s="249">
        <f>C53-D53</f>
        <v>0</v>
      </c>
    </row>
    <row r="54" spans="1:5" ht="12.75">
      <c r="A54" s="244"/>
      <c r="B54" s="60"/>
      <c r="C54" s="291"/>
      <c r="D54" s="291"/>
      <c r="E54" s="249">
        <f aca="true" t="shared" si="3" ref="E54:E61">C54-D54</f>
        <v>0</v>
      </c>
    </row>
    <row r="55" spans="1:5" ht="12.75">
      <c r="A55" s="244" t="s">
        <v>265</v>
      </c>
      <c r="B55" s="60"/>
      <c r="C55" s="291"/>
      <c r="D55" s="291"/>
      <c r="E55" s="249">
        <f t="shared" si="3"/>
        <v>0</v>
      </c>
    </row>
    <row r="56" spans="1:5" ht="12.75">
      <c r="A56" s="244" t="s">
        <v>266</v>
      </c>
      <c r="B56" s="60"/>
      <c r="C56" s="291">
        <v>0</v>
      </c>
      <c r="D56" s="291"/>
      <c r="E56" s="249">
        <f t="shared" si="3"/>
        <v>0</v>
      </c>
    </row>
    <row r="57" spans="1:5" ht="12.75">
      <c r="A57" s="244" t="s">
        <v>267</v>
      </c>
      <c r="B57" s="60"/>
      <c r="C57" s="291"/>
      <c r="D57" s="291"/>
      <c r="E57" s="249">
        <f t="shared" si="3"/>
        <v>0</v>
      </c>
    </row>
    <row r="58" spans="1:5" ht="12.75">
      <c r="A58" s="244" t="s">
        <v>268</v>
      </c>
      <c r="B58" s="60"/>
      <c r="C58" s="291"/>
      <c r="D58" s="291"/>
      <c r="E58" s="249">
        <f t="shared" si="3"/>
        <v>0</v>
      </c>
    </row>
    <row r="59" spans="1:5" ht="12.75">
      <c r="A59" s="60" t="s">
        <v>446</v>
      </c>
      <c r="B59" s="60"/>
      <c r="C59" s="291"/>
      <c r="D59" s="291"/>
      <c r="E59" s="249">
        <f t="shared" si="3"/>
        <v>0</v>
      </c>
    </row>
    <row r="60" spans="1:5" ht="12.75">
      <c r="A60" s="60" t="s">
        <v>446</v>
      </c>
      <c r="B60" s="60"/>
      <c r="C60" s="291"/>
      <c r="D60" s="291"/>
      <c r="E60" s="249">
        <f t="shared" si="3"/>
        <v>0</v>
      </c>
    </row>
    <row r="61" spans="1:5" ht="13.5" thickBot="1">
      <c r="A61" s="61"/>
      <c r="B61" s="60"/>
      <c r="C61" s="291"/>
      <c r="D61" s="291"/>
      <c r="E61" s="249">
        <f t="shared" si="3"/>
        <v>0</v>
      </c>
    </row>
    <row r="62" spans="1:5" ht="12.75">
      <c r="A62" s="55" t="s">
        <v>131</v>
      </c>
      <c r="C62" s="22"/>
      <c r="D62" s="22"/>
      <c r="E62" s="276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0" activePane="bottomRight" state="frozen"/>
      <selection pane="topLeft" activeCell="I60" sqref="I60"/>
      <selection pane="topRight" activeCell="I60" sqref="I60"/>
      <selection pane="bottomLeft" activeCell="I60" sqref="I60"/>
      <selection pane="bottomRight" activeCell="E92" sqref="E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26.25">
      <c r="A2" s="487" t="str">
        <f>REGINFO!A1</f>
        <v>SIMPIL MODEL 
(Halton Hills Version per Board Decision in EB-2008-0381)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7" t="s">
        <v>463</v>
      </c>
      <c r="B5" s="8"/>
      <c r="C5" s="8" t="s">
        <v>2</v>
      </c>
      <c r="D5" s="8"/>
      <c r="E5" s="8"/>
      <c r="F5" s="8"/>
    </row>
    <row r="6" spans="1:6" ht="12.75">
      <c r="A6" s="407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HALDIMAND COUNTY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8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477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2"/>
      <c r="D17" s="292"/>
      <c r="E17" s="310">
        <f>C17-D17</f>
        <v>0</v>
      </c>
    </row>
    <row r="18" spans="1:5" ht="12.75">
      <c r="A18" s="66" t="s">
        <v>251</v>
      </c>
      <c r="B18" t="s">
        <v>186</v>
      </c>
      <c r="C18" s="292"/>
      <c r="D18" s="292"/>
      <c r="E18" s="310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2">
        <v>36727</v>
      </c>
      <c r="D19" s="292"/>
      <c r="E19" s="310">
        <f t="shared" si="0"/>
        <v>36727</v>
      </c>
    </row>
    <row r="20" spans="1:5" ht="12.75">
      <c r="A20" s="66" t="s">
        <v>447</v>
      </c>
      <c r="B20" t="s">
        <v>186</v>
      </c>
      <c r="C20" s="292"/>
      <c r="D20" s="311"/>
      <c r="E20" s="310">
        <f t="shared" si="0"/>
        <v>0</v>
      </c>
    </row>
    <row r="21" spans="1:5" ht="12.75">
      <c r="A21" s="66" t="s">
        <v>8</v>
      </c>
      <c r="B21" t="s">
        <v>186</v>
      </c>
      <c r="C21" s="292"/>
      <c r="D21" s="292"/>
      <c r="E21" s="310">
        <f t="shared" si="0"/>
        <v>0</v>
      </c>
    </row>
    <row r="22" spans="1:5" ht="12.75">
      <c r="A22" s="66"/>
      <c r="B22" t="s">
        <v>186</v>
      </c>
      <c r="C22" s="292"/>
      <c r="D22" s="292"/>
      <c r="E22" s="310">
        <f t="shared" si="0"/>
        <v>0</v>
      </c>
    </row>
    <row r="23" spans="1:5" ht="12.75">
      <c r="A23" s="66" t="s">
        <v>136</v>
      </c>
      <c r="B23" t="s">
        <v>186</v>
      </c>
      <c r="C23" s="292"/>
      <c r="D23" s="292"/>
      <c r="E23" s="310">
        <f t="shared" si="0"/>
        <v>0</v>
      </c>
    </row>
    <row r="24" spans="1:5" ht="12.75">
      <c r="A24" s="66" t="s">
        <v>137</v>
      </c>
      <c r="B24" t="s">
        <v>186</v>
      </c>
      <c r="C24" s="292"/>
      <c r="D24" s="292"/>
      <c r="E24" s="310">
        <f t="shared" si="0"/>
        <v>0</v>
      </c>
    </row>
    <row r="25" spans="1:5" ht="12.75">
      <c r="A25" s="66" t="s">
        <v>9</v>
      </c>
      <c r="B25" t="s">
        <v>186</v>
      </c>
      <c r="C25" s="292"/>
      <c r="D25" s="292"/>
      <c r="E25" s="310">
        <f t="shared" si="0"/>
        <v>0</v>
      </c>
    </row>
    <row r="26" spans="1:5" ht="12.75">
      <c r="A26" s="66" t="s">
        <v>190</v>
      </c>
      <c r="B26" t="s">
        <v>186</v>
      </c>
      <c r="C26" s="292"/>
      <c r="D26" s="292"/>
      <c r="E26" s="310">
        <f t="shared" si="0"/>
        <v>0</v>
      </c>
    </row>
    <row r="27" spans="1:5" ht="12.75">
      <c r="A27" s="66" t="s">
        <v>7</v>
      </c>
      <c r="B27" t="s">
        <v>186</v>
      </c>
      <c r="C27" s="292"/>
      <c r="D27" s="292"/>
      <c r="E27" s="310">
        <f t="shared" si="0"/>
        <v>0</v>
      </c>
    </row>
    <row r="28" spans="1:5" ht="12.75">
      <c r="A28" s="66" t="s">
        <v>124</v>
      </c>
      <c r="B28" t="s">
        <v>186</v>
      </c>
      <c r="C28" s="292">
        <v>9705</v>
      </c>
      <c r="D28" s="292"/>
      <c r="E28" s="310">
        <f t="shared" si="0"/>
        <v>9705</v>
      </c>
    </row>
    <row r="29" spans="1:5" ht="12.75">
      <c r="A29" s="66" t="s">
        <v>138</v>
      </c>
      <c r="B29" t="s">
        <v>186</v>
      </c>
      <c r="C29" s="292"/>
      <c r="D29" s="292"/>
      <c r="E29" s="310">
        <f t="shared" si="0"/>
        <v>0</v>
      </c>
    </row>
    <row r="30" spans="1:5" ht="12.75">
      <c r="A30" s="66" t="s">
        <v>139</v>
      </c>
      <c r="B30" t="s">
        <v>186</v>
      </c>
      <c r="C30" s="292"/>
      <c r="D30" s="292"/>
      <c r="E30" s="310">
        <f t="shared" si="0"/>
        <v>0</v>
      </c>
    </row>
    <row r="31" spans="1:5" ht="12.75">
      <c r="A31" s="66" t="s">
        <v>252</v>
      </c>
      <c r="B31" t="s">
        <v>186</v>
      </c>
      <c r="C31" s="292"/>
      <c r="D31" s="292"/>
      <c r="E31" s="310">
        <f t="shared" si="0"/>
        <v>0</v>
      </c>
    </row>
    <row r="32" spans="1:5" ht="12.75">
      <c r="A32" s="66" t="s">
        <v>140</v>
      </c>
      <c r="B32" t="s">
        <v>186</v>
      </c>
      <c r="C32" s="292"/>
      <c r="D32" s="292"/>
      <c r="E32" s="310">
        <f t="shared" si="0"/>
        <v>0</v>
      </c>
    </row>
    <row r="33" spans="1:5" ht="12.75">
      <c r="A33" s="66" t="s">
        <v>141</v>
      </c>
      <c r="B33" t="s">
        <v>186</v>
      </c>
      <c r="C33" s="292"/>
      <c r="D33" s="292"/>
      <c r="E33" s="310">
        <f t="shared" si="0"/>
        <v>0</v>
      </c>
    </row>
    <row r="34" spans="1:5" ht="12.75">
      <c r="A34" s="66" t="s">
        <v>142</v>
      </c>
      <c r="B34" t="s">
        <v>186</v>
      </c>
      <c r="C34" s="292"/>
      <c r="D34" s="292"/>
      <c r="E34" s="310">
        <f t="shared" si="0"/>
        <v>0</v>
      </c>
    </row>
    <row r="35" spans="1:5" ht="12.75">
      <c r="A35" s="66" t="s">
        <v>192</v>
      </c>
      <c r="B35" t="s">
        <v>186</v>
      </c>
      <c r="C35" s="292"/>
      <c r="D35" s="292"/>
      <c r="E35" s="310">
        <f t="shared" si="0"/>
        <v>0</v>
      </c>
    </row>
    <row r="36" spans="1:5" ht="12.75">
      <c r="A36" s="66" t="s">
        <v>469</v>
      </c>
      <c r="B36" t="s">
        <v>186</v>
      </c>
      <c r="C36" s="292"/>
      <c r="D36" s="292"/>
      <c r="E36" s="310">
        <f t="shared" si="0"/>
        <v>0</v>
      </c>
    </row>
    <row r="37" spans="1:5" ht="12.75">
      <c r="A37" s="66"/>
      <c r="B37" t="s">
        <v>186</v>
      </c>
      <c r="C37" s="292"/>
      <c r="D37" s="292"/>
      <c r="E37" s="310">
        <f t="shared" si="0"/>
        <v>0</v>
      </c>
    </row>
    <row r="38" spans="2:5" ht="12.75">
      <c r="B38" t="s">
        <v>186</v>
      </c>
      <c r="C38" s="292"/>
      <c r="D38" s="292"/>
      <c r="E38" s="249">
        <f t="shared" si="0"/>
        <v>0</v>
      </c>
    </row>
    <row r="39" spans="2:5" ht="12.75">
      <c r="B39" t="s">
        <v>186</v>
      </c>
      <c r="C39" s="291"/>
      <c r="D39" s="292"/>
      <c r="E39" s="249">
        <f t="shared" si="0"/>
        <v>0</v>
      </c>
    </row>
    <row r="40" spans="1:5" ht="12.75">
      <c r="A40" s="67" t="s">
        <v>202</v>
      </c>
      <c r="B40" t="s">
        <v>186</v>
      </c>
      <c r="C40" s="291"/>
      <c r="D40" s="291"/>
      <c r="E40" s="249">
        <f t="shared" si="0"/>
        <v>0</v>
      </c>
    </row>
    <row r="41" spans="1:5" ht="12.75">
      <c r="A41" s="502" t="s">
        <v>497</v>
      </c>
      <c r="B41" t="s">
        <v>186</v>
      </c>
      <c r="C41" s="291">
        <v>5870</v>
      </c>
      <c r="D41" s="291"/>
      <c r="E41" s="249">
        <f t="shared" si="0"/>
        <v>5870</v>
      </c>
    </row>
    <row r="42" spans="1:5" ht="12.75">
      <c r="A42" s="66"/>
      <c r="B42" t="s">
        <v>186</v>
      </c>
      <c r="C42" s="291"/>
      <c r="D42" s="291"/>
      <c r="E42" s="249">
        <f t="shared" si="0"/>
        <v>0</v>
      </c>
    </row>
    <row r="43" spans="1:5" ht="12.75">
      <c r="A43" s="66"/>
      <c r="B43" t="s">
        <v>186</v>
      </c>
      <c r="C43" s="291"/>
      <c r="D43" s="291"/>
      <c r="E43" s="249">
        <f t="shared" si="0"/>
        <v>0</v>
      </c>
    </row>
    <row r="44" spans="1:5" ht="12.75">
      <c r="A44" s="66"/>
      <c r="B44" t="s">
        <v>186</v>
      </c>
      <c r="C44" s="291"/>
      <c r="D44" s="291"/>
      <c r="E44" s="249">
        <f t="shared" si="0"/>
        <v>0</v>
      </c>
    </row>
    <row r="45" spans="1:5" ht="12.75">
      <c r="A45" s="66"/>
      <c r="B45" t="s">
        <v>186</v>
      </c>
      <c r="C45" s="291"/>
      <c r="D45" s="291"/>
      <c r="E45" s="276"/>
    </row>
    <row r="46" spans="1:5" ht="12.75">
      <c r="A46" s="69" t="s">
        <v>169</v>
      </c>
      <c r="B46" t="s">
        <v>188</v>
      </c>
      <c r="C46" s="249">
        <f>SUM(C17:C45)</f>
        <v>52302</v>
      </c>
      <c r="D46" s="249">
        <f>SUM(D17:D45)</f>
        <v>0</v>
      </c>
      <c r="E46" s="249">
        <f>SUM(E17:E45)</f>
        <v>52302</v>
      </c>
    </row>
    <row r="47" ht="12.75">
      <c r="A47" s="66"/>
    </row>
    <row r="48" ht="12.75">
      <c r="A48" s="66" t="s">
        <v>171</v>
      </c>
    </row>
    <row r="49" spans="1:5" ht="12.75">
      <c r="A49" s="272" t="str">
        <f>IF($E17&gt;$C$11,A17," ")</f>
        <v> </v>
      </c>
      <c r="B49" s="270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2" t="str">
        <f>IF($E18&gt;$C$11,A18," ")</f>
        <v> </v>
      </c>
      <c r="B50" s="270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2" t="str">
        <f>A19</f>
        <v>Loss on disposal of assets</v>
      </c>
      <c r="B51" s="270"/>
      <c r="C51" s="249">
        <f t="shared" si="1"/>
        <v>36727</v>
      </c>
      <c r="D51" s="249">
        <f t="shared" si="1"/>
        <v>0</v>
      </c>
      <c r="E51" s="249">
        <f t="shared" si="1"/>
        <v>36727</v>
      </c>
    </row>
    <row r="52" spans="1:5" ht="12.75">
      <c r="A52" s="272" t="str">
        <f>IF($E20&gt;$C$11,#REF!," ")</f>
        <v> </v>
      </c>
      <c r="B52" s="270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2" t="str">
        <f t="shared" si="2"/>
        <v> </v>
      </c>
      <c r="B54" s="270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2" t="str">
        <f t="shared" si="2"/>
        <v> </v>
      </c>
      <c r="B55" s="270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2" t="str">
        <f t="shared" si="2"/>
        <v> </v>
      </c>
      <c r="B56" s="270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2" t="str">
        <f t="shared" si="2"/>
        <v> </v>
      </c>
      <c r="B57" s="270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2" t="str">
        <f t="shared" si="2"/>
        <v> </v>
      </c>
      <c r="B58" s="270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2" t="str">
        <f t="shared" si="2"/>
        <v> </v>
      </c>
      <c r="B59" s="270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2" t="str">
        <f>IF($E28&gt;$C$11,A28," ")</f>
        <v>Debt issue expense</v>
      </c>
      <c r="B60" s="270"/>
      <c r="C60" s="249">
        <f t="shared" si="1"/>
        <v>9705</v>
      </c>
      <c r="D60" s="249">
        <f t="shared" si="1"/>
        <v>0</v>
      </c>
      <c r="E60" s="249">
        <f t="shared" si="1"/>
        <v>9705</v>
      </c>
    </row>
    <row r="61" spans="1:5" ht="12.75">
      <c r="A61" s="272" t="str">
        <f>IF($E29&gt;$C$11,#REF!," ")</f>
        <v> </v>
      </c>
      <c r="B61" s="270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2" t="str">
        <f>IF($E30&gt;$C$11,#REF!," ")</f>
        <v> </v>
      </c>
      <c r="B62" s="270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2" t="str">
        <f>IF($E31&gt;$C$11,A26," ")</f>
        <v> </v>
      </c>
      <c r="B63" s="270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2" t="str">
        <f>IF($E33&gt;$C$11,#REF!," ")</f>
        <v> </v>
      </c>
      <c r="B64" s="270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2" t="str">
        <f>IF($E34&gt;$C$11,#REF!," ")</f>
        <v> </v>
      </c>
      <c r="B65" s="270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2" t="str">
        <f>IF($E35&gt;$C$11,#REF!," ")</f>
        <v> </v>
      </c>
      <c r="B66" s="270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2" t="str">
        <f>IF($E36&gt;$C$11,A36," ")</f>
        <v> </v>
      </c>
      <c r="B67" s="270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2" t="str">
        <f>IF($E37&gt;$C$11,A37," ")</f>
        <v> </v>
      </c>
      <c r="B68" s="270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2" t="str">
        <f>IF($E38&gt;$C$11,A29," ")</f>
        <v> </v>
      </c>
      <c r="B69" s="270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2" t="str">
        <f>IF($E39&gt;$C$11,A35," ")</f>
        <v> </v>
      </c>
      <c r="B70" s="270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2" t="str">
        <f t="shared" si="4"/>
        <v>Ontario Specified Tax Credits</v>
      </c>
      <c r="B72" s="270"/>
      <c r="C72" s="249">
        <f t="shared" si="3"/>
        <v>5870</v>
      </c>
      <c r="D72" s="249">
        <f t="shared" si="3"/>
        <v>0</v>
      </c>
      <c r="E72" s="249">
        <f t="shared" si="3"/>
        <v>5870</v>
      </c>
    </row>
    <row r="73" spans="1:5" ht="12.75">
      <c r="A73" s="272" t="str">
        <f t="shared" si="4"/>
        <v> </v>
      </c>
      <c r="B73" s="270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2" t="str">
        <f t="shared" si="4"/>
        <v> </v>
      </c>
      <c r="B74" s="270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2" t="str">
        <f t="shared" si="4"/>
        <v> </v>
      </c>
      <c r="B75" s="270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2" t="str">
        <f t="shared" si="4"/>
        <v> </v>
      </c>
      <c r="B76" s="271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3" t="s">
        <v>143</v>
      </c>
      <c r="B77" s="270"/>
      <c r="C77" s="249">
        <f>SUM(C49:C75)</f>
        <v>52302</v>
      </c>
      <c r="D77" s="249">
        <f>SUM(D49:D75)</f>
        <v>0</v>
      </c>
      <c r="E77" s="249">
        <f>SUM(E49:E75)</f>
        <v>52302</v>
      </c>
    </row>
    <row r="78" spans="1:5" ht="12.75">
      <c r="A78" s="273" t="s">
        <v>201</v>
      </c>
      <c r="B78" s="274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3" t="s">
        <v>169</v>
      </c>
      <c r="B79" s="274"/>
      <c r="C79" s="312">
        <f>C77+C78</f>
        <v>52302</v>
      </c>
      <c r="D79" s="312">
        <f>D77+D78</f>
        <v>0</v>
      </c>
      <c r="E79" s="312">
        <f>E77+E78</f>
        <v>52302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1"/>
      <c r="D82" s="291"/>
      <c r="E82" s="249">
        <f>C82-D82</f>
        <v>0</v>
      </c>
    </row>
    <row r="83" spans="1:5" ht="12.75">
      <c r="A83" s="70" t="s">
        <v>151</v>
      </c>
      <c r="B83" s="8" t="s">
        <v>187</v>
      </c>
      <c r="C83" s="291"/>
      <c r="D83" s="291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1"/>
      <c r="D84" s="291"/>
      <c r="E84" s="249">
        <f t="shared" si="5"/>
        <v>0</v>
      </c>
    </row>
    <row r="85" spans="1:5" ht="12.75">
      <c r="A85" s="70" t="s">
        <v>253</v>
      </c>
      <c r="B85" s="8" t="s">
        <v>187</v>
      </c>
      <c r="C85" s="291"/>
      <c r="D85" s="291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1"/>
      <c r="D86" s="291"/>
      <c r="E86" s="249">
        <f t="shared" si="5"/>
        <v>0</v>
      </c>
    </row>
    <row r="87" spans="1:5" ht="12.75">
      <c r="A87" s="66" t="s">
        <v>374</v>
      </c>
      <c r="B87" s="8" t="s">
        <v>187</v>
      </c>
      <c r="C87" s="291"/>
      <c r="D87" s="291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1"/>
      <c r="D88" s="291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1"/>
      <c r="D89" s="291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1"/>
      <c r="D90" s="291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1"/>
      <c r="D91" s="291"/>
      <c r="E91" s="249">
        <f t="shared" si="5"/>
        <v>0</v>
      </c>
    </row>
    <row r="92" spans="1:5" ht="12.75">
      <c r="A92" s="502" t="s">
        <v>500</v>
      </c>
      <c r="B92" s="8" t="s">
        <v>187</v>
      </c>
      <c r="C92" s="291">
        <v>869</v>
      </c>
      <c r="D92" s="291"/>
      <c r="E92" s="249">
        <f t="shared" si="5"/>
        <v>869</v>
      </c>
    </row>
    <row r="93" spans="1:5" ht="12.75">
      <c r="A93" s="66"/>
      <c r="B93" s="8" t="s">
        <v>187</v>
      </c>
      <c r="C93" s="291"/>
      <c r="D93" s="291"/>
      <c r="E93" s="249">
        <f t="shared" si="5"/>
        <v>0</v>
      </c>
    </row>
    <row r="94" spans="1:5" ht="12.75">
      <c r="A94" s="66"/>
      <c r="B94" s="8" t="s">
        <v>187</v>
      </c>
      <c r="C94" s="291"/>
      <c r="D94" s="291"/>
      <c r="E94" s="249">
        <f t="shared" si="5"/>
        <v>0</v>
      </c>
    </row>
    <row r="95" spans="1:5" ht="12.75">
      <c r="A95" s="67" t="s">
        <v>203</v>
      </c>
      <c r="B95" s="8" t="s">
        <v>187</v>
      </c>
      <c r="C95" s="291"/>
      <c r="D95" s="291"/>
      <c r="E95" s="249">
        <f t="shared" si="5"/>
        <v>0</v>
      </c>
    </row>
    <row r="96" spans="1:5" ht="12.75">
      <c r="A96" s="66" t="s">
        <v>470</v>
      </c>
      <c r="B96" s="8" t="s">
        <v>187</v>
      </c>
      <c r="C96" s="291">
        <v>0</v>
      </c>
      <c r="D96" s="291"/>
      <c r="E96" s="249">
        <f t="shared" si="5"/>
        <v>0</v>
      </c>
    </row>
    <row r="97" spans="1:5" ht="12.75">
      <c r="A97" s="66"/>
      <c r="B97" s="8" t="s">
        <v>187</v>
      </c>
      <c r="C97" s="291"/>
      <c r="D97" s="291"/>
      <c r="E97" s="249">
        <f t="shared" si="5"/>
        <v>0</v>
      </c>
    </row>
    <row r="98" spans="1:5" ht="12.75">
      <c r="A98" s="66"/>
      <c r="B98" s="8" t="s">
        <v>187</v>
      </c>
      <c r="C98" s="291"/>
      <c r="D98" s="291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869</v>
      </c>
      <c r="D99" s="249">
        <f>SUM(D82:D98)</f>
        <v>0</v>
      </c>
      <c r="E99" s="249">
        <f>SUM(E82:E98)</f>
        <v>869</v>
      </c>
    </row>
    <row r="100" ht="12.75">
      <c r="A100" s="66"/>
    </row>
    <row r="101" ht="12.75">
      <c r="A101" s="66" t="s">
        <v>173</v>
      </c>
    </row>
    <row r="102" spans="1:5" ht="12.75">
      <c r="A102" s="272" t="str">
        <f>IF($E82&gt;$C$11,A82," ")</f>
        <v> </v>
      </c>
      <c r="B102" s="270"/>
      <c r="C102" s="249">
        <f aca="true" t="shared" si="6" ref="C102:E118">IF($E82&gt;$C$11,C82,)</f>
        <v>0</v>
      </c>
      <c r="D102" s="249">
        <f t="shared" si="6"/>
        <v>0</v>
      </c>
      <c r="E102" s="249">
        <f t="shared" si="6"/>
        <v>0</v>
      </c>
    </row>
    <row r="103" spans="1:5" ht="12.75">
      <c r="A103" s="272" t="str">
        <f aca="true" t="shared" si="7" ref="A103:A114">IF($E83&gt;$C$11,A83," ")</f>
        <v> </v>
      </c>
      <c r="B103" s="270"/>
      <c r="C103" s="249">
        <f t="shared" si="6"/>
        <v>0</v>
      </c>
      <c r="D103" s="249">
        <f t="shared" si="6"/>
        <v>0</v>
      </c>
      <c r="E103" s="249">
        <f t="shared" si="6"/>
        <v>0</v>
      </c>
    </row>
    <row r="104" spans="1:5" ht="12.75">
      <c r="A104" s="272" t="str">
        <f t="shared" si="7"/>
        <v> </v>
      </c>
      <c r="B104" s="270"/>
      <c r="C104" s="249">
        <f t="shared" si="6"/>
        <v>0</v>
      </c>
      <c r="D104" s="249">
        <f t="shared" si="6"/>
        <v>0</v>
      </c>
      <c r="E104" s="249">
        <f t="shared" si="6"/>
        <v>0</v>
      </c>
    </row>
    <row r="105" spans="1:5" ht="12.75">
      <c r="A105" s="272" t="str">
        <f t="shared" si="7"/>
        <v> </v>
      </c>
      <c r="B105" s="270"/>
      <c r="C105" s="249">
        <f t="shared" si="6"/>
        <v>0</v>
      </c>
      <c r="D105" s="249">
        <f t="shared" si="6"/>
        <v>0</v>
      </c>
      <c r="E105" s="249">
        <f t="shared" si="6"/>
        <v>0</v>
      </c>
    </row>
    <row r="106" spans="1:5" ht="12.75">
      <c r="A106" s="272" t="str">
        <f t="shared" si="7"/>
        <v> </v>
      </c>
      <c r="B106" s="270"/>
      <c r="C106" s="249">
        <f t="shared" si="6"/>
        <v>0</v>
      </c>
      <c r="D106" s="249">
        <f t="shared" si="6"/>
        <v>0</v>
      </c>
      <c r="E106" s="249">
        <f t="shared" si="6"/>
        <v>0</v>
      </c>
    </row>
    <row r="107" spans="1:5" ht="12.75">
      <c r="A107" s="272" t="str">
        <f t="shared" si="7"/>
        <v> </v>
      </c>
      <c r="B107" s="270"/>
      <c r="C107" s="249">
        <f t="shared" si="6"/>
        <v>0</v>
      </c>
      <c r="D107" s="249">
        <f t="shared" si="6"/>
        <v>0</v>
      </c>
      <c r="E107" s="249">
        <f t="shared" si="6"/>
        <v>0</v>
      </c>
    </row>
    <row r="108" spans="1:5" ht="12.75">
      <c r="A108" s="272" t="str">
        <f t="shared" si="7"/>
        <v> </v>
      </c>
      <c r="B108" s="270"/>
      <c r="C108" s="249">
        <f t="shared" si="6"/>
        <v>0</v>
      </c>
      <c r="D108" s="249">
        <f t="shared" si="6"/>
        <v>0</v>
      </c>
      <c r="E108" s="249">
        <f t="shared" si="6"/>
        <v>0</v>
      </c>
    </row>
    <row r="109" spans="1:5" ht="12.75">
      <c r="A109" s="272" t="str">
        <f t="shared" si="7"/>
        <v> </v>
      </c>
      <c r="B109" s="270"/>
      <c r="C109" s="249">
        <f t="shared" si="6"/>
        <v>0</v>
      </c>
      <c r="D109" s="249">
        <f t="shared" si="6"/>
        <v>0</v>
      </c>
      <c r="E109" s="249">
        <f t="shared" si="6"/>
        <v>0</v>
      </c>
    </row>
    <row r="110" spans="1:5" ht="12.75">
      <c r="A110" s="272" t="str">
        <f t="shared" si="7"/>
        <v> </v>
      </c>
      <c r="B110" s="270"/>
      <c r="C110" s="249">
        <f t="shared" si="6"/>
        <v>0</v>
      </c>
      <c r="D110" s="249">
        <f t="shared" si="6"/>
        <v>0</v>
      </c>
      <c r="E110" s="249">
        <f t="shared" si="6"/>
        <v>0</v>
      </c>
    </row>
    <row r="111" spans="1:5" ht="12.75">
      <c r="A111" s="272" t="str">
        <f t="shared" si="7"/>
        <v> </v>
      </c>
      <c r="B111" s="270"/>
      <c r="C111" s="249">
        <f t="shared" si="6"/>
        <v>0</v>
      </c>
      <c r="D111" s="249">
        <f t="shared" si="6"/>
        <v>0</v>
      </c>
      <c r="E111" s="249">
        <f t="shared" si="6"/>
        <v>0</v>
      </c>
    </row>
    <row r="112" spans="1:5" ht="12.75">
      <c r="A112" s="272" t="str">
        <f t="shared" si="7"/>
        <v>Income for tax purposes - joint ventures or partnerships</v>
      </c>
      <c r="B112" s="270"/>
      <c r="C112" s="249">
        <f t="shared" si="6"/>
        <v>869</v>
      </c>
      <c r="D112" s="249">
        <f t="shared" si="6"/>
        <v>0</v>
      </c>
      <c r="E112" s="249">
        <f t="shared" si="6"/>
        <v>869</v>
      </c>
    </row>
    <row r="113" spans="1:5" ht="12.75">
      <c r="A113" s="272" t="str">
        <f t="shared" si="7"/>
        <v> </v>
      </c>
      <c r="B113" s="270"/>
      <c r="C113" s="249">
        <f t="shared" si="6"/>
        <v>0</v>
      </c>
      <c r="D113" s="249">
        <f t="shared" si="6"/>
        <v>0</v>
      </c>
      <c r="E113" s="249">
        <f t="shared" si="6"/>
        <v>0</v>
      </c>
    </row>
    <row r="114" spans="1:5" ht="12.75">
      <c r="A114" s="272" t="str">
        <f t="shared" si="7"/>
        <v> </v>
      </c>
      <c r="B114" s="270"/>
      <c r="C114" s="249">
        <f t="shared" si="6"/>
        <v>0</v>
      </c>
      <c r="D114" s="249">
        <f t="shared" si="6"/>
        <v>0</v>
      </c>
      <c r="E114" s="249">
        <f t="shared" si="6"/>
        <v>0</v>
      </c>
    </row>
    <row r="115" spans="1:5" ht="12.75">
      <c r="A115" s="272" t="str">
        <f>IF($E95&gt;$C$11,A93," ")</f>
        <v> </v>
      </c>
      <c r="B115" s="270"/>
      <c r="C115" s="249">
        <f t="shared" si="6"/>
        <v>0</v>
      </c>
      <c r="D115" s="249">
        <f t="shared" si="6"/>
        <v>0</v>
      </c>
      <c r="E115" s="249">
        <f t="shared" si="6"/>
        <v>0</v>
      </c>
    </row>
    <row r="116" spans="1:5" ht="12.75">
      <c r="A116" s="272" t="str">
        <f>IF($E96&gt;$C$11,A96," ")</f>
        <v> </v>
      </c>
      <c r="B116" s="270"/>
      <c r="C116" s="249">
        <f t="shared" si="6"/>
        <v>0</v>
      </c>
      <c r="D116" s="249">
        <f t="shared" si="6"/>
        <v>0</v>
      </c>
      <c r="E116" s="249">
        <f t="shared" si="6"/>
        <v>0</v>
      </c>
    </row>
    <row r="117" spans="1:5" ht="12.75">
      <c r="A117" s="272" t="str">
        <f>IF($E97&gt;$C$11,A97," ")</f>
        <v> </v>
      </c>
      <c r="B117" s="270"/>
      <c r="C117" s="249">
        <f t="shared" si="6"/>
        <v>0</v>
      </c>
      <c r="D117" s="249">
        <f t="shared" si="6"/>
        <v>0</v>
      </c>
      <c r="E117" s="249">
        <f t="shared" si="6"/>
        <v>0</v>
      </c>
    </row>
    <row r="118" spans="1:5" ht="12.75">
      <c r="A118" s="272" t="str">
        <f>IF($E98&gt;$C$11,A98," ")</f>
        <v> </v>
      </c>
      <c r="B118" s="270"/>
      <c r="C118" s="249">
        <f t="shared" si="6"/>
        <v>0</v>
      </c>
      <c r="D118" s="249">
        <f t="shared" si="6"/>
        <v>0</v>
      </c>
      <c r="E118" s="249">
        <f t="shared" si="6"/>
        <v>0</v>
      </c>
    </row>
    <row r="119" spans="1:5" ht="12.75">
      <c r="A119" s="275" t="s">
        <v>200</v>
      </c>
      <c r="B119" s="270"/>
      <c r="C119" s="249">
        <f>SUM(C102:C118)</f>
        <v>869</v>
      </c>
      <c r="D119" s="249">
        <f>SUM(D102:D118)</f>
        <v>0</v>
      </c>
      <c r="E119" s="249">
        <f>SUM(E102:E118)</f>
        <v>869</v>
      </c>
    </row>
    <row r="120" spans="1:5" ht="12.75">
      <c r="A120" s="275" t="s">
        <v>199</v>
      </c>
      <c r="B120" s="270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5" t="s">
        <v>170</v>
      </c>
      <c r="B121" s="270"/>
      <c r="C121" s="249">
        <f>C119+C120</f>
        <v>869</v>
      </c>
      <c r="D121" s="249">
        <f>D119+D120</f>
        <v>0</v>
      </c>
      <c r="E121" s="249">
        <f>E119+E120</f>
        <v>869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48" activePane="bottomRight" state="frozen"/>
      <selection pane="topLeft" activeCell="I60" sqref="I60"/>
      <selection pane="topRight" activeCell="I60" sqref="I60"/>
      <selection pane="bottomLeft" activeCell="I60" sqref="I60"/>
      <selection pane="bottomRight" activeCell="C68" sqref="C6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SIMPIL MODEL 
(Halton Hills Version per Board Decision in EB-2008-0381)</v>
      </c>
    </row>
    <row r="3" spans="1:5" ht="12.75">
      <c r="A3" s="2" t="s">
        <v>382</v>
      </c>
      <c r="E3" s="91"/>
    </row>
    <row r="4" spans="1:6" ht="15">
      <c r="A4" s="453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55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HALDIMAND COUNTY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8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2"/>
      <c r="D19" s="292"/>
      <c r="E19" s="310">
        <f aca="true" t="shared" si="0" ref="E19:E45">C19-D19</f>
        <v>0</v>
      </c>
    </row>
    <row r="20" spans="1:5" ht="12.75">
      <c r="A20" t="s">
        <v>385</v>
      </c>
      <c r="B20" t="s">
        <v>186</v>
      </c>
      <c r="C20" s="292"/>
      <c r="D20" s="292"/>
      <c r="E20" s="310">
        <f t="shared" si="0"/>
        <v>0</v>
      </c>
    </row>
    <row r="21" spans="1:5" ht="12.75">
      <c r="A21" t="s">
        <v>451</v>
      </c>
      <c r="B21" t="s">
        <v>186</v>
      </c>
      <c r="C21" s="292"/>
      <c r="D21" s="292"/>
      <c r="E21" s="310">
        <f t="shared" si="0"/>
        <v>0</v>
      </c>
    </row>
    <row r="22" spans="1:5" ht="12.75">
      <c r="A22" s="66" t="s">
        <v>388</v>
      </c>
      <c r="B22" t="s">
        <v>186</v>
      </c>
      <c r="C22" s="292"/>
      <c r="D22" s="311"/>
      <c r="E22" s="310">
        <f t="shared" si="0"/>
        <v>0</v>
      </c>
    </row>
    <row r="23" spans="1:5" ht="12.75">
      <c r="A23" s="66" t="s">
        <v>389</v>
      </c>
      <c r="B23" t="s">
        <v>186</v>
      </c>
      <c r="C23" s="292"/>
      <c r="D23" s="292"/>
      <c r="E23" s="310">
        <f t="shared" si="0"/>
        <v>0</v>
      </c>
    </row>
    <row r="24" spans="1:5" ht="12.75">
      <c r="A24" s="66" t="s">
        <v>452</v>
      </c>
      <c r="B24" t="s">
        <v>186</v>
      </c>
      <c r="C24" s="292"/>
      <c r="D24" s="292"/>
      <c r="E24" s="310">
        <f t="shared" si="0"/>
        <v>0</v>
      </c>
    </row>
    <row r="25" spans="1:5" ht="12.75">
      <c r="A25" s="66" t="s">
        <v>125</v>
      </c>
      <c r="B25" t="s">
        <v>186</v>
      </c>
      <c r="C25" s="292"/>
      <c r="D25" s="292"/>
      <c r="E25" s="310">
        <f t="shared" si="0"/>
        <v>0</v>
      </c>
    </row>
    <row r="26" spans="1:5" ht="12.75">
      <c r="A26" s="66" t="s">
        <v>133</v>
      </c>
      <c r="B26" t="s">
        <v>186</v>
      </c>
      <c r="C26" s="292"/>
      <c r="D26" s="292"/>
      <c r="E26" s="310">
        <f t="shared" si="0"/>
        <v>0</v>
      </c>
    </row>
    <row r="27" spans="1:5" ht="12.75">
      <c r="A27" s="66" t="s">
        <v>435</v>
      </c>
      <c r="B27" t="s">
        <v>186</v>
      </c>
      <c r="C27" s="292"/>
      <c r="D27" s="292"/>
      <c r="E27" s="310">
        <f t="shared" si="0"/>
        <v>0</v>
      </c>
    </row>
    <row r="28" spans="1:5" ht="12.75">
      <c r="A28" s="66" t="s">
        <v>387</v>
      </c>
      <c r="B28" t="s">
        <v>186</v>
      </c>
      <c r="C28" s="292"/>
      <c r="D28" s="292"/>
      <c r="E28" s="310">
        <f t="shared" si="0"/>
        <v>0</v>
      </c>
    </row>
    <row r="29" spans="1:5" ht="12.75">
      <c r="A29" s="66" t="s">
        <v>135</v>
      </c>
      <c r="B29" t="s">
        <v>186</v>
      </c>
      <c r="C29" s="292"/>
      <c r="D29" s="292"/>
      <c r="E29" s="310">
        <f t="shared" si="0"/>
        <v>0</v>
      </c>
    </row>
    <row r="30" spans="1:5" ht="12.75">
      <c r="A30" s="66" t="s">
        <v>386</v>
      </c>
      <c r="B30" t="s">
        <v>186</v>
      </c>
      <c r="C30" s="292"/>
      <c r="D30" s="292"/>
      <c r="E30" s="310">
        <f t="shared" si="0"/>
        <v>0</v>
      </c>
    </row>
    <row r="31" spans="1:5" ht="12.75">
      <c r="A31" s="66" t="s">
        <v>191</v>
      </c>
      <c r="B31" t="s">
        <v>186</v>
      </c>
      <c r="C31" s="292"/>
      <c r="D31" s="292"/>
      <c r="E31" s="310">
        <f t="shared" si="0"/>
        <v>0</v>
      </c>
    </row>
    <row r="32" spans="1:5" ht="12.75">
      <c r="A32" s="66" t="s">
        <v>430</v>
      </c>
      <c r="B32" t="s">
        <v>186</v>
      </c>
      <c r="C32" s="292"/>
      <c r="D32" s="292"/>
      <c r="E32" s="310">
        <f t="shared" si="0"/>
        <v>0</v>
      </c>
    </row>
    <row r="33" spans="1:5" ht="12.75">
      <c r="A33" s="66" t="s">
        <v>431</v>
      </c>
      <c r="B33" t="s">
        <v>186</v>
      </c>
      <c r="C33" s="292"/>
      <c r="D33" s="292"/>
      <c r="E33" s="310">
        <f t="shared" si="0"/>
        <v>0</v>
      </c>
    </row>
    <row r="34" spans="1:5" ht="12.75">
      <c r="A34" s="66" t="s">
        <v>448</v>
      </c>
      <c r="B34" t="s">
        <v>186</v>
      </c>
      <c r="C34" s="292"/>
      <c r="D34" s="292"/>
      <c r="E34" s="310">
        <f t="shared" si="0"/>
        <v>0</v>
      </c>
    </row>
    <row r="35" spans="1:5" ht="12.75">
      <c r="A35" s="80" t="s">
        <v>449</v>
      </c>
      <c r="C35" s="292"/>
      <c r="D35" s="292"/>
      <c r="E35" s="310">
        <f t="shared" si="0"/>
        <v>0</v>
      </c>
    </row>
    <row r="36" spans="1:5" ht="12.75">
      <c r="A36" s="66" t="s">
        <v>432</v>
      </c>
      <c r="C36" s="292"/>
      <c r="D36" s="292"/>
      <c r="E36" s="310">
        <f t="shared" si="0"/>
        <v>0</v>
      </c>
    </row>
    <row r="37" spans="1:5" ht="12.75">
      <c r="A37" s="66" t="s">
        <v>433</v>
      </c>
      <c r="C37" s="292"/>
      <c r="D37" s="292"/>
      <c r="E37" s="310">
        <f t="shared" si="0"/>
        <v>0</v>
      </c>
    </row>
    <row r="38" spans="1:5" ht="12.75">
      <c r="A38" s="80" t="s">
        <v>390</v>
      </c>
      <c r="C38" s="292"/>
      <c r="D38" s="292"/>
      <c r="E38" s="310">
        <f t="shared" si="0"/>
        <v>0</v>
      </c>
    </row>
    <row r="39" spans="2:5" ht="12.75">
      <c r="B39" t="s">
        <v>186</v>
      </c>
      <c r="C39" s="292"/>
      <c r="D39" s="292"/>
      <c r="E39" s="310">
        <f t="shared" si="0"/>
        <v>0</v>
      </c>
    </row>
    <row r="40" spans="1:5" ht="12.75">
      <c r="A40" s="80" t="s">
        <v>384</v>
      </c>
      <c r="B40" t="s">
        <v>186</v>
      </c>
      <c r="C40" s="292"/>
      <c r="D40" s="292"/>
      <c r="E40" s="310">
        <f t="shared" si="0"/>
        <v>0</v>
      </c>
    </row>
    <row r="41" spans="1:5" ht="12.75">
      <c r="A41" s="66" t="s">
        <v>455</v>
      </c>
      <c r="B41" t="s">
        <v>186</v>
      </c>
      <c r="C41" s="292"/>
      <c r="D41" s="292"/>
      <c r="E41" s="310">
        <f t="shared" si="0"/>
        <v>0</v>
      </c>
    </row>
    <row r="42" spans="2:5" ht="12.75">
      <c r="B42" t="s">
        <v>186</v>
      </c>
      <c r="C42" s="292"/>
      <c r="D42" s="292"/>
      <c r="E42" s="310">
        <f t="shared" si="0"/>
        <v>0</v>
      </c>
    </row>
    <row r="43" spans="1:5" ht="12.75">
      <c r="A43" s="67" t="s">
        <v>202</v>
      </c>
      <c r="B43" t="s">
        <v>186</v>
      </c>
      <c r="C43" s="292"/>
      <c r="D43" s="292"/>
      <c r="E43" s="310">
        <f t="shared" si="0"/>
        <v>0</v>
      </c>
    </row>
    <row r="44" spans="2:5" ht="12.75">
      <c r="B44" t="s">
        <v>186</v>
      </c>
      <c r="C44" s="291"/>
      <c r="D44" s="291"/>
      <c r="E44" s="249">
        <f t="shared" si="0"/>
        <v>0</v>
      </c>
    </row>
    <row r="45" spans="2:5" ht="12.75">
      <c r="B45" t="s">
        <v>186</v>
      </c>
      <c r="C45" s="291"/>
      <c r="D45" s="291"/>
      <c r="E45" s="249">
        <f t="shared" si="0"/>
        <v>0</v>
      </c>
    </row>
    <row r="46" spans="1:5" ht="12.75">
      <c r="A46" s="66"/>
      <c r="B46" t="s">
        <v>186</v>
      </c>
      <c r="C46" s="291"/>
      <c r="D46" s="291"/>
      <c r="E46" s="276"/>
    </row>
    <row r="47" spans="1:5" ht="12.75">
      <c r="A47" s="439" t="s">
        <v>394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385</v>
      </c>
      <c r="B51" s="8" t="s">
        <v>187</v>
      </c>
      <c r="C51" s="291"/>
      <c r="D51" s="291"/>
      <c r="E51" s="249">
        <f aca="true" t="shared" si="1" ref="E51:E61">C51-D51</f>
        <v>0</v>
      </c>
    </row>
    <row r="52" spans="1:5" ht="12.75">
      <c r="A52" s="66" t="s">
        <v>451</v>
      </c>
      <c r="B52" s="8" t="s">
        <v>187</v>
      </c>
      <c r="C52" s="291"/>
      <c r="D52" s="291"/>
      <c r="E52" s="249">
        <f t="shared" si="1"/>
        <v>0</v>
      </c>
    </row>
    <row r="53" spans="1:5" ht="12.75">
      <c r="A53" t="s">
        <v>386</v>
      </c>
      <c r="B53" s="8" t="s">
        <v>187</v>
      </c>
      <c r="C53" s="291"/>
      <c r="D53" s="291"/>
      <c r="E53" s="249">
        <f t="shared" si="1"/>
        <v>0</v>
      </c>
    </row>
    <row r="54" spans="1:5" ht="12.75">
      <c r="A54" t="s">
        <v>434</v>
      </c>
      <c r="B54" s="8" t="s">
        <v>187</v>
      </c>
      <c r="C54" s="291"/>
      <c r="D54" s="291"/>
      <c r="E54" s="249">
        <f t="shared" si="1"/>
        <v>0</v>
      </c>
    </row>
    <row r="55" spans="1:5" ht="12.75">
      <c r="A55" s="66" t="s">
        <v>442</v>
      </c>
      <c r="B55" s="8" t="s">
        <v>187</v>
      </c>
      <c r="C55" s="291"/>
      <c r="D55" s="291"/>
      <c r="E55" s="249">
        <f t="shared" si="1"/>
        <v>0</v>
      </c>
    </row>
    <row r="56" spans="1:5" ht="12.75">
      <c r="A56" s="66" t="s">
        <v>454</v>
      </c>
      <c r="B56" s="8" t="s">
        <v>187</v>
      </c>
      <c r="C56" s="291"/>
      <c r="D56" s="291"/>
      <c r="E56" s="249">
        <f t="shared" si="1"/>
        <v>0</v>
      </c>
    </row>
    <row r="57" spans="1:5" ht="12.75">
      <c r="A57" s="2" t="s">
        <v>450</v>
      </c>
      <c r="B57" s="8" t="s">
        <v>187</v>
      </c>
      <c r="C57" s="291"/>
      <c r="D57" s="291"/>
      <c r="E57" s="249">
        <f t="shared" si="1"/>
        <v>0</v>
      </c>
    </row>
    <row r="58" spans="1:5" ht="12.75">
      <c r="A58" s="66" t="s">
        <v>453</v>
      </c>
      <c r="B58" s="8" t="s">
        <v>187</v>
      </c>
      <c r="C58" s="291"/>
      <c r="D58" s="291"/>
      <c r="E58" s="249">
        <f t="shared" si="1"/>
        <v>0</v>
      </c>
    </row>
    <row r="59" spans="1:5" ht="12.75">
      <c r="A59" s="66"/>
      <c r="B59" s="8" t="s">
        <v>187</v>
      </c>
      <c r="C59" s="291"/>
      <c r="D59" s="291"/>
      <c r="E59" s="249">
        <f t="shared" si="1"/>
        <v>0</v>
      </c>
    </row>
    <row r="60" spans="1:5" ht="12.75">
      <c r="A60" s="457" t="s">
        <v>391</v>
      </c>
      <c r="B60" s="8" t="s">
        <v>187</v>
      </c>
      <c r="C60" s="291"/>
      <c r="D60" s="291"/>
      <c r="E60" s="249">
        <f t="shared" si="1"/>
        <v>0</v>
      </c>
    </row>
    <row r="61" spans="2:5" ht="12.75">
      <c r="B61" s="8" t="s">
        <v>187</v>
      </c>
      <c r="C61" s="291"/>
      <c r="D61" s="291"/>
      <c r="E61" s="249">
        <f t="shared" si="1"/>
        <v>0</v>
      </c>
    </row>
    <row r="62" spans="1:5" ht="12.75">
      <c r="A62" s="457" t="s">
        <v>384</v>
      </c>
      <c r="B62" s="8" t="s">
        <v>187</v>
      </c>
      <c r="C62" s="291"/>
      <c r="D62" s="291"/>
      <c r="E62" s="249">
        <f aca="true" t="shared" si="2" ref="E62:E72">C62-D62</f>
        <v>0</v>
      </c>
    </row>
    <row r="63" spans="2:5" ht="12.75">
      <c r="B63" s="8" t="s">
        <v>187</v>
      </c>
      <c r="C63" s="291"/>
      <c r="D63" s="291"/>
      <c r="E63" s="249">
        <f t="shared" si="2"/>
        <v>0</v>
      </c>
    </row>
    <row r="64" spans="2:5" ht="12.75">
      <c r="B64" s="8" t="s">
        <v>187</v>
      </c>
      <c r="C64" s="291"/>
      <c r="D64" s="291"/>
      <c r="E64" s="249">
        <f t="shared" si="2"/>
        <v>0</v>
      </c>
    </row>
    <row r="65" spans="2:5" ht="12.75">
      <c r="B65" s="8" t="s">
        <v>187</v>
      </c>
      <c r="C65" s="291"/>
      <c r="D65" s="291"/>
      <c r="E65" s="249">
        <f t="shared" si="2"/>
        <v>0</v>
      </c>
    </row>
    <row r="66" spans="2:5" ht="12.75">
      <c r="B66" s="8" t="s">
        <v>187</v>
      </c>
      <c r="C66" s="291"/>
      <c r="D66" s="291"/>
      <c r="E66" s="249">
        <f t="shared" si="2"/>
        <v>0</v>
      </c>
    </row>
    <row r="67" spans="1:5" ht="12.75">
      <c r="A67" s="66"/>
      <c r="B67" s="8" t="s">
        <v>187</v>
      </c>
      <c r="C67" s="291"/>
      <c r="D67" s="291"/>
      <c r="E67" s="249">
        <f t="shared" si="2"/>
        <v>0</v>
      </c>
    </row>
    <row r="68" spans="1:5" ht="12.75">
      <c r="A68" s="67" t="s">
        <v>203</v>
      </c>
      <c r="B68" s="8" t="s">
        <v>187</v>
      </c>
      <c r="C68" s="291"/>
      <c r="D68" s="291"/>
      <c r="E68" s="249">
        <f t="shared" si="2"/>
        <v>0</v>
      </c>
    </row>
    <row r="69" spans="1:5" ht="12.75">
      <c r="A69" s="66"/>
      <c r="B69" s="8" t="s">
        <v>187</v>
      </c>
      <c r="C69" s="291"/>
      <c r="D69" s="291"/>
      <c r="E69" s="249">
        <f t="shared" si="2"/>
        <v>0</v>
      </c>
    </row>
    <row r="70" spans="1:5" ht="12.75">
      <c r="A70" s="66"/>
      <c r="B70" s="8" t="s">
        <v>187</v>
      </c>
      <c r="C70" s="291"/>
      <c r="D70" s="291"/>
      <c r="E70" s="249">
        <f t="shared" si="2"/>
        <v>0</v>
      </c>
    </row>
    <row r="71" spans="1:5" ht="12.75">
      <c r="A71" s="66"/>
      <c r="B71" s="8" t="s">
        <v>187</v>
      </c>
      <c r="C71" s="291"/>
      <c r="D71" s="291"/>
      <c r="E71" s="249">
        <f t="shared" si="2"/>
        <v>0</v>
      </c>
    </row>
    <row r="72" spans="1:5" ht="12.75">
      <c r="A72" s="66"/>
      <c r="B72" s="8" t="s">
        <v>187</v>
      </c>
      <c r="C72" s="291"/>
      <c r="D72" s="291"/>
      <c r="E72" s="276">
        <f t="shared" si="2"/>
        <v>0</v>
      </c>
    </row>
    <row r="73" spans="1:5" ht="12.75">
      <c r="A73" s="438" t="s">
        <v>393</v>
      </c>
      <c r="B73" s="8" t="s">
        <v>188</v>
      </c>
      <c r="C73" s="249">
        <f>SUM(C51:C72)</f>
        <v>0</v>
      </c>
      <c r="D73" s="249">
        <f>SUM(D51:D72)</f>
        <v>0</v>
      </c>
      <c r="E73" s="249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8">
      <selection activeCell="I60" sqref="I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SIMPIL MODEL 
(Halton Hills Version per Board Decision in EB-2008-0381)</v>
      </c>
      <c r="B1" s="383"/>
      <c r="C1" s="340"/>
      <c r="D1" s="340"/>
      <c r="E1" s="340"/>
      <c r="F1" s="340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8"/>
      <c r="H2" s="188"/>
      <c r="I2" s="188"/>
      <c r="J2" s="188"/>
      <c r="K2" s="237"/>
      <c r="L2" s="188"/>
      <c r="M2" s="188"/>
      <c r="N2" s="188"/>
      <c r="O2" s="188"/>
      <c r="P2" s="188"/>
      <c r="Q2" s="34"/>
      <c r="R2" s="34"/>
    </row>
    <row r="3" spans="1:18" ht="12.75">
      <c r="A3" s="341" t="s">
        <v>305</v>
      </c>
      <c r="B3" s="340"/>
      <c r="C3" s="340"/>
      <c r="D3" s="340"/>
      <c r="E3" s="340"/>
      <c r="F3" s="342"/>
      <c r="G3" s="188"/>
      <c r="H3" s="188"/>
      <c r="I3" s="188"/>
      <c r="J3" s="188"/>
      <c r="K3" s="237"/>
      <c r="L3" s="188"/>
      <c r="M3" s="188"/>
      <c r="N3" s="188"/>
      <c r="O3" s="188"/>
      <c r="P3" s="188"/>
      <c r="Q3" s="34"/>
      <c r="R3" s="34"/>
    </row>
    <row r="4" spans="1:18" ht="12.75">
      <c r="A4" s="237" t="str">
        <f>REGINFO!A3</f>
        <v>Utility Name: HALDIMAND COUNTY HYDRO INC.</v>
      </c>
      <c r="B4" s="340"/>
      <c r="C4" s="340"/>
      <c r="D4" s="340"/>
      <c r="E4" s="340"/>
      <c r="F4" s="340"/>
      <c r="G4" s="188"/>
      <c r="H4" s="188"/>
      <c r="I4" s="188"/>
      <c r="J4" s="188"/>
      <c r="K4" s="237"/>
      <c r="L4" s="188"/>
      <c r="M4" s="188"/>
      <c r="N4" s="188"/>
      <c r="O4" s="188"/>
      <c r="P4" s="188"/>
      <c r="Q4" s="34"/>
      <c r="R4" s="34"/>
    </row>
    <row r="5" spans="1:18" ht="12.75">
      <c r="A5" s="237" t="str">
        <f>REGINFO!A4</f>
        <v>Reporting period:  2005</v>
      </c>
      <c r="B5" s="340"/>
      <c r="C5" s="340"/>
      <c r="D5" s="340"/>
      <c r="E5" s="340"/>
      <c r="F5" s="340"/>
      <c r="G5" s="188"/>
      <c r="H5" s="188"/>
      <c r="I5" s="188"/>
      <c r="J5" s="188"/>
      <c r="K5" s="237"/>
      <c r="L5" s="188"/>
      <c r="M5" s="188"/>
      <c r="N5" s="188"/>
      <c r="O5" s="188"/>
      <c r="P5" s="188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8"/>
      <c r="H6" s="188"/>
      <c r="I6" s="188"/>
      <c r="J6" s="188"/>
      <c r="K6" s="237"/>
      <c r="L6" s="188"/>
      <c r="M6" s="188"/>
      <c r="N6" s="188"/>
      <c r="O6" s="188"/>
      <c r="P6" s="188"/>
      <c r="Q6" s="34"/>
      <c r="R6" s="34"/>
    </row>
    <row r="7" spans="1:18" ht="12.75">
      <c r="A7" s="341"/>
      <c r="B7" s="340"/>
      <c r="C7" s="340"/>
      <c r="D7" s="340"/>
      <c r="E7" s="340"/>
      <c r="F7" s="402" t="s">
        <v>335</v>
      </c>
      <c r="G7" s="188"/>
      <c r="H7" s="188"/>
      <c r="I7" s="188"/>
      <c r="J7" s="188"/>
      <c r="K7" s="237"/>
      <c r="L7" s="188"/>
      <c r="M7" s="188"/>
      <c r="N7" s="188"/>
      <c r="O7" s="188"/>
      <c r="P7" s="188"/>
      <c r="Q7" s="34"/>
      <c r="R7" s="34"/>
    </row>
    <row r="8" spans="1:18" ht="13.5" thickBot="1">
      <c r="A8" s="514" t="s">
        <v>480</v>
      </c>
      <c r="B8" s="515"/>
      <c r="C8" s="515"/>
      <c r="D8" s="515"/>
      <c r="E8" s="340"/>
      <c r="F8" s="38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8" t="s">
        <v>112</v>
      </c>
      <c r="B9" s="323"/>
      <c r="C9" s="371">
        <v>0</v>
      </c>
      <c r="D9" s="371"/>
      <c r="E9" s="371">
        <v>400001</v>
      </c>
      <c r="F9" s="37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19" t="s">
        <v>482</v>
      </c>
      <c r="B10" s="324"/>
      <c r="C10" s="373" t="s">
        <v>111</v>
      </c>
      <c r="D10" s="373"/>
      <c r="E10" s="373" t="s">
        <v>111</v>
      </c>
      <c r="F10" s="374" t="s">
        <v>476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19"/>
      <c r="B11" s="324" t="s">
        <v>116</v>
      </c>
      <c r="C11" s="375">
        <v>400000</v>
      </c>
      <c r="D11" s="375"/>
      <c r="E11" s="375">
        <v>1128000</v>
      </c>
      <c r="F11" s="376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0" t="s">
        <v>108</v>
      </c>
      <c r="B12" s="233"/>
      <c r="C12" s="234"/>
      <c r="D12" s="234"/>
      <c r="E12" s="240"/>
      <c r="F12" s="240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1" t="s">
        <v>298</v>
      </c>
      <c r="B13" s="401">
        <v>2005</v>
      </c>
      <c r="C13" s="235"/>
      <c r="D13" s="235"/>
      <c r="E13" s="241"/>
      <c r="F13" s="241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1" t="s">
        <v>297</v>
      </c>
      <c r="B14" s="243"/>
      <c r="C14" s="325">
        <v>0.1312</v>
      </c>
      <c r="D14" s="325"/>
      <c r="E14" s="326">
        <v>0.1775</v>
      </c>
      <c r="F14" s="326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1" t="s">
        <v>302</v>
      </c>
      <c r="B15" s="243"/>
      <c r="C15" s="327">
        <v>0.055</v>
      </c>
      <c r="D15" s="327"/>
      <c r="E15" s="328">
        <v>0.0975</v>
      </c>
      <c r="F15" s="328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1" t="s">
        <v>258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1"/>
      <c r="B17" s="243"/>
      <c r="C17" s="325"/>
      <c r="D17" s="325"/>
      <c r="E17" s="326"/>
      <c r="F17" s="326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0" t="s">
        <v>109</v>
      </c>
      <c r="B18" s="242"/>
      <c r="C18" s="331">
        <v>0.003</v>
      </c>
      <c r="D18" s="325"/>
      <c r="E18" s="326"/>
      <c r="F18" s="326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0" t="s">
        <v>110</v>
      </c>
      <c r="B19" s="236"/>
      <c r="C19" s="332">
        <v>0.00175</v>
      </c>
      <c r="D19" s="333"/>
      <c r="E19" s="334"/>
      <c r="F19" s="334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0" t="s">
        <v>113</v>
      </c>
      <c r="B20" s="236"/>
      <c r="C20" s="333">
        <v>0.0112</v>
      </c>
      <c r="D20" s="335"/>
      <c r="E20" s="336"/>
      <c r="F20" s="336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2" t="s">
        <v>330</v>
      </c>
      <c r="B21" s="398" t="s">
        <v>481</v>
      </c>
      <c r="C21" s="359">
        <v>7425000</v>
      </c>
      <c r="D21" s="335"/>
      <c r="E21" s="336"/>
      <c r="F21" s="336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2" t="s">
        <v>331</v>
      </c>
      <c r="B22" s="399" t="s">
        <v>475</v>
      </c>
      <c r="C22" s="360">
        <v>49500000</v>
      </c>
      <c r="D22" s="337"/>
      <c r="E22" s="338"/>
      <c r="F22" s="338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08" t="s">
        <v>487</v>
      </c>
      <c r="B23" s="509"/>
      <c r="C23" s="509"/>
      <c r="D23" s="509"/>
      <c r="E23" s="509"/>
      <c r="F23" s="509"/>
      <c r="G23" s="428"/>
      <c r="H23" s="410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3"/>
      <c r="B24" s="404"/>
      <c r="C24" s="404"/>
      <c r="D24" s="404"/>
      <c r="E24" s="404"/>
      <c r="F24" s="404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7"/>
      <c r="B25" s="378"/>
      <c r="C25" s="381"/>
      <c r="D25" s="340"/>
      <c r="E25" s="340"/>
      <c r="F25" s="402" t="s">
        <v>336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14" t="s">
        <v>483</v>
      </c>
      <c r="B26" s="515"/>
      <c r="C26" s="515"/>
      <c r="D26" s="515"/>
      <c r="E26" s="515"/>
      <c r="F26" s="515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8" t="s">
        <v>112</v>
      </c>
      <c r="B27" s="323"/>
      <c r="C27" s="365">
        <v>0</v>
      </c>
      <c r="D27" s="365">
        <v>250001</v>
      </c>
      <c r="E27" s="365">
        <v>400001</v>
      </c>
      <c r="F27" s="366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19" t="s">
        <v>438</v>
      </c>
      <c r="B28" s="324"/>
      <c r="C28" s="367" t="s">
        <v>111</v>
      </c>
      <c r="D28" s="367" t="s">
        <v>111</v>
      </c>
      <c r="E28" s="367" t="s">
        <v>111</v>
      </c>
      <c r="F28" s="368" t="s">
        <v>476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19"/>
      <c r="B29" s="324" t="s">
        <v>116</v>
      </c>
      <c r="C29" s="369">
        <v>250000</v>
      </c>
      <c r="D29" s="369">
        <v>400000</v>
      </c>
      <c r="E29" s="369">
        <v>1128000</v>
      </c>
      <c r="F29" s="370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0" t="s">
        <v>108</v>
      </c>
      <c r="B30" s="233"/>
      <c r="C30" s="234"/>
      <c r="D30" s="234"/>
      <c r="E30" s="240"/>
      <c r="F30" s="240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1" t="s">
        <v>115</v>
      </c>
      <c r="B31" s="401">
        <v>2005</v>
      </c>
      <c r="C31" s="235"/>
      <c r="D31" s="235"/>
      <c r="E31" s="241"/>
      <c r="F31" s="241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1" t="s">
        <v>297</v>
      </c>
      <c r="B32" s="401">
        <v>2005</v>
      </c>
      <c r="C32" s="325">
        <v>0.1312</v>
      </c>
      <c r="D32" s="325">
        <v>0.2212</v>
      </c>
      <c r="E32" s="326">
        <v>0.2212</v>
      </c>
      <c r="F32" s="326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1" t="s">
        <v>29</v>
      </c>
      <c r="B33" s="401">
        <v>2005</v>
      </c>
      <c r="C33" s="327">
        <v>0.055</v>
      </c>
      <c r="D33" s="327">
        <v>0.055</v>
      </c>
      <c r="E33" s="328">
        <v>0.0975</v>
      </c>
      <c r="F33" s="328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1" t="s">
        <v>258</v>
      </c>
      <c r="B34" s="401">
        <v>2005</v>
      </c>
      <c r="C34" s="329">
        <f>SUM(C32:C33)</f>
        <v>0.1862</v>
      </c>
      <c r="D34" s="329">
        <f>SUM(D32:D33)</f>
        <v>0.2762</v>
      </c>
      <c r="E34" s="330">
        <f>SUM(E32:E33)</f>
        <v>0.3187</v>
      </c>
      <c r="F34" s="330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1"/>
      <c r="B35" s="243"/>
      <c r="C35" s="325"/>
      <c r="D35" s="325"/>
      <c r="E35" s="326"/>
      <c r="F35" s="326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0" t="s">
        <v>109</v>
      </c>
      <c r="B36" s="401">
        <v>2005</v>
      </c>
      <c r="C36" s="331">
        <v>0.003</v>
      </c>
      <c r="D36" s="325"/>
      <c r="E36" s="326"/>
      <c r="F36" s="326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0" t="s">
        <v>110</v>
      </c>
      <c r="B37" s="401">
        <v>2005</v>
      </c>
      <c r="C37" s="332">
        <v>0.002</v>
      </c>
      <c r="D37" s="333"/>
      <c r="E37" s="334"/>
      <c r="F37" s="334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0" t="s">
        <v>113</v>
      </c>
      <c r="B38" s="401">
        <v>2005</v>
      </c>
      <c r="C38" s="333">
        <v>0.0112</v>
      </c>
      <c r="D38" s="335"/>
      <c r="E38" s="336"/>
      <c r="F38" s="336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2" t="s">
        <v>485</v>
      </c>
      <c r="B39" s="398" t="s">
        <v>481</v>
      </c>
      <c r="C39" s="359">
        <v>7500000</v>
      </c>
      <c r="D39" s="335"/>
      <c r="E39" s="336"/>
      <c r="F39" s="336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2" t="s">
        <v>486</v>
      </c>
      <c r="B40" s="399" t="s">
        <v>475</v>
      </c>
      <c r="C40" s="360">
        <v>50000000</v>
      </c>
      <c r="D40" s="337"/>
      <c r="E40" s="338"/>
      <c r="F40" s="338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0" t="s">
        <v>333</v>
      </c>
      <c r="B41" s="509"/>
      <c r="C41" s="509"/>
      <c r="D41" s="509"/>
      <c r="E41" s="509"/>
      <c r="F41" s="509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1"/>
      <c r="B42" s="511"/>
      <c r="C42" s="511"/>
      <c r="D42" s="511"/>
      <c r="E42" s="511"/>
      <c r="F42" s="511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7"/>
      <c r="B43" s="378"/>
      <c r="C43" s="379"/>
      <c r="D43" s="378"/>
      <c r="E43" s="378"/>
      <c r="F43" s="402" t="s">
        <v>337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0" t="s">
        <v>484</v>
      </c>
      <c r="B44" s="363"/>
      <c r="C44" s="364"/>
      <c r="D44" s="363"/>
      <c r="E44" s="340"/>
      <c r="F44" s="380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8" t="s">
        <v>112</v>
      </c>
      <c r="B45" s="323"/>
      <c r="C45" s="365">
        <v>0</v>
      </c>
      <c r="D45" s="365">
        <v>250001</v>
      </c>
      <c r="E45" s="365">
        <v>400001</v>
      </c>
      <c r="F45" s="366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19"/>
      <c r="B46" s="324"/>
      <c r="C46" s="367" t="s">
        <v>111</v>
      </c>
      <c r="D46" s="367" t="s">
        <v>111</v>
      </c>
      <c r="E46" s="367" t="s">
        <v>111</v>
      </c>
      <c r="F46" s="368" t="s">
        <v>476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19"/>
      <c r="B47" s="339" t="s">
        <v>116</v>
      </c>
      <c r="C47" s="369">
        <v>250000</v>
      </c>
      <c r="D47" s="369">
        <v>400000</v>
      </c>
      <c r="E47" s="369">
        <v>1128000</v>
      </c>
      <c r="F47" s="370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0" t="s">
        <v>108</v>
      </c>
      <c r="B48" s="233"/>
      <c r="C48" s="234"/>
      <c r="D48" s="234"/>
      <c r="E48" s="240"/>
      <c r="F48" s="240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1" t="s">
        <v>115</v>
      </c>
      <c r="B49" s="401">
        <v>2005</v>
      </c>
      <c r="C49" s="235"/>
      <c r="D49" s="235"/>
      <c r="E49" s="241"/>
      <c r="F49" s="241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1" t="s">
        <v>297</v>
      </c>
      <c r="B50" s="243"/>
      <c r="C50" s="349">
        <v>0.1312</v>
      </c>
      <c r="D50" s="349">
        <v>0.2212</v>
      </c>
      <c r="E50" s="350">
        <v>0.2212</v>
      </c>
      <c r="F50" s="350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1" t="s">
        <v>29</v>
      </c>
      <c r="B51" s="243"/>
      <c r="C51" s="351">
        <v>0.055</v>
      </c>
      <c r="D51" s="351">
        <v>0.055</v>
      </c>
      <c r="E51" s="352">
        <v>0.14</v>
      </c>
      <c r="F51" s="352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1" t="s">
        <v>258</v>
      </c>
      <c r="B52" s="243"/>
      <c r="C52" s="329">
        <f>SUM(C50:C51)</f>
        <v>0.1862</v>
      </c>
      <c r="D52" s="329">
        <f>SUM(D50:D51)</f>
        <v>0.2762</v>
      </c>
      <c r="E52" s="330">
        <f>SUM(E50:E51)</f>
        <v>0.3612</v>
      </c>
      <c r="F52" s="330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1"/>
      <c r="B53" s="243"/>
      <c r="C53" s="349"/>
      <c r="D53" s="349"/>
      <c r="E53" s="350"/>
      <c r="F53" s="350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0" t="s">
        <v>109</v>
      </c>
      <c r="B54" s="242"/>
      <c r="C54" s="353">
        <v>0.003</v>
      </c>
      <c r="D54" s="349"/>
      <c r="E54" s="350"/>
      <c r="F54" s="350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0" t="s">
        <v>110</v>
      </c>
      <c r="B55" s="236"/>
      <c r="C55" s="354">
        <v>0.002</v>
      </c>
      <c r="D55" s="355"/>
      <c r="E55" s="356"/>
      <c r="F55" s="356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0" t="s">
        <v>113</v>
      </c>
      <c r="B56" s="236"/>
      <c r="C56" s="355">
        <v>0.0112</v>
      </c>
      <c r="D56" s="357"/>
      <c r="E56" s="358"/>
      <c r="F56" s="358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2" t="s">
        <v>346</v>
      </c>
      <c r="B57" s="398" t="s">
        <v>481</v>
      </c>
      <c r="C57" s="359">
        <v>7487139</v>
      </c>
      <c r="D57" s="357"/>
      <c r="E57" s="358"/>
      <c r="F57" s="358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2" t="s">
        <v>347</v>
      </c>
      <c r="B58" s="399" t="s">
        <v>475</v>
      </c>
      <c r="C58" s="360">
        <v>50000000</v>
      </c>
      <c r="D58" s="361"/>
      <c r="E58" s="362"/>
      <c r="F58" s="362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08" t="s">
        <v>348</v>
      </c>
      <c r="B59" s="512"/>
      <c r="C59" s="512"/>
      <c r="D59" s="512"/>
      <c r="E59" s="512"/>
      <c r="F59" s="512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3"/>
      <c r="B60" s="513"/>
      <c r="C60" s="513"/>
      <c r="D60" s="513"/>
      <c r="E60" s="513"/>
      <c r="F60" s="513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1"/>
      <c r="B61" s="342"/>
      <c r="C61" s="342"/>
      <c r="D61" s="342"/>
      <c r="E61" s="342"/>
      <c r="F61" s="344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1"/>
      <c r="B62" s="342"/>
      <c r="C62" s="343"/>
      <c r="D62" s="343"/>
      <c r="E62" s="343"/>
      <c r="F62" s="345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1"/>
      <c r="B63" s="340"/>
      <c r="C63" s="340"/>
      <c r="D63" s="340"/>
      <c r="E63" s="340"/>
      <c r="F63" s="340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6"/>
      <c r="B64" s="347"/>
      <c r="C64" s="348"/>
      <c r="D64" s="348"/>
      <c r="E64" s="348"/>
      <c r="F64" s="348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8"/>
      <c r="C66" s="238"/>
      <c r="D66" s="238"/>
      <c r="E66" s="238"/>
      <c r="F66" s="238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8"/>
      <c r="C67" s="238"/>
      <c r="D67" s="238"/>
      <c r="E67" s="238"/>
      <c r="F67" s="238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8"/>
      <c r="C68" s="238"/>
      <c r="D68" s="238"/>
      <c r="E68" s="238"/>
      <c r="F68" s="238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8"/>
      <c r="C69" s="238"/>
      <c r="D69" s="238"/>
      <c r="E69" s="238"/>
      <c r="F69" s="238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8"/>
      <c r="C70" s="238"/>
      <c r="D70" s="238"/>
      <c r="E70" s="238"/>
      <c r="F70" s="238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8"/>
      <c r="C71" s="238"/>
      <c r="D71" s="238"/>
      <c r="E71" s="238"/>
      <c r="F71" s="238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8"/>
      <c r="C72" s="238"/>
      <c r="D72" s="238"/>
      <c r="E72" s="238"/>
      <c r="F72" s="238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8"/>
      <c r="C73" s="238"/>
      <c r="D73" s="238"/>
      <c r="E73" s="238"/>
      <c r="F73" s="238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8"/>
      <c r="C74" s="238"/>
      <c r="D74" s="238"/>
      <c r="E74" s="238"/>
      <c r="F74" s="238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8"/>
      <c r="C75" s="238"/>
      <c r="D75" s="238"/>
      <c r="E75" s="238"/>
      <c r="F75" s="238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8"/>
      <c r="C76" s="238"/>
      <c r="D76" s="238"/>
      <c r="E76" s="238"/>
      <c r="F76" s="238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8"/>
      <c r="C77" s="238"/>
      <c r="D77" s="238"/>
      <c r="E77" s="238"/>
      <c r="F77" s="238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8"/>
      <c r="C78" s="238"/>
      <c r="D78" s="238"/>
      <c r="E78" s="238"/>
      <c r="F78" s="238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8"/>
      <c r="C79" s="238"/>
      <c r="D79" s="238"/>
      <c r="E79" s="238"/>
      <c r="F79" s="238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8"/>
      <c r="C80" s="238"/>
      <c r="D80" s="238"/>
      <c r="E80" s="238"/>
      <c r="F80" s="238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8"/>
      <c r="C81" s="238"/>
      <c r="D81" s="238"/>
      <c r="E81" s="238"/>
      <c r="F81" s="238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8"/>
      <c r="C82" s="238"/>
      <c r="D82" s="238"/>
      <c r="E82" s="238"/>
      <c r="F82" s="238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8"/>
      <c r="C83" s="238"/>
      <c r="D83" s="238"/>
      <c r="E83" s="238"/>
      <c r="F83" s="238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8"/>
      <c r="C84" s="238"/>
      <c r="D84" s="238"/>
      <c r="E84" s="238"/>
      <c r="F84" s="238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8"/>
      <c r="C85" s="238"/>
      <c r="D85" s="238"/>
      <c r="E85" s="238"/>
      <c r="F85" s="238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8"/>
      <c r="C86" s="238"/>
      <c r="D86" s="238"/>
      <c r="E86" s="238"/>
      <c r="F86" s="238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8"/>
      <c r="C87" s="238"/>
      <c r="D87" s="238"/>
      <c r="E87" s="238"/>
      <c r="F87" s="238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8"/>
      <c r="C88" s="238"/>
      <c r="D88" s="238"/>
      <c r="E88" s="238"/>
      <c r="F88" s="238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8"/>
      <c r="C89" s="238"/>
      <c r="D89" s="238"/>
      <c r="E89" s="238"/>
      <c r="F89" s="238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8"/>
      <c r="C90" s="238"/>
      <c r="D90" s="238"/>
      <c r="E90" s="238"/>
      <c r="F90" s="238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8"/>
      <c r="C91" s="238"/>
      <c r="D91" s="238"/>
      <c r="E91" s="238"/>
      <c r="F91" s="238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8"/>
      <c r="C92" s="238"/>
      <c r="D92" s="238"/>
      <c r="E92" s="238"/>
      <c r="F92" s="238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8"/>
      <c r="C93" s="238"/>
      <c r="D93" s="238"/>
      <c r="E93" s="238"/>
      <c r="F93" s="238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8"/>
      <c r="C94" s="238"/>
      <c r="D94" s="238"/>
      <c r="E94" s="238"/>
      <c r="F94" s="238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8"/>
      <c r="C95" s="238"/>
      <c r="D95" s="238"/>
      <c r="E95" s="238"/>
      <c r="F95" s="238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8"/>
      <c r="C96" s="238"/>
      <c r="D96" s="238"/>
      <c r="E96" s="238"/>
      <c r="F96" s="238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8"/>
      <c r="C97" s="238"/>
      <c r="D97" s="238"/>
      <c r="E97" s="238"/>
      <c r="F97" s="238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80" zoomScaleNormal="80" workbookViewId="0" topLeftCell="A7">
      <selection activeCell="M20" sqref="M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4.140625" style="0" bestFit="1" customWidth="1"/>
    <col min="8" max="8" width="3.28125" style="0" customWidth="1"/>
    <col min="9" max="9" width="14.140625" style="0" bestFit="1" customWidth="1"/>
    <col min="10" max="10" width="3.28125" style="0" customWidth="1"/>
    <col min="11" max="11" width="14.140625" style="0" bestFit="1" customWidth="1"/>
    <col min="12" max="12" width="3.57421875" style="0" customWidth="1"/>
    <col min="13" max="13" width="12.7109375" style="0" customWidth="1"/>
    <col min="14" max="14" width="3.28125" style="0" customWidth="1"/>
    <col min="15" max="15" width="14.14062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spans="1:3" ht="27.75" customHeight="1">
      <c r="A1" s="516" t="str">
        <f>REGINFO!A1</f>
        <v>SIMPIL MODEL 
(Halton Hills Version per Board Decision in EB-2008-0381)</v>
      </c>
      <c r="B1" s="516"/>
      <c r="C1" s="516"/>
    </row>
    <row r="2" spans="1:2" ht="12.75">
      <c r="A2" s="2" t="s">
        <v>456</v>
      </c>
      <c r="B2" s="2"/>
    </row>
    <row r="3" spans="1:15" ht="12.75">
      <c r="A3" s="2" t="str">
        <f>REGINFO!A3</f>
        <v>Utility Name: HALDIMAND COUNTY HYDRO INC.</v>
      </c>
      <c r="O3" s="408" t="str">
        <f>REGINFO!E1</f>
        <v>Version 2009.1</v>
      </c>
    </row>
    <row r="4" spans="1:15" ht="12.75">
      <c r="A4" s="2" t="str">
        <f>REGINFO!A4</f>
        <v>Reporting period:  2005</v>
      </c>
      <c r="E4" s="409" t="s">
        <v>319</v>
      </c>
      <c r="F4" s="390"/>
      <c r="G4" s="390"/>
      <c r="H4" s="390"/>
      <c r="I4" s="390"/>
      <c r="O4" s="40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490">
        <v>0</v>
      </c>
      <c r="D11" s="491"/>
      <c r="E11" s="492">
        <f>C22</f>
        <v>336951</v>
      </c>
      <c r="F11" s="493"/>
      <c r="G11" s="492">
        <f>E22</f>
        <v>763071.88</v>
      </c>
      <c r="H11" s="493"/>
      <c r="I11" s="492">
        <f>G22</f>
        <v>-331102.00000000023</v>
      </c>
      <c r="J11" s="491"/>
      <c r="K11" s="492">
        <f>I22</f>
        <v>-113800.25000000023</v>
      </c>
      <c r="L11" s="491"/>
      <c r="M11" s="492">
        <f>K22</f>
        <v>779385.4416214386</v>
      </c>
      <c r="N11" s="491"/>
      <c r="O11" s="492">
        <f>C11</f>
        <v>0</v>
      </c>
    </row>
    <row r="12" spans="1:17" ht="27" customHeight="1">
      <c r="A12" s="80" t="s">
        <v>395</v>
      </c>
      <c r="B12" s="65" t="s">
        <v>189</v>
      </c>
      <c r="C12" s="494">
        <v>334927</v>
      </c>
      <c r="D12" s="495"/>
      <c r="E12" s="494">
        <v>1096347</v>
      </c>
      <c r="F12" s="496"/>
      <c r="G12" s="497">
        <f>C12+E12</f>
        <v>1431274</v>
      </c>
      <c r="H12" s="496"/>
      <c r="I12" s="497">
        <f>(E12/12*9)+(G12/12*3)</f>
        <v>1180078.75</v>
      </c>
      <c r="J12" s="495"/>
      <c r="K12" s="497">
        <f>(E12/12*3)+(TAXCALC!C95)/12*9</f>
        <v>1158572.6916214388</v>
      </c>
      <c r="L12" s="495"/>
      <c r="M12" s="497">
        <f>TAXCALC!C95/12*4</f>
        <v>393104.8629428617</v>
      </c>
      <c r="N12" s="495"/>
      <c r="O12" s="492">
        <f aca="true" t="shared" si="0" ref="O12:O20">SUM(C12:N12)</f>
        <v>5594304.3045643</v>
      </c>
      <c r="Q12" s="22"/>
    </row>
    <row r="13" spans="1:15" ht="27" customHeight="1">
      <c r="A13" s="80" t="s">
        <v>437</v>
      </c>
      <c r="B13" s="65"/>
      <c r="C13" s="494"/>
      <c r="D13" s="496"/>
      <c r="E13" s="494"/>
      <c r="F13" s="496"/>
      <c r="G13" s="494"/>
      <c r="H13" s="496"/>
      <c r="I13" s="494"/>
      <c r="J13" s="495"/>
      <c r="K13" s="494"/>
      <c r="L13" s="495"/>
      <c r="M13" s="494"/>
      <c r="N13" s="495"/>
      <c r="O13" s="492">
        <f t="shared" si="0"/>
        <v>0</v>
      </c>
    </row>
    <row r="14" spans="1:15" ht="26.25">
      <c r="A14" s="80" t="s">
        <v>396</v>
      </c>
      <c r="B14" s="65" t="s">
        <v>189</v>
      </c>
      <c r="C14" s="494"/>
      <c r="D14" s="495"/>
      <c r="E14" s="494"/>
      <c r="F14" s="496"/>
      <c r="G14" s="494"/>
      <c r="H14" s="496"/>
      <c r="I14" s="498"/>
      <c r="J14" s="495"/>
      <c r="K14" s="494"/>
      <c r="L14" s="495"/>
      <c r="M14" s="494"/>
      <c r="N14" s="495"/>
      <c r="O14" s="492">
        <f t="shared" si="0"/>
        <v>0</v>
      </c>
    </row>
    <row r="15" spans="1:15" ht="27" customHeight="1">
      <c r="A15" s="80" t="s">
        <v>397</v>
      </c>
      <c r="B15" s="65" t="s">
        <v>189</v>
      </c>
      <c r="C15" s="492"/>
      <c r="D15" s="495"/>
      <c r="E15" s="492"/>
      <c r="F15" s="499"/>
      <c r="G15" s="492">
        <v>-1103647</v>
      </c>
      <c r="H15" s="499"/>
      <c r="I15" s="492">
        <v>370214</v>
      </c>
      <c r="J15" s="499"/>
      <c r="K15" s="492">
        <v>1037278</v>
      </c>
      <c r="L15" s="499"/>
      <c r="M15" s="492">
        <f>TAXCALC!E132</f>
        <v>221698.43957420162</v>
      </c>
      <c r="N15" s="495"/>
      <c r="O15" s="492">
        <f t="shared" si="0"/>
        <v>525543.4395742016</v>
      </c>
    </row>
    <row r="16" spans="1:15" ht="27" customHeight="1">
      <c r="A16" s="80" t="s">
        <v>398</v>
      </c>
      <c r="B16" s="65"/>
      <c r="C16" s="494"/>
      <c r="D16" s="495"/>
      <c r="E16" s="494"/>
      <c r="F16" s="495"/>
      <c r="G16" s="494"/>
      <c r="H16" s="495"/>
      <c r="I16" s="494"/>
      <c r="J16" s="495"/>
      <c r="K16" s="494"/>
      <c r="L16" s="495"/>
      <c r="M16" s="494"/>
      <c r="N16" s="495"/>
      <c r="O16" s="492">
        <f t="shared" si="0"/>
        <v>0</v>
      </c>
    </row>
    <row r="17" spans="1:15" ht="27.75" customHeight="1">
      <c r="A17" s="80" t="s">
        <v>399</v>
      </c>
      <c r="B17" s="65" t="s">
        <v>189</v>
      </c>
      <c r="C17" s="492"/>
      <c r="D17" s="495"/>
      <c r="E17" s="492"/>
      <c r="F17" s="495"/>
      <c r="G17" s="492">
        <v>0</v>
      </c>
      <c r="H17" s="495"/>
      <c r="I17" s="492">
        <f>-56176</f>
        <v>-56176</v>
      </c>
      <c r="J17" s="495"/>
      <c r="K17" s="492">
        <v>-121547</v>
      </c>
      <c r="L17" s="495"/>
      <c r="M17" s="492">
        <f>TAXCALC!E181</f>
        <v>-9414.104571070757</v>
      </c>
      <c r="N17" s="495"/>
      <c r="O17" s="492">
        <f t="shared" si="0"/>
        <v>-187137.10457107075</v>
      </c>
    </row>
    <row r="18" spans="1:15" ht="26.25">
      <c r="A18" s="80" t="s">
        <v>400</v>
      </c>
      <c r="B18" s="65" t="s">
        <v>189</v>
      </c>
      <c r="C18" s="494"/>
      <c r="D18" s="495"/>
      <c r="E18" s="494"/>
      <c r="F18" s="496"/>
      <c r="G18" s="494"/>
      <c r="H18" s="496"/>
      <c r="I18" s="494"/>
      <c r="J18" s="495"/>
      <c r="K18" s="494"/>
      <c r="L18" s="495"/>
      <c r="M18" s="494"/>
      <c r="N18" s="495"/>
      <c r="O18" s="492">
        <f t="shared" si="0"/>
        <v>0</v>
      </c>
    </row>
    <row r="19" spans="1:19" ht="24" customHeight="1">
      <c r="A19" s="422" t="s">
        <v>401</v>
      </c>
      <c r="B19" s="65" t="s">
        <v>189</v>
      </c>
      <c r="C19" s="494">
        <v>2024</v>
      </c>
      <c r="D19" s="495"/>
      <c r="E19" s="494">
        <v>47824</v>
      </c>
      <c r="F19" s="496"/>
      <c r="G19" s="494">
        <v>10329</v>
      </c>
      <c r="H19" s="496"/>
      <c r="I19" s="494">
        <v>-21439</v>
      </c>
      <c r="J19" s="495"/>
      <c r="K19" s="494">
        <v>19939</v>
      </c>
      <c r="L19" s="495"/>
      <c r="M19" s="494">
        <v>40076</v>
      </c>
      <c r="N19" s="495"/>
      <c r="O19" s="492">
        <f t="shared" si="0"/>
        <v>98753</v>
      </c>
      <c r="S19" s="496"/>
    </row>
    <row r="20" spans="1:19" ht="24.75" customHeight="1">
      <c r="A20" s="80" t="s">
        <v>467</v>
      </c>
      <c r="B20" s="65" t="s">
        <v>187</v>
      </c>
      <c r="C20" s="494">
        <v>0</v>
      </c>
      <c r="D20" s="495"/>
      <c r="E20" s="494">
        <f>-168466.38-549583.74</f>
        <v>-718050.12</v>
      </c>
      <c r="F20" s="496"/>
      <c r="G20" s="494">
        <f>-335992.26-1096137.62</f>
        <v>-1432129.8800000001</v>
      </c>
      <c r="H20" s="496"/>
      <c r="I20" s="494">
        <v>-1255376</v>
      </c>
      <c r="J20" s="495"/>
      <c r="K20" s="494">
        <v>-1201057</v>
      </c>
      <c r="L20" s="495"/>
      <c r="M20" s="494">
        <v>-517856</v>
      </c>
      <c r="N20" s="495"/>
      <c r="O20" s="492">
        <f t="shared" si="0"/>
        <v>-5124469</v>
      </c>
      <c r="Q20" s="480"/>
      <c r="S20" s="496"/>
    </row>
    <row r="21" spans="1:15" ht="12.75">
      <c r="A21" s="64"/>
      <c r="C21" s="495"/>
      <c r="D21" s="496"/>
      <c r="E21" s="495"/>
      <c r="F21" s="496"/>
      <c r="G21" s="495"/>
      <c r="H21" s="496"/>
      <c r="I21" s="495"/>
      <c r="J21" s="495"/>
      <c r="K21" s="495"/>
      <c r="L21" s="495"/>
      <c r="M21" s="495"/>
      <c r="N21" s="495"/>
      <c r="O21" s="493"/>
    </row>
    <row r="22" spans="1:19" ht="13.5" thickBot="1">
      <c r="A22" s="80" t="s">
        <v>371</v>
      </c>
      <c r="B22" s="34"/>
      <c r="C22" s="500">
        <f>SUM(C11:C20)</f>
        <v>336951</v>
      </c>
      <c r="D22" s="493"/>
      <c r="E22" s="500">
        <f>SUM(E11:E20)</f>
        <v>763071.88</v>
      </c>
      <c r="F22" s="493"/>
      <c r="G22" s="500">
        <f>SUM(G11:G20)</f>
        <v>-331102.00000000023</v>
      </c>
      <c r="H22" s="493"/>
      <c r="I22" s="500">
        <f>SUM(I11:I20)</f>
        <v>-113800.25000000023</v>
      </c>
      <c r="J22" s="491"/>
      <c r="K22" s="500">
        <f>SUM(K11:K20)</f>
        <v>779385.4416214386</v>
      </c>
      <c r="L22" s="491"/>
      <c r="M22" s="500">
        <f>SUM(M11:M21)</f>
        <v>906994.6395674311</v>
      </c>
      <c r="N22" s="491"/>
      <c r="O22" s="501">
        <f>SUM(O11:O20)</f>
        <v>906994.6395674311</v>
      </c>
      <c r="Q22" s="505">
        <f>O22-O19</f>
        <v>808241.6395674311</v>
      </c>
      <c r="S22" s="22"/>
    </row>
    <row r="23" spans="1:15" ht="13.5" thickTop="1">
      <c r="A23" s="423"/>
      <c r="B23" s="424"/>
      <c r="C23" s="430"/>
      <c r="D23" s="431"/>
      <c r="E23" s="430"/>
      <c r="F23" s="431"/>
      <c r="G23" s="430"/>
      <c r="H23" s="431"/>
      <c r="I23" s="430"/>
      <c r="J23" s="424"/>
      <c r="K23" s="430"/>
      <c r="L23" s="187"/>
      <c r="M23" s="432"/>
      <c r="N23" s="187"/>
      <c r="O23" s="432"/>
    </row>
    <row r="24" spans="1:15" ht="12.75">
      <c r="A24" s="445"/>
      <c r="B24" s="446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8"/>
    </row>
    <row r="25" spans="1:15" ht="12.75">
      <c r="A25" s="423"/>
      <c r="B25" s="424"/>
      <c r="C25" s="449"/>
      <c r="D25" s="449"/>
      <c r="E25" s="449"/>
      <c r="F25" s="449"/>
      <c r="G25" s="449"/>
      <c r="H25" s="449"/>
      <c r="I25" s="449"/>
      <c r="J25" s="450"/>
      <c r="K25" s="449"/>
      <c r="L25" s="451"/>
      <c r="M25" s="452"/>
      <c r="N25" s="451"/>
      <c r="O25" s="452"/>
    </row>
    <row r="26" spans="1:15" ht="12.75">
      <c r="A26" s="423" t="s">
        <v>402</v>
      </c>
      <c r="B26" s="424"/>
      <c r="C26" s="449"/>
      <c r="D26" s="449"/>
      <c r="E26" s="449"/>
      <c r="F26" s="449"/>
      <c r="G26" s="449"/>
      <c r="H26" s="449"/>
      <c r="I26" s="449"/>
      <c r="J26" s="450"/>
      <c r="K26" s="449"/>
      <c r="L26" s="451"/>
      <c r="M26" s="452"/>
      <c r="N26" s="451"/>
      <c r="O26" s="452"/>
    </row>
    <row r="27" spans="1:15" ht="9" customHeight="1">
      <c r="A27" s="423"/>
      <c r="B27" s="424"/>
      <c r="C27" s="424"/>
      <c r="D27" s="424"/>
      <c r="E27" s="424"/>
      <c r="F27" s="424"/>
      <c r="G27" s="424"/>
      <c r="H27" s="424"/>
      <c r="I27" s="424"/>
      <c r="J27" s="424"/>
      <c r="K27" s="425"/>
      <c r="L27" s="187"/>
      <c r="M27" s="187"/>
      <c r="N27" s="187"/>
      <c r="O27" s="187"/>
    </row>
    <row r="28" spans="1:15" ht="12.75">
      <c r="A28" s="423" t="s">
        <v>403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187"/>
      <c r="M28" s="187"/>
      <c r="N28" s="187"/>
      <c r="O28" s="187"/>
    </row>
    <row r="29" spans="1:15" ht="12.75">
      <c r="A29" s="426" t="s">
        <v>404</v>
      </c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187"/>
      <c r="M29" s="187"/>
      <c r="N29" s="187"/>
      <c r="O29" s="187"/>
    </row>
    <row r="30" spans="1:15" ht="9" customHeight="1">
      <c r="A30" s="187"/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187"/>
      <c r="M30" s="187"/>
      <c r="N30" s="187"/>
      <c r="O30" s="187"/>
    </row>
    <row r="31" spans="1:15" ht="12.75">
      <c r="A31" s="440" t="s">
        <v>405</v>
      </c>
      <c r="B31" s="79"/>
      <c r="C31" s="79"/>
      <c r="D31" s="79"/>
      <c r="E31" s="79"/>
      <c r="F31" s="79"/>
      <c r="G31" s="79"/>
      <c r="H31" s="79"/>
      <c r="I31" s="437"/>
      <c r="J31" s="437"/>
      <c r="K31" s="437"/>
      <c r="L31" s="437"/>
      <c r="M31" s="437"/>
      <c r="N31" s="437"/>
      <c r="O31" s="437"/>
    </row>
    <row r="32" spans="1:15" ht="9" customHeight="1">
      <c r="A32" s="441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</row>
    <row r="33" spans="1:19" ht="12.75">
      <c r="A33" s="518" t="s">
        <v>406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410"/>
      <c r="Q33" s="410"/>
      <c r="R33" s="410"/>
      <c r="S33" s="410"/>
    </row>
    <row r="34" spans="1:19" ht="12.75">
      <c r="A34" s="517" t="s">
        <v>407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410"/>
      <c r="Q34" s="410"/>
      <c r="R34" s="410"/>
      <c r="S34" s="410"/>
    </row>
    <row r="35" spans="1:19" ht="12.75">
      <c r="A35" s="517" t="s">
        <v>428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410"/>
      <c r="Q35" s="410"/>
      <c r="R35" s="410"/>
      <c r="S35" s="410"/>
    </row>
    <row r="36" spans="1:19" ht="12.75">
      <c r="A36" s="517" t="s">
        <v>408</v>
      </c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410"/>
      <c r="Q36" s="410"/>
      <c r="R36" s="410"/>
      <c r="S36" s="410"/>
    </row>
    <row r="37" spans="1:19" ht="12.75">
      <c r="A37" s="427" t="s">
        <v>368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10"/>
      <c r="Q37" s="410"/>
      <c r="R37" s="410"/>
      <c r="S37" s="410"/>
    </row>
    <row r="38" spans="1:19" ht="12.75">
      <c r="A38" s="427" t="s">
        <v>369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10"/>
      <c r="Q38" s="410"/>
      <c r="R38" s="410"/>
      <c r="S38" s="410"/>
    </row>
    <row r="39" spans="1:19" ht="12.75">
      <c r="A39" s="427" t="s">
        <v>409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10"/>
      <c r="Q39" s="410"/>
      <c r="R39" s="410"/>
      <c r="S39" s="410"/>
    </row>
    <row r="40" spans="1:19" ht="12.75">
      <c r="A40" s="427" t="s">
        <v>410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10"/>
      <c r="Q40" s="410"/>
      <c r="R40" s="410"/>
      <c r="S40" s="410"/>
    </row>
    <row r="41" spans="2:19" ht="9" customHeight="1"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10"/>
      <c r="Q41" s="410"/>
      <c r="R41" s="410"/>
      <c r="S41" s="410"/>
    </row>
    <row r="42" spans="1:15" ht="12.75">
      <c r="A42" s="429" t="s">
        <v>411</v>
      </c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187"/>
      <c r="M42" s="187"/>
      <c r="N42" s="187"/>
      <c r="O42" s="187"/>
    </row>
    <row r="43" spans="1:15" ht="12.75">
      <c r="A43" s="424" t="s">
        <v>412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187"/>
      <c r="M43" s="187"/>
      <c r="N43" s="187"/>
      <c r="O43" s="187"/>
    </row>
    <row r="44" spans="1:15" ht="9" customHeight="1">
      <c r="A44" s="424"/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187"/>
      <c r="M44" s="187"/>
      <c r="N44" s="187"/>
      <c r="O44" s="187"/>
    </row>
    <row r="45" spans="1:15" ht="12.75">
      <c r="A45" s="429" t="s">
        <v>413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187"/>
      <c r="M45" s="187"/>
      <c r="N45" s="187"/>
      <c r="O45" s="187"/>
    </row>
    <row r="46" spans="1:15" ht="12.75">
      <c r="A46" s="424" t="s">
        <v>414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187"/>
      <c r="M46" s="187"/>
      <c r="N46" s="187"/>
      <c r="O46" s="187"/>
    </row>
    <row r="47" spans="1:15" ht="9" customHeight="1">
      <c r="A47" s="424"/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187"/>
      <c r="M47" s="187"/>
      <c r="N47" s="187"/>
      <c r="O47" s="187"/>
    </row>
    <row r="48" spans="1:15" ht="12.75">
      <c r="A48" s="429" t="s">
        <v>415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187"/>
      <c r="M48" s="187"/>
      <c r="N48" s="187"/>
      <c r="O48" s="187"/>
    </row>
    <row r="49" spans="1:15" ht="12.75">
      <c r="A49" s="424" t="s">
        <v>416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187"/>
      <c r="M49" s="187"/>
      <c r="N49" s="187"/>
      <c r="O49" s="187"/>
    </row>
    <row r="50" spans="1:15" ht="9" customHeight="1">
      <c r="A50" s="424"/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187"/>
      <c r="M50" s="187"/>
      <c r="N50" s="187"/>
      <c r="O50" s="187"/>
    </row>
    <row r="51" spans="1:15" ht="12.75">
      <c r="A51" s="429" t="s">
        <v>417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187"/>
      <c r="M51" s="187"/>
      <c r="N51" s="187"/>
      <c r="O51" s="187"/>
    </row>
    <row r="52" spans="1:15" ht="12.75">
      <c r="A52" s="424" t="s">
        <v>414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187"/>
      <c r="M52" s="187"/>
      <c r="N52" s="187"/>
      <c r="O52" s="187"/>
    </row>
    <row r="53" spans="1:15" ht="9" customHeight="1">
      <c r="A53" s="429"/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187"/>
      <c r="M53" s="187"/>
      <c r="N53" s="187"/>
      <c r="O53" s="187"/>
    </row>
    <row r="54" spans="1:15" ht="12.75">
      <c r="A54" s="424" t="s">
        <v>418</v>
      </c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187"/>
      <c r="M54" s="187"/>
      <c r="N54" s="187"/>
      <c r="O54" s="187"/>
    </row>
    <row r="55" spans="1:15" ht="9" customHeight="1">
      <c r="A55" s="424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187"/>
      <c r="M55" s="187"/>
      <c r="N55" s="187"/>
      <c r="O55" s="187"/>
    </row>
    <row r="56" spans="1:15" ht="12.75" customHeight="1">
      <c r="A56" s="429" t="s">
        <v>419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187"/>
      <c r="M56" s="187"/>
      <c r="N56" s="187"/>
      <c r="O56" s="187"/>
    </row>
    <row r="57" spans="1:15" ht="9" customHeight="1">
      <c r="A57" s="424"/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187"/>
      <c r="M57" s="187"/>
      <c r="N57" s="187"/>
      <c r="O57" s="187"/>
    </row>
    <row r="58" spans="1:15" ht="12.75">
      <c r="A58" s="424" t="s">
        <v>420</v>
      </c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187"/>
      <c r="M58" s="187"/>
      <c r="N58" s="187"/>
      <c r="O58" s="187"/>
    </row>
    <row r="59" spans="1:15" ht="12.75">
      <c r="A59" s="424" t="s">
        <v>421</v>
      </c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187"/>
      <c r="M59" s="187"/>
      <c r="N59" s="187"/>
      <c r="O59" s="187"/>
    </row>
    <row r="60" spans="1:15" ht="12.75">
      <c r="A60" s="424" t="s">
        <v>422</v>
      </c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187"/>
      <c r="M60" s="187"/>
      <c r="N60" s="187"/>
      <c r="O60" s="187"/>
    </row>
    <row r="61" spans="1:15" ht="12.75">
      <c r="A61" s="424" t="s">
        <v>378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187"/>
      <c r="M61" s="187"/>
      <c r="N61" s="187"/>
      <c r="O61" s="187"/>
    </row>
    <row r="62" spans="1:15" ht="9" customHeight="1">
      <c r="A62" s="424"/>
      <c r="B62" s="424"/>
      <c r="C62" s="424"/>
      <c r="D62" s="424"/>
      <c r="E62" s="424"/>
      <c r="F62" s="424"/>
      <c r="G62" s="424"/>
      <c r="H62" s="424"/>
      <c r="I62" s="424"/>
      <c r="J62" s="424"/>
      <c r="K62" s="424"/>
      <c r="L62" s="187"/>
      <c r="M62" s="187"/>
      <c r="N62" s="187"/>
      <c r="O62" s="187"/>
    </row>
    <row r="63" spans="1:15" ht="12.75">
      <c r="A63" s="424" t="s">
        <v>423</v>
      </c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187"/>
      <c r="M63" s="187"/>
      <c r="N63" s="187"/>
      <c r="O63" s="187"/>
    </row>
    <row r="64" spans="1:15" ht="12.75">
      <c r="A64" s="424" t="s">
        <v>424</v>
      </c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187"/>
      <c r="M64" s="187"/>
      <c r="N64" s="187"/>
      <c r="O64" s="187"/>
    </row>
    <row r="65" spans="1:15" ht="12.75">
      <c r="A65" s="424" t="s">
        <v>380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187"/>
      <c r="M65" s="187"/>
      <c r="N65" s="187"/>
      <c r="O65" s="187"/>
    </row>
    <row r="66" spans="1:15" ht="3.75" customHeight="1">
      <c r="A66" s="424"/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187"/>
      <c r="M66" s="187"/>
      <c r="N66" s="187"/>
      <c r="O66" s="187"/>
    </row>
    <row r="67" spans="1:15" ht="12.75">
      <c r="A67" s="424" t="s">
        <v>379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187"/>
      <c r="M67" s="187"/>
      <c r="N67" s="187"/>
      <c r="O67" s="187"/>
    </row>
    <row r="68" spans="1:15" ht="12.75">
      <c r="A68" s="424" t="s">
        <v>381</v>
      </c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187"/>
      <c r="M68" s="187"/>
      <c r="N68" s="187"/>
      <c r="O68" s="187"/>
    </row>
    <row r="69" spans="1:15" ht="3.75" customHeight="1">
      <c r="A69" s="424"/>
      <c r="B69" s="424"/>
      <c r="C69" s="424"/>
      <c r="D69" s="424"/>
      <c r="E69" s="424"/>
      <c r="F69" s="424"/>
      <c r="G69" s="424"/>
      <c r="H69" s="424"/>
      <c r="I69" s="424"/>
      <c r="J69" s="424"/>
      <c r="K69" s="424"/>
      <c r="L69" s="187"/>
      <c r="M69" s="187"/>
      <c r="N69" s="187"/>
      <c r="O69" s="187"/>
    </row>
    <row r="70" spans="1:15" ht="12.75">
      <c r="A70" s="424" t="s">
        <v>425</v>
      </c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187"/>
      <c r="M70" s="187"/>
      <c r="N70" s="187"/>
      <c r="O70" s="187"/>
    </row>
    <row r="71" spans="1:15" ht="12.75">
      <c r="A71" s="424" t="s">
        <v>426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4"/>
      <c r="L71" s="187"/>
      <c r="M71" s="187"/>
      <c r="N71" s="187"/>
      <c r="O71" s="187"/>
    </row>
    <row r="72" spans="1:15" ht="12.75">
      <c r="A72" s="424" t="s">
        <v>427</v>
      </c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187"/>
      <c r="M72" s="187"/>
      <c r="N72" s="187"/>
      <c r="O72" s="187"/>
    </row>
    <row r="73" spans="1:15" ht="9" customHeight="1">
      <c r="A73" s="424"/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187"/>
      <c r="M73" s="187"/>
      <c r="N73" s="187"/>
      <c r="O73" s="187"/>
    </row>
    <row r="74" spans="1:15" ht="12.75" customHeight="1">
      <c r="A74" s="517" t="s">
        <v>457</v>
      </c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</row>
    <row r="75" spans="1:15" ht="12.75">
      <c r="A75" s="424" t="s">
        <v>370</v>
      </c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187"/>
      <c r="M75" s="187"/>
      <c r="N75" s="187"/>
      <c r="O75" s="187"/>
    </row>
    <row r="76" spans="1:15" ht="12.75">
      <c r="A76" s="187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187"/>
      <c r="M76" s="187"/>
      <c r="N76" s="187"/>
      <c r="O76" s="187"/>
    </row>
    <row r="77" spans="1:15" ht="12.75">
      <c r="A77" s="187"/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187"/>
      <c r="M77" s="187"/>
      <c r="N77" s="187"/>
      <c r="O77" s="187"/>
    </row>
    <row r="78" spans="1:17" ht="12.75">
      <c r="A78" s="187"/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187"/>
      <c r="O78" s="187"/>
      <c r="P78" s="187"/>
      <c r="Q78" s="187"/>
    </row>
    <row r="79" spans="1:17" ht="12.75">
      <c r="A79" s="187"/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187"/>
      <c r="O79" s="187"/>
      <c r="P79" s="187"/>
      <c r="Q79" s="187"/>
    </row>
    <row r="80" spans="1:17" ht="12.75">
      <c r="A80" s="187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187"/>
      <c r="O80" s="187"/>
      <c r="P80" s="187"/>
      <c r="Q80" s="187"/>
    </row>
    <row r="81" spans="1:17" ht="12.75">
      <c r="A81" s="424"/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187"/>
      <c r="O81" s="187"/>
      <c r="P81" s="187"/>
      <c r="Q81" s="187"/>
    </row>
    <row r="82" spans="1:17" ht="12.75">
      <c r="A82" s="187"/>
      <c r="B82" s="187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187"/>
      <c r="O82" s="187"/>
      <c r="P82" s="187"/>
      <c r="Q82" s="187"/>
    </row>
    <row r="83" spans="1:17" ht="12.75">
      <c r="A83" s="187"/>
      <c r="B83" s="187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187"/>
      <c r="O83" s="187"/>
      <c r="P83" s="187"/>
      <c r="Q83" s="187"/>
    </row>
    <row r="84" spans="1:17" ht="12.75">
      <c r="A84" s="424"/>
      <c r="B84" s="424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187"/>
      <c r="O84" s="187"/>
      <c r="P84" s="187"/>
      <c r="Q84" s="187"/>
    </row>
    <row r="85" spans="1:17" ht="12.75">
      <c r="A85" s="187"/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187"/>
      <c r="O85" s="187"/>
      <c r="P85" s="187"/>
      <c r="Q85" s="187"/>
    </row>
    <row r="86" spans="1:17" ht="12.75">
      <c r="A86" s="187"/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187"/>
      <c r="O86" s="187"/>
      <c r="P86" s="187"/>
      <c r="Q86" s="187"/>
    </row>
    <row r="87" spans="1:17" ht="12.75">
      <c r="A87" s="187"/>
      <c r="B87" s="187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187"/>
      <c r="O87" s="187"/>
      <c r="P87" s="187"/>
      <c r="Q87" s="187"/>
    </row>
    <row r="88" spans="1:17" ht="12.75">
      <c r="A88" s="187"/>
      <c r="B88" s="187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187"/>
      <c r="O88" s="187"/>
      <c r="P88" s="187"/>
      <c r="Q88" s="187"/>
    </row>
    <row r="89" spans="1:17" ht="12.75">
      <c r="A89" s="187"/>
      <c r="B89" s="187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187"/>
      <c r="O89" s="187"/>
      <c r="P89" s="187"/>
      <c r="Q89" s="187"/>
    </row>
    <row r="90" spans="1:17" ht="12.75">
      <c r="A90" s="187"/>
      <c r="B90" s="187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187"/>
      <c r="O90" s="187"/>
      <c r="P90" s="187"/>
      <c r="Q90" s="187"/>
    </row>
    <row r="91" spans="1:17" ht="12.75">
      <c r="A91" s="187"/>
      <c r="B91" s="187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187"/>
      <c r="O91" s="187"/>
      <c r="P91" s="187"/>
      <c r="Q91" s="187"/>
    </row>
    <row r="92" spans="1:17" ht="12.75">
      <c r="A92" s="187"/>
      <c r="B92" s="187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</row>
    <row r="93" spans="1:17" ht="12.75">
      <c r="A93" s="187"/>
      <c r="B93" s="187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7">
    <mergeCell ref="A1:C1"/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Jackie Scott</cp:lastModifiedBy>
  <cp:lastPrinted>2011-09-27T13:39:49Z</cp:lastPrinted>
  <dcterms:created xsi:type="dcterms:W3CDTF">2001-11-07T16:15:53Z</dcterms:created>
  <dcterms:modified xsi:type="dcterms:W3CDTF">2011-09-28T19:57:25Z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