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448" windowWidth="15456" windowHeight="5496" tabRatio="835" activeTab="2"/>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1B. 2005 Rate Schedule Request" sheetId="13" r:id="rId13"/>
    <sheet name="12. Current Rates" sheetId="14" r:id="rId14"/>
    <sheet name="13. Bill Impact" sheetId="15" r:id="rId15"/>
  </sheets>
  <definedNames>
    <definedName name="MofF">#REF!</definedName>
    <definedName name="_xlnm.Print_Area" localSheetId="1">'1. 2002 Base Rate Schedule'!$A$1:$F$80</definedName>
    <definedName name="_xlnm.Print_Area" localSheetId="10">'10. Rate Rider Calculations'!$A$1:$I$30</definedName>
    <definedName name="_xlnm.Print_Area" localSheetId="11">'11. 2005 Final Rate Schedule '!$A$1:$H$66</definedName>
    <definedName name="_xlnm.Print_Area" localSheetId="12">'11B. 2005 Rate Schedule Request'!$A$1:$H$87</definedName>
    <definedName name="_xlnm.Print_Area" localSheetId="13">'12. Current Rates'!$A$1:$E$103</definedName>
    <definedName name="_xlnm.Print_Area" localSheetId="14">'13. Bill Impact'!$A$1:$N$462</definedName>
    <definedName name="_xlnm.Print_Area" localSheetId="2">'2. Adding Final 3rd MARR'!$A$1:$G$226</definedName>
    <definedName name="_xlnm.Print_Area" localSheetId="3">'3. 2005 Base Rate Schedule'!$A$1:$D$75</definedName>
    <definedName name="_xlnm.Print_Area" localSheetId="4">'4. 2003 Data &amp; 2005 PILs'!$A$1:$G$193</definedName>
    <definedName name="_xlnm.Print_Area" localSheetId="5">'5. 2005 Rate Sch. with PILs'!$A$1:$D$75</definedName>
    <definedName name="_xlnm.Print_Area" localSheetId="6">'6. Dec. 31, 2003 Reg. Assets'!$A$1:$E$91</definedName>
    <definedName name="_xlnm.Print_Area" localSheetId="7">'7. 2003 Data &amp; add RSVA'!$A$1:$G$208</definedName>
    <definedName name="_xlnm.Print_Area" localSheetId="8">'8. 2003 Data &amp; Non-RSVA'!$A$1:$G$192</definedName>
    <definedName name="_xlnm.Print_Area" localSheetId="9">'9. 2005 Rate Sch. Reg. Assets'!$A$1:$F$76</definedName>
    <definedName name="_xlnm.Print_Titles" localSheetId="1">'1. 2002 Base Rate Schedule'!$1:$2</definedName>
    <definedName name="_xlnm.Print_Titles" localSheetId="11">'11. 2005 Final Rate Schedule '!$1:$6</definedName>
    <definedName name="_xlnm.Print_Titles" localSheetId="12">'11B. 2005 Rate Schedule Request'!$1:$6</definedName>
    <definedName name="_xlnm.Print_Titles" localSheetId="13">'12. Current Rates'!$1:$2</definedName>
    <definedName name="_xlnm.Print_Titles" localSheetId="14">'13.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Schedule'!$A$1:$F$58</definedName>
    <definedName name="Z_477CBB84_252C_49CD_9E74_12C31D6E2152_.wvu.PrintArea" localSheetId="10" hidden="1">'10. Rate Rider Calculations'!$A$1:$I$25</definedName>
    <definedName name="Z_477CBB84_252C_49CD_9E74_12C31D6E2152_.wvu.PrintArea" localSheetId="11" hidden="1">'11. 2005 Final Rate Schedule '!$A$1:$H$49</definedName>
    <definedName name="Z_477CBB84_252C_49CD_9E74_12C31D6E2152_.wvu.PrintArea" localSheetId="12" hidden="1">'11B. 2005 Rate Schedule Request'!$A$1:$H$48</definedName>
    <definedName name="Z_477CBB84_252C_49CD_9E74_12C31D6E2152_.wvu.PrintArea" localSheetId="13" hidden="1">'12. Current Rates'!$A$1:$D$57</definedName>
    <definedName name="Z_477CBB84_252C_49CD_9E74_12C31D6E2152_.wvu.PrintArea" localSheetId="14" hidden="1">'13. Bill Impact'!$A$1:$N$236</definedName>
    <definedName name="Z_477CBB84_252C_49CD_9E74_12C31D6E2152_.wvu.PrintArea" localSheetId="2" hidden="1">'2. Adding Final 3rd MARR'!$A$1:$G$172</definedName>
    <definedName name="Z_477CBB84_252C_49CD_9E74_12C31D6E2152_.wvu.PrintArea" localSheetId="3" hidden="1">'3. 2005 Base Rate Schedule'!$A$1:$D$53</definedName>
    <definedName name="Z_477CBB84_252C_49CD_9E74_12C31D6E2152_.wvu.PrintArea" localSheetId="5" hidden="1">'5. 2005 Rate Sch. with PILs'!$A$1:$D$57</definedName>
    <definedName name="Z_477CBB84_252C_49CD_9E74_12C31D6E2152_.wvu.PrintArea" localSheetId="6" hidden="1">'6. Dec. 31, 2003 Reg. Assets'!$A$1:$D$91</definedName>
    <definedName name="Z_477CBB84_252C_49CD_9E74_12C31D6E2152_.wvu.PrintArea" localSheetId="7" hidden="1">'7. 2003 Data &amp; add RSVA'!$A$1:$G$139</definedName>
    <definedName name="Z_477CBB84_252C_49CD_9E74_12C31D6E2152_.wvu.PrintArea" localSheetId="9" hidden="1">'9. 2005 Rate Sch. Reg. Assets'!$A$1:$F$54</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'11B. 2005 Rate Schedule Request'!$1:$6</definedName>
    <definedName name="Z_477CBB84_252C_49CD_9E74_12C31D6E2152_.wvu.PrintTitles" localSheetId="13" hidden="1">'12. Current Rates'!$1:$2</definedName>
    <definedName name="Z_477CBB84_252C_49CD_9E74_12C31D6E2152_.wvu.PrintTitles" localSheetId="14"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<sst xmlns="http://schemas.openxmlformats.org/spreadsheetml/2006/main" count="1757" uniqueCount="249">
  <si>
    <t>DISTRIBUTION KWH RATE</t>
  </si>
  <si>
    <t>DISTRIBUTION KW RATE</t>
  </si>
  <si>
    <t>GENERAL SERVICE &gt; 50 KW (TIME OF USE)</t>
  </si>
  <si>
    <t>SENTINEL LIGHTS (NON TIME OF USE)</t>
  </si>
  <si>
    <t>STREET LIGHTING  (NON TIME OF USE)</t>
  </si>
  <si>
    <t>kW</t>
  </si>
  <si>
    <t>kWh</t>
  </si>
  <si>
    <t>Distribution Revenues</t>
  </si>
  <si>
    <t>TOTALS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</si>
  <si>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</si>
  <si>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</si>
  <si>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</si>
  <si>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</si>
  <si>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</si>
  <si>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</si>
  <si>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</si>
  <si>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</si>
  <si>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</si>
  <si>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(per kW)</t>
  </si>
  <si>
    <t>GENERAL SERVICE &gt; 50 KW (Time of Use)</t>
  </si>
  <si>
    <t>SENTINEL LIGHTS (Non Time of Use)</t>
  </si>
  <si>
    <t>STREET LIGHTING (Non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</si>
  <si>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</si>
  <si>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</si>
  <si>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</si>
  <si>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</si>
  <si>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</si>
  <si>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</si>
  <si>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</si>
  <si>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</si>
  <si>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</si>
  <si>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</si>
  <si>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</si>
  <si>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</si>
  <si>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</si>
  <si>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</si>
  <si>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</si>
  <si>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</si>
  <si>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</si>
  <si>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</si>
  <si>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</si>
  <si>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</si>
  <si>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</si>
  <si>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</si>
  <si>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</si>
  <si>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</si>
  <si>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</si>
  <si>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</si>
  <si>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</si>
  <si>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</si>
  <si>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</si>
  <si>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</si>
  <si>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</si>
  <si>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</si>
  <si>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</si>
  <si>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</si>
  <si>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</si>
  <si>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</si>
  <si>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</si>
  <si>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</si>
  <si>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</si>
  <si>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</si>
  <si>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</si>
  <si>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</si>
  <si>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</si>
  <si>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</si>
  <si>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</si>
  <si>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</si>
  <si>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</si>
  <si>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</si>
  <si>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</si>
  <si>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</si>
  <si>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</si>
  <si>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Current 2005 Bill</t>
  </si>
  <si>
    <t>Adjusted 2006 BILL</t>
  </si>
  <si>
    <t>kW/ kWh</t>
  </si>
  <si>
    <t>RATE                             $/kW or $/kWh</t>
  </si>
  <si>
    <t>Distribution (kW)</t>
  </si>
  <si>
    <t>Other Charges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</si>
  <si>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</si>
  <si>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</si>
  <si>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</si>
  <si>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</si>
  <si>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</si>
  <si>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</si>
  <si>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</si>
  <si>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</si>
  <si>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</si>
  <si>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</si>
  <si>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</si>
  <si>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</si>
  <si>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</si>
  <si>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</si>
  <si>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</si>
  <si>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Street Lighting Class</t>
  </si>
  <si>
    <t>General Service &gt; 50 KW (Time of Use)</t>
  </si>
  <si>
    <t>Sentinel Lights (Non-Time of Use)</t>
  </si>
  <si>
    <t>Street Lighting (Non-Time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</si>
  <si>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</si>
  <si>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</si>
  <si>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</si>
  <si>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</si>
  <si>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</si>
  <si>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</si>
  <si>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</si>
  <si>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</si>
  <si>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</si>
  <si>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</si>
  <si>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</si>
  <si>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</si>
  <si>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</si>
  <si>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</si>
  <si>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</si>
  <si>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</si>
  <si>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</si>
  <si>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</si>
  <si>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</si>
  <si>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</si>
  <si>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</si>
  <si>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</si>
  <si>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</si>
  <si>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</si>
  <si>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</si>
  <si>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</si>
  <si>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</si>
  <si>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</si>
  <si>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</si>
  <si>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</si>
  <si>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</si>
  <si>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</si>
  <si>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</si>
  <si>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</si>
  <si>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</si>
  <si>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</si>
  <si>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</si>
  <si>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</si>
  <si>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</si>
  <si>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</si>
  <si>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</si>
  <si>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</si>
  <si>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</si>
  <si>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</si>
  <si>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</si>
  <si>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</si>
  <si>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</si>
  <si>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</si>
  <si>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</si>
  <si>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</si>
  <si>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</si>
  <si>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</si>
  <si>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</si>
  <si>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</si>
  <si>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</si>
  <si>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</si>
  <si>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</si>
  <si>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</si>
  <si>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</si>
  <si>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</si>
  <si>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</si>
  <si>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</si>
  <si>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</si>
  <si>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</si>
  <si>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</si>
  <si>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</si>
  <si>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</si>
  <si>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</si>
  <si>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</si>
  <si>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</si>
  <si>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</si>
  <si>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</si>
  <si>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</si>
  <si>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</si>
  <si>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</si>
  <si>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</si>
  <si>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</si>
  <si>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</si>
  <si>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</si>
  <si>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</si>
  <si>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</si>
  <si>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</si>
  <si>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</si>
  <si>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</si>
  <si>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</si>
  <si>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</si>
  <si>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</si>
  <si>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</si>
  <si>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</si>
  <si>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</si>
  <si>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</si>
  <si>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</si>
  <si>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</si>
  <si>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</si>
  <si>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</si>
  <si>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</si>
  <si>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</si>
  <si>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RESIDENTIAL URBAN</t>
  </si>
  <si>
    <t>RESIDENTIAL SUBURBAN</t>
  </si>
  <si>
    <t>GENERAL SERVICE SUBURBAN &lt; 50 KW</t>
  </si>
  <si>
    <t>GENERAL SERVICE SUBURBAN &gt; 50 KW (NON TIME OF USE)</t>
  </si>
  <si>
    <t>GENERAL SERVICE URBAN &lt; 50 KW</t>
  </si>
  <si>
    <t>GENERAL SERVICE URBAN &gt; 50 KW (NON TIME OF USE)</t>
  </si>
  <si>
    <t>Residential Class URBAN</t>
  </si>
  <si>
    <t>General Service URBAN &lt; 50 KW Class</t>
  </si>
  <si>
    <t>General Service URBAN &gt; 50 KW Non-Time of Use</t>
  </si>
  <si>
    <t>Residential Class SUBURBAN</t>
  </si>
  <si>
    <t>General Service SUBURBAN &lt; 50 KW Class</t>
  </si>
  <si>
    <t>General Service SUBURBAN &gt; 50 KW Non-Time of Use</t>
  </si>
  <si>
    <t>Residential Class SUBURBAN SEASONAL</t>
  </si>
  <si>
    <t>Residential URBAN Class</t>
  </si>
  <si>
    <t>General Service URBAN &lt; 50 kW Class</t>
  </si>
  <si>
    <t>General Service URBAN &gt; 50 kW Class (Non-Time of Use)</t>
  </si>
  <si>
    <t>Residential SUBURBAN Class</t>
  </si>
  <si>
    <t>General Service SUBURBAN &lt; 50 kW Class</t>
  </si>
  <si>
    <t>General Service SUBURBAN &gt; 50 kW Class (Non-Time of Use)</t>
  </si>
  <si>
    <t>Residential SUBURBAN SEASONALClass</t>
  </si>
  <si>
    <t>General Service URBAN &lt; 50 KW</t>
  </si>
  <si>
    <t>General Service URBAN &gt; 50 KW (Non-Time of Use)</t>
  </si>
  <si>
    <t>General Service SUBURBAN &lt; 50 KW</t>
  </si>
  <si>
    <t>General Service SUBURBAN &gt; 50 KW (Non-Time of Use)</t>
  </si>
  <si>
    <t>GENERAL SERVICE URBAN &gt; 50 KW (Non Time of Use)</t>
  </si>
  <si>
    <t>GENERAL SERVICE SUBURBAN &gt; 50 KW (Non Time of Use)</t>
  </si>
  <si>
    <t>RESIDENTIAL URBAN CLASS</t>
  </si>
  <si>
    <t>GENERAL SERVICE URBAN &gt; 50 KW to 3000 KW</t>
  </si>
  <si>
    <t>RESIDENTIAL SUBURBAN CLASS</t>
  </si>
  <si>
    <t>GENERAL SERVICE SUBURBAN &gt; 50 KW to 3000 KW</t>
  </si>
  <si>
    <t>RP-2005-0013</t>
  </si>
  <si>
    <t>EB-2005-0034</t>
  </si>
  <si>
    <t>ED-2002-0539</t>
  </si>
  <si>
    <t>Haldimand County Hydro Inc.</t>
  </si>
  <si>
    <t>-</t>
  </si>
  <si>
    <t>SPECIFIC SERVICE CHARGES</t>
  </si>
  <si>
    <t>Customer Administration</t>
  </si>
  <si>
    <t>Account set-up Charge</t>
  </si>
  <si>
    <t>Arrears Certificate</t>
  </si>
  <si>
    <t>Non-payment of account</t>
  </si>
  <si>
    <t>Late Penalty (Overdue Account Interest Charge) on unpaid balance</t>
  </si>
  <si>
    <t>(per annum)</t>
  </si>
  <si>
    <t>Returned Cheque - Actual Bank Charges plus</t>
  </si>
  <si>
    <t>Collection of Account Charge</t>
  </si>
  <si>
    <t>Disconnect/Reconnect Charges (non payment of account)</t>
  </si>
  <si>
    <t>During Regular Hours</t>
  </si>
  <si>
    <t>During After Hours</t>
  </si>
  <si>
    <t>Credits</t>
  </si>
  <si>
    <t xml:space="preserve">Transformer ownership allowance(for connections prior to Jan 1, 2001) </t>
  </si>
  <si>
    <t>per kW</t>
  </si>
  <si>
    <t>905-765-5211</t>
  </si>
  <si>
    <t>jscott@hchydro.ca</t>
  </si>
  <si>
    <t>January 14, 2005</t>
  </si>
  <si>
    <t>Jacqueline Scott - Finance Manager</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</si>
</sst>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s>
  <fonts count="84">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medium"/>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75"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6"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7" fillId="0" borderId="3" applyNumberFormat="0" applyFill="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78" fillId="30" borderId="1" applyNumberFormat="0" applyAlignment="0" applyProtection="0"/>
    <xf numFmtId="0" fontId="79" fillId="0" borderId="4" applyNumberFormat="0" applyFill="0" applyAlignment="0" applyProtection="0"/>
    <xf numFmtId="0" fontId="80" fillId="31" borderId="0" applyNumberFormat="0" applyBorder="0" applyAlignment="0" applyProtection="0"/>
    <xf numFmtId="0" fontId="0" fillId="32" borderId="5" applyNumberFormat="0" applyFont="0" applyAlignment="0" applyProtection="0"/>
    <xf numFmtId="0" fontId="81" fillId="27" borderId="6"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0" fillId="0" borderId="7" applyNumberFormat="0" applyFont="0" applyBorder="0" applyAlignment="0" applyProtection="0"/>
    <xf numFmtId="0" fontId="83" fillId="0" borderId="0" applyNumberFormat="0" applyFill="0" applyBorder="0" applyAlignment="0" applyProtection="0"/>
  </cellStyleXfs>
  <cellXfs count="631">
    <xf numFmtId="0" fontId="0" fillId="0" borderId="0" xfId="0" applyAlignment="1">
      <alignment/>
    </xf>
    <xf numFmtId="0" fontId="3" fillId="0" borderId="0" xfId="0" applyFont="1" applyAlignment="1">
      <alignment/>
    </xf>
    <xf numFmtId="0" fontId="0" fillId="0" borderId="0" xfId="0" applyAlignment="1" quotePrefix="1">
      <alignment/>
    </xf>
    <xf numFmtId="170" fontId="0" fillId="0" borderId="0" xfId="45" applyFill="1" applyAlignment="1">
      <alignment/>
    </xf>
    <xf numFmtId="170" fontId="0" fillId="0" borderId="0" xfId="45" applyAlignment="1">
      <alignment/>
    </xf>
    <xf numFmtId="0" fontId="11" fillId="0" borderId="0" xfId="0" applyFont="1" applyAlignment="1">
      <alignment/>
    </xf>
    <xf numFmtId="170"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70"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170"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70" fontId="0" fillId="33" borderId="0" xfId="45" applyFont="1" applyFill="1" applyBorder="1" applyAlignment="1">
      <alignment/>
    </xf>
    <xf numFmtId="170"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7" fontId="0" fillId="33" borderId="0" xfId="45" applyNumberFormat="1" applyFont="1" applyFill="1" applyBorder="1" applyAlignment="1">
      <alignment horizontal="right"/>
    </xf>
    <xf numFmtId="166" fontId="0" fillId="33" borderId="0" xfId="45" applyNumberFormat="1" applyFont="1" applyFill="1" applyAlignment="1">
      <alignment/>
    </xf>
    <xf numFmtId="37" fontId="0" fillId="33" borderId="0" xfId="45" applyNumberFormat="1" applyFont="1" applyFill="1" applyAlignment="1">
      <alignment horizontal="center"/>
    </xf>
    <xf numFmtId="166" fontId="0" fillId="33" borderId="0" xfId="45" applyNumberFormat="1" applyFont="1" applyFill="1" applyBorder="1" applyAlignment="1">
      <alignment/>
    </xf>
    <xf numFmtId="173" fontId="0" fillId="33" borderId="0" xfId="42" applyNumberFormat="1" applyFont="1" applyFill="1" applyBorder="1" applyAlignment="1">
      <alignment/>
    </xf>
    <xf numFmtId="171" fontId="0" fillId="33" borderId="0" xfId="42" applyFont="1" applyFill="1" applyBorder="1" applyAlignment="1">
      <alignment/>
    </xf>
    <xf numFmtId="171"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70"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70"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170"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66" fontId="3" fillId="33" borderId="0" xfId="42" applyNumberFormat="1" applyFont="1" applyFill="1" applyBorder="1" applyAlignment="1">
      <alignment/>
    </xf>
    <xf numFmtId="171"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70"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70"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170"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70" fontId="0" fillId="33" borderId="37" xfId="47" applyFill="1" applyBorder="1" applyAlignment="1">
      <alignment/>
    </xf>
    <xf numFmtId="183" fontId="3" fillId="34" borderId="38" xfId="0" applyNumberFormat="1" applyFont="1" applyFill="1" applyBorder="1" applyAlignment="1">
      <alignment/>
    </xf>
    <xf numFmtId="170" fontId="3" fillId="34" borderId="39" xfId="47" applyFont="1" applyFill="1" applyBorder="1" applyAlignment="1">
      <alignment vertical="center"/>
    </xf>
    <xf numFmtId="170" fontId="3" fillId="34" borderId="40" xfId="47" applyFont="1" applyFill="1" applyBorder="1" applyAlignment="1">
      <alignment/>
    </xf>
    <xf numFmtId="170"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170" fontId="0" fillId="0" borderId="42" xfId="47" applyBorder="1" applyAlignment="1">
      <alignment vertical="center"/>
    </xf>
    <xf numFmtId="182" fontId="0" fillId="33" borderId="41" xfId="47" applyNumberFormat="1" applyFill="1" applyBorder="1" applyAlignment="1">
      <alignment/>
    </xf>
    <xf numFmtId="170"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170"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70" fontId="3" fillId="34" borderId="39" xfId="47" applyFont="1" applyFill="1" applyBorder="1" applyAlignment="1">
      <alignment/>
    </xf>
    <xf numFmtId="0" fontId="0" fillId="37" borderId="48" xfId="0" applyFill="1" applyBorder="1" applyAlignment="1">
      <alignment/>
    </xf>
    <xf numFmtId="170"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70" fontId="0" fillId="33" borderId="0" xfId="47" applyFont="1" applyFill="1" applyAlignment="1">
      <alignment/>
    </xf>
    <xf numFmtId="170" fontId="0" fillId="33" borderId="0" xfId="47" applyFill="1" applyAlignment="1">
      <alignment/>
    </xf>
    <xf numFmtId="170"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70"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170"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70" fontId="3" fillId="33" borderId="49" xfId="47" applyFont="1" applyFill="1" applyBorder="1" applyAlignment="1">
      <alignment vertical="center"/>
    </xf>
    <xf numFmtId="3" fontId="0" fillId="33" borderId="33" xfId="0" applyNumberFormat="1" applyFill="1" applyBorder="1" applyAlignment="1">
      <alignment vertical="center"/>
    </xf>
    <xf numFmtId="182" fontId="3" fillId="33" borderId="34" xfId="47" applyNumberFormat="1" applyFont="1" applyFill="1" applyBorder="1" applyAlignment="1">
      <alignment vertical="center"/>
    </xf>
    <xf numFmtId="170" fontId="0" fillId="33" borderId="37" xfId="47" applyFill="1" applyBorder="1" applyAlignment="1">
      <alignment vertical="center"/>
    </xf>
    <xf numFmtId="182" fontId="0" fillId="33" borderId="41" xfId="47" applyNumberFormat="1" applyFill="1" applyBorder="1" applyAlignment="1">
      <alignment vertical="center"/>
    </xf>
    <xf numFmtId="170" fontId="0" fillId="33" borderId="43" xfId="47" applyFill="1" applyBorder="1" applyAlignment="1">
      <alignment vertical="center"/>
    </xf>
    <xf numFmtId="170"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170" fontId="0" fillId="33" borderId="47" xfId="47" applyFill="1" applyBorder="1" applyAlignment="1">
      <alignment vertical="center"/>
    </xf>
    <xf numFmtId="172" fontId="0" fillId="33" borderId="0" xfId="0" applyNumberFormat="1" applyFill="1" applyAlignment="1">
      <alignment/>
    </xf>
    <xf numFmtId="0" fontId="8" fillId="33" borderId="0" xfId="0" applyFont="1" applyFill="1" applyBorder="1" applyAlignment="1">
      <alignment/>
    </xf>
    <xf numFmtId="10" fontId="3" fillId="36" borderId="14" xfId="0" applyNumberFormat="1" applyFont="1" applyFill="1" applyBorder="1" applyAlignment="1">
      <alignment/>
    </xf>
    <xf numFmtId="4" fontId="0" fillId="33" borderId="33" xfId="0" applyNumberFormat="1" applyFill="1" applyBorder="1" applyAlignment="1">
      <alignment vertical="center"/>
    </xf>
    <xf numFmtId="170" fontId="0" fillId="33" borderId="9" xfId="45" applyFill="1" applyBorder="1" applyAlignment="1">
      <alignment/>
    </xf>
    <xf numFmtId="170" fontId="0" fillId="35" borderId="9" xfId="45" applyFill="1" applyBorder="1" applyAlignment="1">
      <alignment/>
    </xf>
    <xf numFmtId="170"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170" fontId="0" fillId="33" borderId="16" xfId="45" applyFill="1" applyBorder="1" applyAlignment="1">
      <alignment/>
    </xf>
    <xf numFmtId="166"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66"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171" fontId="0" fillId="33" borderId="0" xfId="42" applyFill="1" applyBorder="1" applyAlignment="1">
      <alignment/>
    </xf>
    <xf numFmtId="170" fontId="0" fillId="33" borderId="0" xfId="45" applyFill="1" applyBorder="1" applyAlignment="1">
      <alignment horizontal="right"/>
    </xf>
    <xf numFmtId="171"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70"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70" fontId="0" fillId="33" borderId="9" xfId="45" applyFont="1" applyFill="1" applyBorder="1" applyAlignment="1">
      <alignment/>
    </xf>
    <xf numFmtId="0" fontId="0" fillId="33" borderId="0" xfId="0" applyFont="1" applyFill="1" applyBorder="1" applyAlignment="1">
      <alignment/>
    </xf>
    <xf numFmtId="170"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2" fillId="33" borderId="12" xfId="0" applyFont="1" applyFill="1" applyBorder="1" applyAlignment="1" applyProtection="1">
      <alignment/>
      <protection locked="0"/>
    </xf>
    <xf numFmtId="0" fontId="11" fillId="33" borderId="13" xfId="0" applyFont="1" applyFill="1" applyBorder="1" applyAlignment="1">
      <alignment horizontal="left"/>
    </xf>
    <xf numFmtId="0" fontId="2" fillId="33" borderId="15" xfId="0" applyFont="1" applyFill="1" applyBorder="1" applyAlignment="1" applyProtection="1">
      <alignment/>
      <protection locked="0"/>
    </xf>
    <xf numFmtId="0" fontId="2" fillId="33" borderId="15" xfId="0" applyFont="1" applyFill="1" applyBorder="1" applyAlignment="1">
      <alignment/>
    </xf>
    <xf numFmtId="0" fontId="2" fillId="33" borderId="17" xfId="0" applyFont="1" applyFill="1" applyBorder="1" applyAlignment="1">
      <alignment/>
    </xf>
    <xf numFmtId="15" fontId="0" fillId="33" borderId="18" xfId="0" applyNumberFormat="1" applyFill="1" applyBorder="1" applyAlignment="1">
      <alignment horizontal="lef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7" fillId="33" borderId="0" xfId="0" applyFont="1" applyFill="1" applyAlignment="1">
      <alignment horizontal="center"/>
    </xf>
    <xf numFmtId="0" fontId="49" fillId="33" borderId="0" xfId="0" applyFont="1" applyFill="1" applyAlignment="1">
      <alignment/>
    </xf>
    <xf numFmtId="0" fontId="25" fillId="33" borderId="0" xfId="0" applyFont="1" applyFill="1" applyAlignment="1">
      <alignment/>
    </xf>
    <xf numFmtId="0" fontId="50" fillId="33" borderId="9" xfId="0" applyFont="1" applyFill="1" applyBorder="1" applyAlignment="1">
      <alignment horizontal="left"/>
    </xf>
    <xf numFmtId="0" fontId="39" fillId="33" borderId="9" xfId="0" applyFont="1" applyFill="1" applyBorder="1" applyAlignment="1" quotePrefix="1">
      <alignment/>
    </xf>
    <xf numFmtId="170" fontId="39" fillId="33" borderId="9" xfId="45" applyFont="1" applyFill="1" applyBorder="1" applyAlignment="1">
      <alignment/>
    </xf>
    <xf numFmtId="0" fontId="39" fillId="33" borderId="9" xfId="0" applyFont="1" applyFill="1" applyBorder="1" applyAlignment="1">
      <alignment/>
    </xf>
    <xf numFmtId="170"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0" fontId="26" fillId="33" borderId="54" xfId="0" applyFont="1" applyFill="1" applyBorder="1" applyAlignment="1">
      <alignment horizontal="left" indent="2"/>
    </xf>
    <xf numFmtId="187" fontId="11" fillId="33" borderId="16" xfId="0" applyNumberFormat="1" applyFont="1" applyFill="1" applyBorder="1" applyAlignment="1">
      <alignment horizontal="right"/>
    </xf>
    <xf numFmtId="0" fontId="8" fillId="33" borderId="55" xfId="0" applyFont="1" applyFill="1" applyBorder="1" applyAlignment="1">
      <alignment/>
    </xf>
    <xf numFmtId="0" fontId="8" fillId="33" borderId="55" xfId="0" applyNumberFormat="1" applyFont="1" applyFill="1" applyBorder="1" applyAlignment="1">
      <alignment/>
    </xf>
    <xf numFmtId="176" fontId="33" fillId="33" borderId="55" xfId="0" applyNumberFormat="1" applyFont="1" applyFill="1" applyBorder="1" applyAlignment="1">
      <alignment/>
    </xf>
    <xf numFmtId="177" fontId="8" fillId="33" borderId="55" xfId="0" applyNumberFormat="1" applyFont="1" applyFill="1" applyBorder="1" applyAlignment="1">
      <alignment/>
    </xf>
    <xf numFmtId="0" fontId="11" fillId="33" borderId="55" xfId="0" applyFont="1" applyFill="1" applyBorder="1" applyAlignment="1">
      <alignment/>
    </xf>
    <xf numFmtId="0" fontId="11" fillId="33" borderId="55" xfId="0" applyNumberFormat="1" applyFont="1" applyFill="1" applyBorder="1" applyAlignment="1">
      <alignment/>
    </xf>
    <xf numFmtId="176" fontId="34" fillId="33" borderId="55" xfId="0" applyNumberFormat="1" applyFont="1" applyFill="1" applyBorder="1" applyAlignment="1">
      <alignment/>
    </xf>
    <xf numFmtId="177" fontId="11" fillId="33" borderId="55" xfId="0" applyNumberFormat="1" applyFont="1" applyFill="1" applyBorder="1" applyAlignment="1">
      <alignment/>
    </xf>
    <xf numFmtId="0" fontId="51" fillId="33" borderId="0" xfId="0" applyFont="1" applyFill="1" applyAlignment="1">
      <alignment/>
    </xf>
    <xf numFmtId="170" fontId="3" fillId="35" borderId="9" xfId="45" applyFont="1" applyFill="1" applyBorder="1" applyAlignment="1">
      <alignment horizontal="center"/>
    </xf>
    <xf numFmtId="0" fontId="8" fillId="33" borderId="8" xfId="0" applyFont="1" applyFill="1" applyBorder="1" applyAlignment="1">
      <alignment horizontal="left"/>
    </xf>
    <xf numFmtId="170" fontId="0" fillId="33" borderId="8" xfId="45" applyFill="1" applyBorder="1" applyAlignment="1">
      <alignment/>
    </xf>
    <xf numFmtId="170" fontId="3" fillId="33" borderId="8" xfId="45" applyFont="1" applyFill="1" applyBorder="1" applyAlignment="1">
      <alignment horizontal="center"/>
    </xf>
    <xf numFmtId="170" fontId="0" fillId="0" borderId="37" xfId="47" applyBorder="1" applyAlignment="1">
      <alignment vertical="center"/>
    </xf>
    <xf numFmtId="0" fontId="0" fillId="33" borderId="56" xfId="0" applyFont="1" applyFill="1" applyBorder="1" applyAlignment="1">
      <alignment horizontal="center" wrapText="1"/>
    </xf>
    <xf numFmtId="183" fontId="0" fillId="0" borderId="46" xfId="0" applyNumberFormat="1" applyBorder="1" applyAlignment="1">
      <alignment vertical="center"/>
    </xf>
    <xf numFmtId="170"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0" fontId="26" fillId="33" borderId="0" xfId="0" applyFont="1" applyFill="1" applyAlignment="1">
      <alignment horizontal="center"/>
    </xf>
    <xf numFmtId="170" fontId="3" fillId="34" borderId="40" xfId="47" applyFont="1" applyFill="1" applyBorder="1" applyAlignment="1">
      <alignment vertical="center"/>
    </xf>
    <xf numFmtId="170" fontId="0" fillId="0" borderId="43" xfId="47" applyBorder="1" applyAlignment="1">
      <alignment vertical="center"/>
    </xf>
    <xf numFmtId="3" fontId="0" fillId="33" borderId="33" xfId="0" applyNumberFormat="1" applyFill="1" applyBorder="1" applyAlignment="1">
      <alignment/>
    </xf>
    <xf numFmtId="3" fontId="0" fillId="33" borderId="57"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200" fontId="0" fillId="33" borderId="0" xfId="0" applyNumberFormat="1" applyFill="1" applyAlignment="1">
      <alignment horizontal="center"/>
    </xf>
    <xf numFmtId="170" fontId="3" fillId="34" borderId="9" xfId="45" applyFont="1" applyFill="1" applyBorder="1" applyAlignment="1">
      <alignment/>
    </xf>
    <xf numFmtId="0" fontId="33" fillId="33" borderId="0" xfId="0" applyFont="1" applyFill="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2"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13" xfId="0" applyFont="1" applyFill="1" applyBorder="1" applyAlignment="1">
      <alignment horizontal="left"/>
    </xf>
    <xf numFmtId="0" fontId="1" fillId="33" borderId="0" xfId="0" applyFont="1" applyFill="1" applyBorder="1" applyAlignment="1">
      <alignment horizontal="left"/>
    </xf>
    <xf numFmtId="0" fontId="1" fillId="33" borderId="0" xfId="0" applyFont="1" applyFill="1" applyBorder="1" applyAlignment="1">
      <alignmen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6" xfId="0" applyNumberFormat="1" applyFont="1" applyFill="1" applyBorder="1" applyAlignment="1">
      <alignment/>
    </xf>
    <xf numFmtId="187" fontId="0" fillId="33" borderId="58"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8"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8"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13" xfId="0" applyFont="1" applyFill="1" applyBorder="1" applyAlignment="1">
      <alignment horizontal="left"/>
    </xf>
    <xf numFmtId="0" fontId="44" fillId="33" borderId="13" xfId="0" applyFont="1" applyFill="1" applyBorder="1" applyAlignment="1">
      <alignment horizontal="lef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3" xfId="0" applyFont="1" applyFill="1" applyBorder="1" applyAlignment="1">
      <alignment/>
    </xf>
    <xf numFmtId="0" fontId="5" fillId="33" borderId="16" xfId="0" applyFont="1" applyFill="1" applyBorder="1" applyAlignment="1">
      <alignment/>
    </xf>
    <xf numFmtId="0" fontId="5" fillId="33" borderId="19" xfId="0" applyFont="1" applyFill="1" applyBorder="1" applyAlignment="1">
      <alignment/>
    </xf>
    <xf numFmtId="0" fontId="54"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2" fillId="33" borderId="13" xfId="0" applyFont="1" applyFill="1" applyBorder="1" applyAlignment="1">
      <alignment horizontal="left"/>
    </xf>
    <xf numFmtId="0" fontId="2" fillId="33" borderId="13" xfId="0" applyFont="1" applyFill="1" applyBorder="1" applyAlignment="1" applyProtection="1">
      <alignment/>
      <protection locked="0"/>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187" fontId="0" fillId="39" borderId="9" xfId="0" applyNumberFormat="1" applyFont="1" applyFill="1" applyBorder="1" applyAlignment="1">
      <alignment horizontal="center"/>
    </xf>
    <xf numFmtId="188" fontId="0" fillId="39" borderId="9" xfId="0" applyNumberFormat="1" applyFont="1" applyFill="1" applyBorder="1" applyAlignment="1">
      <alignment horizontal="center" wrapText="1"/>
    </xf>
    <xf numFmtId="176" fontId="0" fillId="39" borderId="9" xfId="0" applyNumberFormat="1" applyFill="1" applyBorder="1" applyAlignment="1">
      <alignment/>
    </xf>
    <xf numFmtId="177" fontId="0" fillId="39" borderId="9" xfId="0" applyNumberFormat="1" applyFill="1" applyBorder="1" applyAlignment="1">
      <alignment/>
    </xf>
    <xf numFmtId="0" fontId="10" fillId="33" borderId="0" xfId="0" applyFont="1" applyFill="1" applyAlignment="1">
      <alignment horizontal="left"/>
    </xf>
    <xf numFmtId="188" fontId="3" fillId="39" borderId="9" xfId="0" applyNumberFormat="1" applyFont="1" applyFill="1" applyBorder="1" applyAlignment="1">
      <alignment horizontal="center" wrapText="1"/>
    </xf>
    <xf numFmtId="176" fontId="0" fillId="0" borderId="0" xfId="0" applyNumberFormat="1" applyFill="1" applyAlignment="1">
      <alignment/>
    </xf>
    <xf numFmtId="0" fontId="0" fillId="39" borderId="9" xfId="0" applyFont="1" applyFill="1" applyBorder="1" applyAlignment="1">
      <alignment/>
    </xf>
    <xf numFmtId="176" fontId="0" fillId="39" borderId="0" xfId="0" applyNumberFormat="1" applyFill="1" applyAlignment="1">
      <alignment/>
    </xf>
    <xf numFmtId="177" fontId="0" fillId="39" borderId="0" xfId="0" applyNumberFormat="1" applyFill="1" applyAlignment="1">
      <alignment/>
    </xf>
    <xf numFmtId="0" fontId="3" fillId="33" borderId="12" xfId="0" applyFont="1" applyFill="1" applyBorder="1" applyAlignment="1">
      <alignment/>
    </xf>
    <xf numFmtId="0" fontId="11" fillId="33" borderId="13" xfId="0" applyFont="1" applyFill="1" applyBorder="1" applyAlignment="1">
      <alignment/>
    </xf>
    <xf numFmtId="176" fontId="11" fillId="35" borderId="25" xfId="0" applyNumberFormat="1" applyFont="1" applyFill="1" applyBorder="1" applyAlignment="1">
      <alignment/>
    </xf>
    <xf numFmtId="177" fontId="0" fillId="39" borderId="0" xfId="0" applyNumberFormat="1" applyFill="1" applyAlignment="1">
      <alignment horizontal="center"/>
    </xf>
    <xf numFmtId="176" fontId="0" fillId="39" borderId="0" xfId="0" applyNumberFormat="1" applyFill="1" applyAlignment="1">
      <alignment horizontal="center"/>
    </xf>
    <xf numFmtId="203" fontId="3" fillId="39" borderId="34" xfId="0" applyNumberFormat="1" applyFont="1" applyFill="1" applyBorder="1" applyAlignment="1">
      <alignment vertical="center"/>
    </xf>
    <xf numFmtId="170" fontId="3" fillId="39" borderId="49" xfId="47" applyFont="1" applyFill="1" applyBorder="1" applyAlignment="1">
      <alignment vertical="center"/>
    </xf>
    <xf numFmtId="203" fontId="3" fillId="39" borderId="34" xfId="47" applyNumberFormat="1" applyFont="1" applyFill="1" applyBorder="1" applyAlignment="1">
      <alignment vertical="center"/>
    </xf>
    <xf numFmtId="170" fontId="3" fillId="39" borderId="49" xfId="45" applyFont="1" applyFill="1" applyBorder="1" applyAlignment="1">
      <alignment vertical="center"/>
    </xf>
    <xf numFmtId="182" fontId="3" fillId="39" borderId="34" xfId="47" applyNumberFormat="1" applyFont="1" applyFill="1" applyBorder="1" applyAlignment="1">
      <alignment/>
    </xf>
    <xf numFmtId="170" fontId="3" fillId="39" borderId="49" xfId="47" applyFont="1" applyFill="1" applyBorder="1" applyAlignment="1">
      <alignment/>
    </xf>
    <xf numFmtId="203" fontId="3" fillId="39" borderId="34" xfId="47" applyNumberFormat="1" applyFont="1" applyFill="1" applyBorder="1" applyAlignment="1">
      <alignment/>
    </xf>
    <xf numFmtId="176" fontId="3" fillId="39" borderId="34" xfId="47" applyNumberFormat="1" applyFont="1" applyFill="1" applyBorder="1" applyAlignment="1">
      <alignment/>
    </xf>
    <xf numFmtId="176" fontId="3" fillId="39" borderId="34" xfId="0" applyNumberFormat="1" applyFont="1" applyFill="1" applyBorder="1" applyAlignment="1">
      <alignment vertical="center"/>
    </xf>
    <xf numFmtId="170" fontId="3" fillId="39" borderId="30" xfId="47" applyFont="1" applyFill="1" applyBorder="1" applyAlignment="1">
      <alignment vertical="center"/>
    </xf>
    <xf numFmtId="176" fontId="3" fillId="39" borderId="34" xfId="47" applyNumberFormat="1" applyFont="1" applyFill="1" applyBorder="1" applyAlignment="1">
      <alignment vertical="center"/>
    </xf>
    <xf numFmtId="182" fontId="3" fillId="39" borderId="34" xfId="47" applyNumberFormat="1" applyFont="1" applyFill="1" applyBorder="1" applyAlignment="1">
      <alignment vertical="center"/>
    </xf>
    <xf numFmtId="10" fontId="0" fillId="40" borderId="0" xfId="45" applyNumberFormat="1" applyFill="1" applyBorder="1" applyAlignment="1">
      <alignment horizontal="right"/>
    </xf>
    <xf numFmtId="171" fontId="3" fillId="40" borderId="0" xfId="42" applyNumberFormat="1" applyFont="1" applyFill="1" applyBorder="1" applyAlignment="1">
      <alignment horizontal="right"/>
    </xf>
    <xf numFmtId="184" fontId="0" fillId="40" borderId="0" xfId="45" applyNumberFormat="1" applyFill="1" applyBorder="1" applyAlignment="1">
      <alignment horizontal="right"/>
    </xf>
    <xf numFmtId="0" fontId="3" fillId="34" borderId="9" xfId="0" applyFont="1" applyFill="1" applyBorder="1" applyAlignment="1">
      <alignment/>
    </xf>
    <xf numFmtId="188" fontId="3" fillId="34" borderId="9" xfId="0" applyNumberFormat="1" applyFont="1" applyFill="1" applyBorder="1" applyAlignment="1">
      <alignment horizontal="center" wrapText="1"/>
    </xf>
    <xf numFmtId="0" fontId="0" fillId="34" borderId="9" xfId="0" applyFont="1" applyFill="1" applyBorder="1" applyAlignment="1">
      <alignment/>
    </xf>
    <xf numFmtId="188" fontId="0" fillId="34" borderId="9" xfId="0" applyNumberFormat="1" applyFont="1" applyFill="1" applyBorder="1" applyAlignment="1">
      <alignment horizontal="center" wrapText="1"/>
    </xf>
    <xf numFmtId="0" fontId="3" fillId="0" borderId="0" xfId="0" applyFont="1" applyBorder="1" applyAlignment="1">
      <alignment/>
    </xf>
    <xf numFmtId="0" fontId="0" fillId="0" borderId="0" xfId="0" applyFont="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10" fillId="0" borderId="0" xfId="0" applyFont="1" applyBorder="1" applyAlignment="1">
      <alignment/>
    </xf>
    <xf numFmtId="176" fontId="5" fillId="0" borderId="0" xfId="0" applyNumberFormat="1" applyFont="1" applyBorder="1" applyAlignment="1">
      <alignment/>
    </xf>
    <xf numFmtId="177" fontId="5" fillId="0" borderId="0" xfId="0" applyNumberFormat="1" applyFont="1" applyBorder="1" applyAlignment="1">
      <alignment/>
    </xf>
    <xf numFmtId="0" fontId="0" fillId="0" borderId="0" xfId="0" applyBorder="1" applyAlignment="1">
      <alignment/>
    </xf>
    <xf numFmtId="178" fontId="5" fillId="0" borderId="0" xfId="0" applyNumberFormat="1" applyFont="1" applyBorder="1" applyAlignment="1">
      <alignment/>
    </xf>
    <xf numFmtId="0" fontId="5" fillId="0" borderId="0" xfId="0" applyFont="1" applyBorder="1" applyAlignment="1">
      <alignment/>
    </xf>
    <xf numFmtId="170" fontId="0" fillId="0" borderId="0" xfId="45" applyBorder="1" applyAlignment="1">
      <alignment/>
    </xf>
    <xf numFmtId="170" fontId="0" fillId="0" borderId="0" xfId="45" applyFont="1" applyBorder="1" applyAlignment="1">
      <alignment/>
    </xf>
    <xf numFmtId="10" fontId="0" fillId="0" borderId="0" xfId="45" applyNumberFormat="1" applyBorder="1" applyAlignment="1">
      <alignment/>
    </xf>
    <xf numFmtId="0" fontId="0" fillId="0" borderId="0" xfId="0" applyFont="1" applyBorder="1" applyAlignment="1">
      <alignment horizontal="right"/>
    </xf>
    <xf numFmtId="0" fontId="0" fillId="0" borderId="0" xfId="0" applyBorder="1" applyAlignment="1">
      <alignment horizontal="right"/>
    </xf>
    <xf numFmtId="184" fontId="0" fillId="0" borderId="0" xfId="64" applyNumberFormat="1" applyFill="1" applyBorder="1" applyAlignment="1">
      <alignment horizontal="right"/>
    </xf>
    <xf numFmtId="10" fontId="0" fillId="0" borderId="0" xfId="64" applyNumberFormat="1" applyFill="1" applyBorder="1" applyAlignment="1">
      <alignment/>
    </xf>
    <xf numFmtId="0" fontId="0" fillId="0" borderId="0" xfId="0" applyFill="1" applyBorder="1" applyAlignment="1">
      <alignment/>
    </xf>
    <xf numFmtId="0" fontId="0" fillId="0" borderId="0" xfId="0" applyFill="1" applyAlignment="1">
      <alignment/>
    </xf>
    <xf numFmtId="167" fontId="11" fillId="35" borderId="33" xfId="0" applyNumberFormat="1" applyFont="1" applyFill="1" applyBorder="1" applyAlignment="1">
      <alignment/>
    </xf>
    <xf numFmtId="0" fontId="11" fillId="35" borderId="33" xfId="0" applyFont="1" applyFill="1" applyBorder="1" applyAlignment="1">
      <alignment/>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48"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53" fillId="33" borderId="13" xfId="0" applyFont="1" applyFill="1" applyBorder="1" applyAlignment="1">
      <alignment horizontal="left" vertical="center"/>
    </xf>
    <xf numFmtId="15" fontId="54" fillId="33" borderId="0" xfId="58" applyNumberFormat="1" applyFont="1" applyFill="1" applyBorder="1" applyAlignment="1" applyProtection="1">
      <alignment horizontal="left"/>
      <protection/>
    </xf>
    <xf numFmtId="0" fontId="21" fillId="33" borderId="0" xfId="0" applyFont="1" applyFill="1" applyBorder="1" applyAlignment="1">
      <alignment horizontal="right"/>
    </xf>
    <xf numFmtId="0" fontId="21" fillId="33" borderId="59" xfId="0" applyFont="1" applyFill="1" applyBorder="1" applyAlignment="1">
      <alignment horizontal="right"/>
    </xf>
    <xf numFmtId="0" fontId="8" fillId="33" borderId="9" xfId="0" applyFont="1" applyFill="1" applyBorder="1" applyAlignment="1">
      <alignment horizontal="left"/>
    </xf>
    <xf numFmtId="15" fontId="15" fillId="33" borderId="0" xfId="58" applyNumberFormat="1" applyFont="1" applyFill="1" applyBorder="1" applyAlignment="1" applyProtection="1">
      <alignment horizontal="left"/>
      <protection/>
    </xf>
    <xf numFmtId="0" fontId="18" fillId="33" borderId="0" xfId="0" applyFont="1" applyFill="1" applyBorder="1" applyAlignment="1">
      <alignment horizontal="right"/>
    </xf>
    <xf numFmtId="0" fontId="18" fillId="33" borderId="59"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8" fillId="33" borderId="53"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28" fillId="41"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2" fillId="33" borderId="15" xfId="0" applyFont="1" applyFill="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50" fillId="33" borderId="0" xfId="0" applyFont="1" applyFill="1" applyAlignment="1">
      <alignment horizontal="left" vertical="center" wrapText="1"/>
    </xf>
    <xf numFmtId="0" fontId="2" fillId="33" borderId="0" xfId="0" applyFont="1" applyFill="1" applyAlignment="1">
      <alignment horizontal="center"/>
    </xf>
    <xf numFmtId="0" fontId="26" fillId="33" borderId="0" xfId="0" applyFont="1" applyFill="1" applyAlignment="1">
      <alignment horizontal="center"/>
    </xf>
    <xf numFmtId="0" fontId="0" fillId="0" borderId="0" xfId="0" applyFont="1" applyFill="1" applyBorder="1" applyAlignment="1">
      <alignment vertical="top" wrapText="1"/>
    </xf>
    <xf numFmtId="0" fontId="0" fillId="0" borderId="0" xfId="0" applyBorder="1" applyAlignment="1">
      <alignment wrapText="1"/>
    </xf>
    <xf numFmtId="0" fontId="0" fillId="0" borderId="0" xfId="0" applyFill="1" applyBorder="1" applyAlignment="1">
      <alignment vertical="top" wrapText="1"/>
    </xf>
    <xf numFmtId="0" fontId="0" fillId="0" borderId="0" xfId="0" applyFont="1" applyBorder="1" applyAlignment="1">
      <alignment wrapText="1"/>
    </xf>
    <xf numFmtId="0" fontId="25" fillId="33" borderId="0" xfId="0" applyFont="1" applyFill="1" applyAlignment="1">
      <alignment horizontal="left" vertical="center" wrapText="1"/>
    </xf>
    <xf numFmtId="0" fontId="43" fillId="33" borderId="0" xfId="0" applyFont="1" applyFill="1" applyAlignment="1">
      <alignment horizontal="left"/>
    </xf>
    <xf numFmtId="170" fontId="0" fillId="33" borderId="12" xfId="47" applyFill="1" applyBorder="1" applyAlignment="1">
      <alignment horizontal="center"/>
    </xf>
    <xf numFmtId="170" fontId="0" fillId="33" borderId="14" xfId="47" applyFill="1" applyBorder="1" applyAlignment="1">
      <alignment horizontal="center"/>
    </xf>
    <xf numFmtId="170" fontId="0" fillId="33" borderId="15" xfId="47" applyFill="1" applyBorder="1" applyAlignment="1">
      <alignment horizontal="center"/>
    </xf>
    <xf numFmtId="170" fontId="0" fillId="33" borderId="16" xfId="47" applyFill="1" applyBorder="1" applyAlignment="1">
      <alignment horizontal="center"/>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wrapText="1"/>
    </xf>
    <xf numFmtId="0" fontId="3" fillId="33" borderId="57" xfId="0" applyFont="1" applyFill="1" applyBorder="1" applyAlignment="1">
      <alignment horizontal="center" vertical="center" wrapText="1"/>
    </xf>
    <xf numFmtId="2" fontId="3" fillId="33" borderId="63" xfId="0" applyNumberFormat="1" applyFont="1" applyFill="1" applyBorder="1" applyAlignment="1">
      <alignment horizontal="center" vertical="center" wrapText="1"/>
    </xf>
    <xf numFmtId="2" fontId="3" fillId="33" borderId="64" xfId="0" applyNumberFormat="1" applyFont="1" applyFill="1" applyBorder="1" applyAlignment="1">
      <alignment horizontal="center" vertical="center" wrapText="1"/>
    </xf>
    <xf numFmtId="0" fontId="3" fillId="34" borderId="23" xfId="0" applyFont="1" applyFill="1" applyBorder="1" applyAlignment="1">
      <alignment horizontal="left"/>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170" fontId="0" fillId="33" borderId="17" xfId="47" applyFill="1" applyBorder="1" applyAlignment="1">
      <alignment horizontal="center"/>
    </xf>
    <xf numFmtId="170" fontId="0" fillId="33" borderId="19"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36" xfId="0" applyFont="1" applyFill="1" applyBorder="1" applyAlignment="1">
      <alignment horizontal="center" wrapText="1"/>
    </xf>
    <xf numFmtId="0" fontId="0" fillId="33" borderId="65" xfId="0" applyFont="1" applyFill="1" applyBorder="1" applyAlignment="1">
      <alignment horizontal="center" wrapText="1"/>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0" fillId="33" borderId="68" xfId="0" applyFill="1" applyBorder="1" applyAlignment="1">
      <alignment horizontal="center"/>
    </xf>
    <xf numFmtId="0" fontId="0" fillId="33" borderId="59" xfId="0" applyFill="1" applyBorder="1" applyAlignment="1">
      <alignment horizontal="center"/>
    </xf>
    <xf numFmtId="0" fontId="0" fillId="33" borderId="32" xfId="0" applyFont="1" applyFill="1" applyBorder="1" applyAlignment="1">
      <alignment horizontal="center" wrapText="1"/>
    </xf>
    <xf numFmtId="0" fontId="0" fillId="33" borderId="69"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2" fillId="37" borderId="0" xfId="0" applyFont="1" applyFill="1" applyBorder="1" applyAlignment="1">
      <alignment horizontal="center"/>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xf numFmtId="0" fontId="5" fillId="0" borderId="18" xfId="0" applyFont="1" applyBorder="1" applyAlignment="1">
      <alignment/>
    </xf>
    <xf numFmtId="0" fontId="2" fillId="33" borderId="15" xfId="0" applyFont="1" applyFill="1" applyBorder="1" applyAlignment="1">
      <alignment horizontal="left"/>
    </xf>
    <xf numFmtId="0" fontId="5" fillId="0" borderId="13" xfId="0" applyFont="1" applyBorder="1" applyAlignment="1">
      <alignment/>
    </xf>
    <xf numFmtId="0" fontId="5" fillId="0" borderId="0" xfId="0"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4963775"/>
          <a:ext cx="1028700" cy="371475"/>
        </a:xfrm>
        <a:prstGeom prst="rect">
          <a:avLst/>
        </a:prstGeom>
        <a:solidFill>
          <a:srgbClr val="FFFFFF"/>
        </a:solidFill>
        <a:ln w="9525" cmpd="sng">
          <a:noFill/>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view="pageBreakPreview" zoomScale="60" zoomScaleNormal="75" zoomScalePageLayoutView="0" workbookViewId="0" topLeftCell="A1">
      <pane xSplit="12" ySplit="28" topLeftCell="M29" activePane="bottomRight" state="frozen"/>
      <selection pane="topLeft" activeCell="H18" sqref="H18"/>
      <selection pane="topRight" activeCell="H18" sqref="H18"/>
      <selection pane="bottomLeft" activeCell="H18" sqref="H18"/>
      <selection pane="bottomRight" activeCell="H18" sqref="H18"/>
    </sheetView>
  </sheetViews>
  <sheetFormatPr defaultColWidth="9.140625" defaultRowHeight="12.75"/>
  <cols>
    <col min="1" max="1" width="20.57421875" style="457" bestFit="1" customWidth="1"/>
    <col min="2" max="3" width="15.7109375" style="457" customWidth="1"/>
    <col min="4" max="16384" width="9.140625" style="457" customWidth="1"/>
  </cols>
  <sheetData>
    <row r="1" spans="1:7" ht="27.75">
      <c r="A1" s="527" t="s">
        <v>183</v>
      </c>
      <c r="B1" s="527"/>
      <c r="C1" s="527"/>
      <c r="D1" s="527"/>
      <c r="E1" s="527"/>
      <c r="F1" s="527"/>
      <c r="G1" s="527"/>
    </row>
    <row r="2" spans="1:6" ht="27.75">
      <c r="A2" s="458"/>
      <c r="B2" s="458"/>
      <c r="C2" s="458"/>
      <c r="D2" s="458"/>
      <c r="E2" s="458"/>
      <c r="F2" s="458"/>
    </row>
    <row r="4" spans="1:5" ht="15.75" customHeight="1">
      <c r="A4" s="32" t="s">
        <v>49</v>
      </c>
      <c r="B4" s="528" t="s">
        <v>228</v>
      </c>
      <c r="C4" s="528"/>
      <c r="D4" s="528"/>
      <c r="E4" s="528"/>
    </row>
    <row r="5" spans="1:5" ht="15.75" customHeight="1">
      <c r="A5" s="460"/>
      <c r="B5" s="461"/>
      <c r="C5" s="461"/>
      <c r="D5" s="461"/>
      <c r="E5" s="461"/>
    </row>
    <row r="6" spans="1:5" ht="15.75" customHeight="1">
      <c r="A6" s="32" t="s">
        <v>52</v>
      </c>
      <c r="B6" s="528" t="s">
        <v>227</v>
      </c>
      <c r="C6" s="528"/>
      <c r="D6" s="528"/>
      <c r="E6" s="528"/>
    </row>
    <row r="7" spans="1:5" ht="15.75" customHeight="1">
      <c r="A7" s="32"/>
      <c r="B7" s="462"/>
      <c r="C7" s="462"/>
      <c r="D7" s="462"/>
      <c r="E7" s="462"/>
    </row>
    <row r="8" spans="1:5" ht="15.75" customHeight="1">
      <c r="A8" s="32" t="s">
        <v>194</v>
      </c>
      <c r="B8" s="528" t="s">
        <v>225</v>
      </c>
      <c r="C8" s="528"/>
      <c r="D8" s="528"/>
      <c r="E8" s="528"/>
    </row>
    <row r="9" spans="1:5" ht="15.75" customHeight="1">
      <c r="A9" s="32"/>
      <c r="B9" s="462"/>
      <c r="C9" s="462"/>
      <c r="D9" s="462"/>
      <c r="E9" s="462"/>
    </row>
    <row r="10" spans="1:5" ht="15.75" customHeight="1">
      <c r="A10" s="32"/>
      <c r="B10" s="528" t="s">
        <v>226</v>
      </c>
      <c r="C10" s="528"/>
      <c r="D10" s="528"/>
      <c r="E10" s="528"/>
    </row>
    <row r="11" spans="1:6" ht="15.75" customHeight="1">
      <c r="A11" s="460"/>
      <c r="B11" s="462"/>
      <c r="C11" s="462"/>
      <c r="D11" s="463"/>
      <c r="E11" s="463"/>
      <c r="F11" s="464"/>
    </row>
    <row r="12" spans="1:6" ht="15.75" customHeight="1">
      <c r="A12" s="32" t="s">
        <v>50</v>
      </c>
      <c r="B12" s="528" t="s">
        <v>248</v>
      </c>
      <c r="C12" s="528"/>
      <c r="D12" s="528"/>
      <c r="E12" s="528"/>
      <c r="F12" s="464"/>
    </row>
    <row r="13" spans="1:6" ht="15.75" customHeight="1">
      <c r="A13" s="460"/>
      <c r="B13" s="530"/>
      <c r="C13" s="530"/>
      <c r="D13" s="463"/>
      <c r="E13" s="463"/>
      <c r="F13" s="464"/>
    </row>
    <row r="14" spans="1:6" ht="15.75" customHeight="1">
      <c r="A14" s="32" t="s">
        <v>51</v>
      </c>
      <c r="B14" s="532" t="s">
        <v>246</v>
      </c>
      <c r="C14" s="528"/>
      <c r="D14" s="528"/>
      <c r="E14" s="528"/>
      <c r="F14" s="464"/>
    </row>
    <row r="15" spans="1:6" ht="15.75" customHeight="1">
      <c r="A15" s="460"/>
      <c r="B15" s="462"/>
      <c r="C15" s="463"/>
      <c r="D15" s="463"/>
      <c r="E15" s="463"/>
      <c r="F15" s="464"/>
    </row>
    <row r="16" spans="1:6" ht="15.75" customHeight="1">
      <c r="A16" s="32" t="s">
        <v>53</v>
      </c>
      <c r="B16" s="459" t="s">
        <v>245</v>
      </c>
      <c r="C16" s="465" t="s">
        <v>177</v>
      </c>
      <c r="D16" s="531">
        <v>237</v>
      </c>
      <c r="E16" s="531"/>
      <c r="F16" s="464"/>
    </row>
    <row r="17" spans="1:6" ht="15.75" customHeight="1">
      <c r="A17" s="460"/>
      <c r="B17" s="463"/>
      <c r="C17" s="463"/>
      <c r="D17" s="463"/>
      <c r="E17" s="463"/>
      <c r="F17" s="464"/>
    </row>
    <row r="18" spans="1:5" ht="15.75" customHeight="1">
      <c r="A18" s="32" t="s">
        <v>54</v>
      </c>
      <c r="B18" s="529" t="s">
        <v>247</v>
      </c>
      <c r="C18" s="529"/>
      <c r="D18" s="529"/>
      <c r="E18" s="529"/>
    </row>
    <row r="19" spans="2:5" ht="12.75">
      <c r="B19" s="466"/>
      <c r="C19" s="466"/>
      <c r="D19" s="466"/>
      <c r="E19" s="466"/>
    </row>
    <row r="20" spans="3:5" ht="12.75">
      <c r="C20" s="466"/>
      <c r="D20" s="466"/>
      <c r="E20" s="466"/>
    </row>
    <row r="21" spans="1:5" ht="15">
      <c r="A21" s="467" t="s">
        <v>146</v>
      </c>
      <c r="B21" s="469" t="s">
        <v>175</v>
      </c>
      <c r="C21" s="468"/>
      <c r="D21" s="468"/>
      <c r="E21" s="468"/>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480314960629921" right="0.7480314960629921" top="0.984251968503937" bottom="0.7874015748031497" header="0.5118110236220472" footer="0.5118110236220472"/>
  <pageSetup horizontalDpi="600" verticalDpi="600" orientation="portrait" r:id="rId1"/>
  <headerFooter alignWithMargins="0">
    <oddFooter>&amp;LHaldimand County Hydro Inc.
Page &amp;P of &amp;N&amp;R&amp;"Arial,Bold"&amp;F
&amp;A</oddFooter>
  </headerFooter>
</worksheet>
</file>

<file path=xl/worksheets/sheet10.xml><?xml version="1.0" encoding="utf-8"?>
<worksheet xmlns="http://schemas.openxmlformats.org/spreadsheetml/2006/main" xmlns:r="http://schemas.openxmlformats.org/officeDocument/2006/relationships">
  <dimension ref="A1:H73"/>
  <sheetViews>
    <sheetView view="pageBreakPreview" zoomScale="60" zoomScaleNormal="75" zoomScalePageLayoutView="0" workbookViewId="0" topLeftCell="A1">
      <selection activeCell="B36" sqref="B36"/>
    </sheetView>
  </sheetViews>
  <sheetFormatPr defaultColWidth="9.140625" defaultRowHeight="12.75"/>
  <cols>
    <col min="1" max="1" width="37.8515625" style="8" customWidth="1"/>
    <col min="2" max="3" width="14.28125" style="8" customWidth="1"/>
    <col min="4" max="5" width="19.8515625" style="8" customWidth="1"/>
    <col min="6" max="6" width="4.8515625" style="8" customWidth="1"/>
    <col min="7" max="7" width="13.140625" style="8" customWidth="1"/>
    <col min="8" max="16384" width="9.140625" style="8" customWidth="1"/>
  </cols>
  <sheetData>
    <row r="1" ht="17.25">
      <c r="A1" s="36" t="s">
        <v>168</v>
      </c>
    </row>
    <row r="2" ht="13.5" thickBot="1"/>
    <row r="3" spans="1:5" ht="17.25">
      <c r="A3" s="286" t="str">
        <f>"Name of Utility:      "&amp;'Info Sheet'!B4</f>
        <v>Name of Utility:      Haldimand County Hydro Inc.</v>
      </c>
      <c r="B3" s="287"/>
      <c r="C3" s="375"/>
      <c r="D3" s="441" t="str">
        <f>'Info Sheet'!$B$21</f>
        <v>2005.V1.0</v>
      </c>
      <c r="E3" s="35"/>
    </row>
    <row r="4" spans="1:5" ht="17.25">
      <c r="A4" s="288" t="str">
        <f>"License Number:   "&amp;'Info Sheet'!B6</f>
        <v>License Number:   ED-2002-0539</v>
      </c>
      <c r="B4" s="26"/>
      <c r="C4" s="376"/>
      <c r="D4" s="380" t="str">
        <f>'Info Sheet'!B8</f>
        <v>RP-2005-0013</v>
      </c>
      <c r="E4" s="35"/>
    </row>
    <row r="5" spans="1:4" ht="15">
      <c r="A5" s="288" t="str">
        <f>"Name of Contact:  "&amp;'Info Sheet'!B12</f>
        <v>Name of Contact:  Jacqueline Scott - Finance Manager</v>
      </c>
      <c r="B5" s="542"/>
      <c r="C5" s="542"/>
      <c r="D5" s="380" t="str">
        <f>'Info Sheet'!B10</f>
        <v>EB-2005-0034</v>
      </c>
    </row>
    <row r="6" spans="1:4" ht="18" customHeight="1">
      <c r="A6" s="289" t="str">
        <f>"E- Mail Address:    "&amp;'Info Sheet'!B14</f>
        <v>E- Mail Address:    jscott@hchydro.ca</v>
      </c>
      <c r="B6" s="26"/>
      <c r="C6" s="377"/>
      <c r="D6" s="99"/>
    </row>
    <row r="7" spans="1:4" ht="15">
      <c r="A7" s="288" t="str">
        <f>"Phone Number:     "&amp;'Info Sheet'!B16</f>
        <v>Phone Number:     905-765-5211</v>
      </c>
      <c r="B7" s="536" t="str">
        <f>'Info Sheet'!$C$16&amp;" "&amp;'Info Sheet'!$D$16</f>
        <v>Extension: 237</v>
      </c>
      <c r="C7" s="536"/>
      <c r="D7" s="99"/>
    </row>
    <row r="8" spans="1:4" ht="15.75" thickBot="1">
      <c r="A8" s="290" t="str">
        <f>"Date:                      "&amp;('Info Sheet'!B18)</f>
        <v>Date:                      January 14, 2005</v>
      </c>
      <c r="B8" s="291"/>
      <c r="C8" s="378"/>
      <c r="D8" s="148"/>
    </row>
    <row r="9" spans="1:3" ht="8.25" customHeight="1">
      <c r="A9" s="129"/>
      <c r="C9" s="7"/>
    </row>
    <row r="10" ht="8.25" customHeight="1">
      <c r="C10" s="7"/>
    </row>
    <row r="11" spans="1:2" ht="8.25" customHeight="1">
      <c r="A11" s="10"/>
      <c r="B11" s="11"/>
    </row>
    <row r="12" ht="8.25" customHeight="1">
      <c r="A12" s="10"/>
    </row>
    <row r="13" ht="8.25" customHeight="1"/>
    <row r="14" spans="1:7" ht="17.25">
      <c r="A14" s="54" t="s">
        <v>195</v>
      </c>
      <c r="B14" s="51"/>
      <c r="C14" s="52"/>
      <c r="E14" s="14"/>
      <c r="G14" s="14"/>
    </row>
    <row r="15" spans="2:7" ht="12.75">
      <c r="B15" s="14"/>
      <c r="C15" s="14"/>
      <c r="D15" s="48"/>
      <c r="E15" s="14"/>
      <c r="F15" s="14"/>
      <c r="G15" s="14"/>
    </row>
    <row r="16" spans="1:8" ht="12.75">
      <c r="A16" s="8" t="s">
        <v>0</v>
      </c>
      <c r="B16" s="478">
        <f>IF('5. 2005 Rate Sch. with PILs'!B16="","",'5. 2005 Rate Sch. with PILs'!B16+'7. 2003 Data &amp; add RSVA'!B54+'8. 2003 Data &amp; Non-RSVA'!B54)</f>
        <v>0.021767308827770195</v>
      </c>
      <c r="C16" s="14"/>
      <c r="D16" s="48"/>
      <c r="E16" s="14"/>
      <c r="F16" s="284"/>
      <c r="G16" s="284"/>
      <c r="H16" s="284"/>
    </row>
    <row r="17" spans="2:7" ht="12.75">
      <c r="B17" s="14"/>
      <c r="C17" s="14"/>
      <c r="D17" s="48"/>
      <c r="E17" s="14"/>
      <c r="F17" s="14"/>
      <c r="G17" s="14"/>
    </row>
    <row r="18" spans="1:8" ht="12.75">
      <c r="A18" s="8" t="s">
        <v>11</v>
      </c>
      <c r="B18" s="48">
        <f>IF('5. 2005 Rate Sch. with PILs'!B18="","",'5. 2005 Rate Sch. with PILs'!B18)</f>
        <v>9.919303766434421</v>
      </c>
      <c r="C18" s="14"/>
      <c r="D18" s="48"/>
      <c r="E18" s="14"/>
      <c r="F18" s="284"/>
      <c r="G18" s="132"/>
      <c r="H18" s="284"/>
    </row>
    <row r="19" spans="2:7" ht="12.75">
      <c r="B19" s="14"/>
      <c r="C19" s="14"/>
      <c r="D19" s="48"/>
      <c r="E19" s="14"/>
      <c r="F19" s="14"/>
      <c r="G19" s="14"/>
    </row>
    <row r="20" spans="2:7" ht="12.75">
      <c r="B20" s="14"/>
      <c r="C20" s="14"/>
      <c r="D20" s="14"/>
      <c r="E20" s="14"/>
      <c r="F20" s="14"/>
      <c r="G20" s="14"/>
    </row>
    <row r="21" spans="1:7" ht="17.25">
      <c r="A21" s="54" t="s">
        <v>199</v>
      </c>
      <c r="B21" s="51"/>
      <c r="C21" s="52"/>
      <c r="D21" s="48"/>
      <c r="E21" s="14"/>
      <c r="F21" s="14"/>
      <c r="G21" s="14"/>
    </row>
    <row r="22" spans="2:7" ht="12.75">
      <c r="B22" s="14"/>
      <c r="C22" s="14"/>
      <c r="D22" s="48"/>
      <c r="E22" s="14"/>
      <c r="F22" s="14"/>
      <c r="G22" s="14"/>
    </row>
    <row r="23" spans="1:8" ht="12.75">
      <c r="A23" s="8" t="s">
        <v>0</v>
      </c>
      <c r="B23" s="14">
        <f>IF('5. 2005 Rate Sch. with PILs'!B23="","",'5. 2005 Rate Sch. with PILs'!B23+'7. 2003 Data &amp; add RSVA'!B71+'8. 2003 Data &amp; Non-RSVA'!B71)</f>
        <v>0.018297067080894885</v>
      </c>
      <c r="C23" s="14"/>
      <c r="D23" s="48"/>
      <c r="E23" s="14"/>
      <c r="F23" s="14"/>
      <c r="G23" s="285"/>
      <c r="H23" s="284"/>
    </row>
    <row r="24" spans="2:7" ht="12.75">
      <c r="B24" s="14"/>
      <c r="C24" s="14"/>
      <c r="D24" s="48"/>
      <c r="E24" s="14"/>
      <c r="F24" s="14"/>
      <c r="G24" s="285"/>
    </row>
    <row r="25" spans="1:8" ht="12.75">
      <c r="A25" s="8" t="s">
        <v>11</v>
      </c>
      <c r="B25" s="48">
        <f>IF('5. 2005 Rate Sch. with PILs'!B25="","",'5. 2005 Rate Sch. with PILs'!B25)</f>
        <v>13.425423752205502</v>
      </c>
      <c r="C25" s="14"/>
      <c r="D25" s="48"/>
      <c r="E25" s="14"/>
      <c r="F25" s="14"/>
      <c r="G25" s="285"/>
      <c r="H25" s="284"/>
    </row>
    <row r="26" spans="2:7" ht="12.75">
      <c r="B26" s="14"/>
      <c r="C26" s="14"/>
      <c r="D26" s="48"/>
      <c r="E26" s="14"/>
      <c r="F26" s="14"/>
      <c r="G26" s="14"/>
    </row>
    <row r="27" spans="2:7" ht="12.75">
      <c r="B27" s="14"/>
      <c r="C27" s="14"/>
      <c r="D27" s="48"/>
      <c r="E27" s="14"/>
      <c r="F27" s="14"/>
      <c r="G27" s="14"/>
    </row>
    <row r="28" spans="1:7" ht="17.25">
      <c r="A28" s="54" t="s">
        <v>200</v>
      </c>
      <c r="B28" s="51"/>
      <c r="C28" s="52"/>
      <c r="D28" s="48"/>
      <c r="E28" s="14"/>
      <c r="F28" s="14"/>
      <c r="G28" s="14"/>
    </row>
    <row r="29" spans="2:7" ht="12.75">
      <c r="B29" s="14"/>
      <c r="C29" s="14"/>
      <c r="D29" s="48"/>
      <c r="E29" s="14"/>
      <c r="F29" s="14"/>
      <c r="G29" s="14"/>
    </row>
    <row r="30" spans="1:7" ht="12.75">
      <c r="A30" s="8" t="s">
        <v>1</v>
      </c>
      <c r="B30" s="14">
        <f>IF('5. 2005 Rate Sch. with PILs'!B30="","",'5. 2005 Rate Sch. with PILs'!B30+'7. 2003 Data &amp; add RSVA'!B88+'8. 2003 Data &amp; Non-RSVA'!B88)</f>
        <v>5.15040930111312</v>
      </c>
      <c r="C30" s="14"/>
      <c r="D30" s="48"/>
      <c r="E30" s="14"/>
      <c r="F30" s="14"/>
      <c r="G30" s="14"/>
    </row>
    <row r="31" spans="2:7" ht="12.75">
      <c r="B31" s="14"/>
      <c r="C31" s="14"/>
      <c r="D31" s="48"/>
      <c r="E31" s="14"/>
      <c r="F31" s="14"/>
      <c r="G31" s="14"/>
    </row>
    <row r="32" spans="1:7" ht="12.75">
      <c r="A32" s="8" t="s">
        <v>11</v>
      </c>
      <c r="B32" s="48">
        <f>IF('5. 2005 Rate Sch. with PILs'!B32="","",'5. 2005 Rate Sch. with PILs'!B32)</f>
        <v>25.52210788880356</v>
      </c>
      <c r="C32" s="14"/>
      <c r="D32" s="48"/>
      <c r="E32" s="14"/>
      <c r="F32" s="14"/>
      <c r="G32" s="14"/>
    </row>
    <row r="33" spans="2:7" ht="12.75">
      <c r="B33" s="14"/>
      <c r="C33" s="14"/>
      <c r="D33" s="48"/>
      <c r="E33" s="14"/>
      <c r="F33" s="14"/>
      <c r="G33" s="14"/>
    </row>
    <row r="34" spans="2:7" ht="12.75">
      <c r="B34" s="14"/>
      <c r="C34" s="14"/>
      <c r="D34" s="48"/>
      <c r="E34" s="14"/>
      <c r="F34" s="14"/>
      <c r="G34" s="14"/>
    </row>
    <row r="35" spans="1:7" ht="17.25">
      <c r="A35" s="54" t="s">
        <v>2</v>
      </c>
      <c r="B35" s="51"/>
      <c r="C35" s="52"/>
      <c r="D35" s="48"/>
      <c r="E35" s="14"/>
      <c r="F35" s="14"/>
      <c r="G35" s="14"/>
    </row>
    <row r="36" spans="1:7" ht="17.25">
      <c r="A36" s="7"/>
      <c r="B36" s="14"/>
      <c r="C36" s="14"/>
      <c r="D36" s="48"/>
      <c r="E36" s="14"/>
      <c r="F36" s="14"/>
      <c r="G36" s="14"/>
    </row>
    <row r="37" spans="1:7" ht="12.75">
      <c r="A37" s="8" t="s">
        <v>1</v>
      </c>
      <c r="B37" s="14">
        <f>IF('5. 2005 Rate Sch. with PILs'!B37="","",'5. 2005 Rate Sch. with PILs'!B37+'7. 2003 Data &amp; add RSVA'!B105+'8. 2003 Data &amp; Non-RSVA'!B105)</f>
        <v>0.9104302869120998</v>
      </c>
      <c r="C37" s="14"/>
      <c r="D37" s="48"/>
      <c r="E37" s="14"/>
      <c r="F37" s="14"/>
      <c r="G37" s="14"/>
    </row>
    <row r="38" spans="2:7" ht="12.75">
      <c r="B38" s="14"/>
      <c r="C38" s="14"/>
      <c r="D38" s="48"/>
      <c r="E38" s="14"/>
      <c r="F38" s="14"/>
      <c r="G38" s="14"/>
    </row>
    <row r="39" spans="1:7" ht="12.75">
      <c r="A39" s="8" t="s">
        <v>11</v>
      </c>
      <c r="B39" s="48">
        <f>IF('5. 2005 Rate Sch. with PILs'!B39="","",'5. 2005 Rate Sch. with PILs'!B39)</f>
        <v>9.365099899119182</v>
      </c>
      <c r="C39" s="14"/>
      <c r="D39" s="48"/>
      <c r="E39" s="14"/>
      <c r="F39" s="14"/>
      <c r="G39" s="14"/>
    </row>
    <row r="40" spans="2:7" ht="12.75">
      <c r="B40" s="14"/>
      <c r="C40" s="14"/>
      <c r="D40" s="48"/>
      <c r="E40" s="14"/>
      <c r="F40" s="14"/>
      <c r="G40" s="14"/>
    </row>
    <row r="41" spans="1:7" ht="12.75" customHeight="1">
      <c r="A41" s="7"/>
      <c r="B41" s="14"/>
      <c r="C41" s="14"/>
      <c r="D41" s="48"/>
      <c r="E41" s="14"/>
      <c r="F41" s="14"/>
      <c r="G41" s="14"/>
    </row>
    <row r="42" spans="1:7" ht="17.25">
      <c r="A42" s="54" t="s">
        <v>3</v>
      </c>
      <c r="B42" s="14"/>
      <c r="C42" s="14"/>
      <c r="D42" s="48"/>
      <c r="E42" s="14"/>
      <c r="F42" s="14"/>
      <c r="G42" s="14"/>
    </row>
    <row r="43" spans="2:7" ht="12.75">
      <c r="B43" s="14"/>
      <c r="C43" s="14"/>
      <c r="D43" s="48"/>
      <c r="E43" s="14"/>
      <c r="F43" s="14"/>
      <c r="G43" s="14"/>
    </row>
    <row r="44" spans="1:7" ht="12.75">
      <c r="A44" s="8" t="s">
        <v>1</v>
      </c>
      <c r="B44" s="14">
        <f>IF('5. 2005 Rate Sch. with PILs'!B44="","",'5. 2005 Rate Sch. with PILs'!B44+'7. 2003 Data &amp; add RSVA'!B122+'8. 2003 Data &amp; Non-RSVA'!B122)</f>
        <v>3.889155314923812</v>
      </c>
      <c r="C44" s="14"/>
      <c r="D44" s="48"/>
      <c r="E44" s="14"/>
      <c r="F44" s="14"/>
      <c r="G44" s="14"/>
    </row>
    <row r="45" spans="2:7" ht="12.75">
      <c r="B45" s="14"/>
      <c r="C45" s="14"/>
      <c r="D45" s="48"/>
      <c r="E45" s="14"/>
      <c r="F45" s="14"/>
      <c r="G45" s="14"/>
    </row>
    <row r="46" spans="1:7" ht="12.75">
      <c r="A46" s="8" t="s">
        <v>12</v>
      </c>
      <c r="B46" s="48">
        <f>IF('5. 2005 Rate Sch. with PILs'!B46="","",'5. 2005 Rate Sch. with PILs'!B46)</f>
        <v>1.28254288801253</v>
      </c>
      <c r="C46" s="14"/>
      <c r="D46" s="48"/>
      <c r="E46" s="14"/>
      <c r="F46" s="14"/>
      <c r="G46" s="14"/>
    </row>
    <row r="47" spans="2:7" ht="12.75">
      <c r="B47" s="14"/>
      <c r="C47" s="14"/>
      <c r="D47" s="48"/>
      <c r="E47" s="14"/>
      <c r="F47" s="14"/>
      <c r="G47" s="14"/>
    </row>
    <row r="48" spans="1:7" ht="17.25">
      <c r="A48" s="54" t="s">
        <v>4</v>
      </c>
      <c r="B48" s="14"/>
      <c r="C48" s="14"/>
      <c r="D48" s="48"/>
      <c r="E48" s="14"/>
      <c r="F48" s="14"/>
      <c r="G48" s="14"/>
    </row>
    <row r="49" spans="2:7" ht="12.75">
      <c r="B49" s="14"/>
      <c r="C49" s="14"/>
      <c r="D49" s="48"/>
      <c r="E49" s="14"/>
      <c r="F49" s="14"/>
      <c r="G49" s="14"/>
    </row>
    <row r="50" spans="1:7" ht="12.75">
      <c r="A50" s="8" t="s">
        <v>1</v>
      </c>
      <c r="B50" s="14">
        <f>IF('5. 2005 Rate Sch. with PILs'!B51="","",'5. 2005 Rate Sch. with PILs'!B51+'7. 2003 Data &amp; add RSVA'!B139+'8. 2003 Data &amp; Non-RSVA'!B139)</f>
        <v>3.3232879450538393</v>
      </c>
      <c r="C50" s="14"/>
      <c r="D50" s="48"/>
      <c r="E50" s="14"/>
      <c r="F50" s="14"/>
      <c r="G50" s="14"/>
    </row>
    <row r="51" spans="2:7" ht="12.75">
      <c r="B51" s="14"/>
      <c r="C51" s="14"/>
      <c r="D51" s="48"/>
      <c r="E51" s="14"/>
      <c r="F51" s="14"/>
      <c r="G51" s="14"/>
    </row>
    <row r="52" spans="1:7" ht="12.75">
      <c r="A52" s="8" t="s">
        <v>12</v>
      </c>
      <c r="B52" s="48">
        <f>IF('5. 2005 Rate Sch. with PILs'!B53="","",'5. 2005 Rate Sch. with PILs'!B53)</f>
        <v>1.1180282324647195</v>
      </c>
      <c r="C52" s="14"/>
      <c r="D52" s="48"/>
      <c r="E52" s="14"/>
      <c r="F52" s="14"/>
      <c r="G52" s="14"/>
    </row>
    <row r="53" spans="2:7" ht="12.75">
      <c r="B53" s="48"/>
      <c r="C53" s="14"/>
      <c r="D53" s="48"/>
      <c r="E53" s="14"/>
      <c r="F53" s="14"/>
      <c r="G53" s="14"/>
    </row>
    <row r="54" spans="2:7" ht="12.75">
      <c r="B54" s="14"/>
      <c r="C54" s="14"/>
      <c r="D54" s="48"/>
      <c r="E54" s="14"/>
      <c r="F54" s="14"/>
      <c r="G54" s="14"/>
    </row>
    <row r="55" spans="1:7" ht="17.25">
      <c r="A55" s="54" t="s">
        <v>196</v>
      </c>
      <c r="B55" s="51"/>
      <c r="C55" s="15"/>
      <c r="D55" s="48"/>
      <c r="E55" s="14"/>
      <c r="F55" s="14"/>
      <c r="G55" s="14"/>
    </row>
    <row r="56" spans="2:7" ht="12.75">
      <c r="B56" s="14"/>
      <c r="C56" s="15"/>
      <c r="E56" s="14"/>
      <c r="F56" s="14"/>
      <c r="G56" s="14"/>
    </row>
    <row r="57" spans="1:7" ht="12.75">
      <c r="A57" s="8" t="s">
        <v>0</v>
      </c>
      <c r="B57" s="480">
        <f>IF('5. 2005 Rate Sch. with PILs'!B57="","",'5. 2005 Rate Sch. with PILs'!B57+'7. 2003 Data &amp; add RSVA'!B156+'8. 2003 Data &amp; Non-RSVA'!B156)</f>
        <v>0.022034148231111744</v>
      </c>
      <c r="C57" s="14"/>
      <c r="D57" s="48"/>
      <c r="E57" s="14"/>
      <c r="F57" s="14"/>
      <c r="G57" s="14"/>
    </row>
    <row r="58" ht="12.75">
      <c r="B58" s="14"/>
    </row>
    <row r="59" spans="1:2" ht="12.75">
      <c r="A59" s="8" t="s">
        <v>11</v>
      </c>
      <c r="B59" s="481">
        <f>IF('5. 2005 Rate Sch. with PILs'!B59="","",'5. 2005 Rate Sch. with PILs'!B59)</f>
        <v>11.391009552391258</v>
      </c>
    </row>
    <row r="62" spans="1:2" ht="17.25">
      <c r="A62" s="54" t="s">
        <v>197</v>
      </c>
      <c r="B62" s="51"/>
    </row>
    <row r="63" ht="12.75">
      <c r="B63" s="14"/>
    </row>
    <row r="64" spans="1:2" ht="12.75">
      <c r="A64" s="8" t="s">
        <v>0</v>
      </c>
      <c r="B64" s="480">
        <f>IF('5. 2005 Rate Sch. with PILs'!B64="","",'5. 2005 Rate Sch. with PILs'!B64+'7. 2003 Data &amp; add RSVA'!B173+'8. 2003 Data &amp; Non-RSVA'!B173)</f>
        <v>0.017601640770202712</v>
      </c>
    </row>
    <row r="65" ht="12.75">
      <c r="B65" s="14"/>
    </row>
    <row r="66" spans="1:2" ht="12.75">
      <c r="A66" s="8" t="s">
        <v>11</v>
      </c>
      <c r="B66" s="481">
        <f>IF('5. 2005 Rate Sch. with PILs'!B66="","",'5. 2005 Rate Sch. with PILs'!B66)</f>
        <v>13.789027515748941</v>
      </c>
    </row>
    <row r="67" ht="12.75">
      <c r="B67" s="14"/>
    </row>
    <row r="68" ht="12.75">
      <c r="B68" s="14"/>
    </row>
    <row r="69" spans="1:2" ht="17.25">
      <c r="A69" s="54" t="s">
        <v>198</v>
      </c>
      <c r="B69" s="51"/>
    </row>
    <row r="70" ht="12.75">
      <c r="B70" s="14"/>
    </row>
    <row r="71" spans="1:2" ht="12.75">
      <c r="A71" s="8" t="s">
        <v>1</v>
      </c>
      <c r="B71" s="480">
        <f>IF('5. 2005 Rate Sch. with PILs'!B71="","",'5. 2005 Rate Sch. with PILs'!B71+'7. 2003 Data &amp; add RSVA'!B190+'8. 2003 Data &amp; Non-RSVA'!B190)</f>
        <v>5.18562994058236</v>
      </c>
    </row>
    <row r="72" ht="12.75">
      <c r="B72" s="14"/>
    </row>
    <row r="73" spans="1:2" ht="12.75">
      <c r="A73" s="8" t="s">
        <v>11</v>
      </c>
      <c r="B73" s="481">
        <f>IF('5. 2005 Rate Sch. with PILs'!B73="","",'5. 2005 Rate Sch. with PILs'!B73)</f>
        <v>25.415302837827074</v>
      </c>
    </row>
  </sheetData>
  <sheetProtection/>
  <mergeCells count="2">
    <mergeCell ref="B5:C5"/>
    <mergeCell ref="B7:C7"/>
  </mergeCells>
  <printOptions/>
  <pageMargins left="0.7480314960629921" right="0.7480314960629921" top="0.984251968503937" bottom="0.7874015748031497" header="0.5118110236220472" footer="0.5118110236220472"/>
  <pageSetup horizontalDpi="600" verticalDpi="600" orientation="portrait" scale="81" r:id="rId1"/>
  <headerFooter alignWithMargins="0">
    <oddFooter>&amp;LHaldimand County Hydro Inc.
Page &amp;P of &amp;N&amp;R&amp;"Arial,Bold"&amp;F
&amp;A</oddFooter>
  </headerFooter>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9"/>
  <sheetViews>
    <sheetView view="pageBreakPreview" zoomScale="60" zoomScaleNormal="75" zoomScalePageLayoutView="0" workbookViewId="0" topLeftCell="A1">
      <selection activeCell="A1" sqref="A1"/>
    </sheetView>
  </sheetViews>
  <sheetFormatPr defaultColWidth="9.140625" defaultRowHeight="12.75"/>
  <cols>
    <col min="1" max="6" width="9.140625" style="10" customWidth="1"/>
    <col min="7" max="7" width="15.28125" style="10" customWidth="1"/>
    <col min="8" max="8" width="16.8515625" style="10" customWidth="1"/>
    <col min="9" max="10" width="13.7109375" style="10" customWidth="1"/>
    <col min="11" max="11" width="13.421875" style="10" customWidth="1"/>
    <col min="12" max="12" width="11.7109375" style="10" customWidth="1"/>
    <col min="13" max="16384" width="9.140625" style="10" customWidth="1"/>
  </cols>
  <sheetData>
    <row r="1" ht="17.25">
      <c r="A1" s="36" t="s">
        <v>144</v>
      </c>
    </row>
    <row r="2" ht="14.25" thickBot="1"/>
    <row r="3" spans="1:8" s="8" customFormat="1" ht="15">
      <c r="A3" s="559" t="str">
        <f>"Name of Utility:      "&amp;'Info Sheet'!B4</f>
        <v>Name of Utility:      Haldimand County Hydro Inc.</v>
      </c>
      <c r="B3" s="560"/>
      <c r="C3" s="560"/>
      <c r="D3" s="560"/>
      <c r="E3" s="560"/>
      <c r="F3" s="561"/>
      <c r="G3" s="561"/>
      <c r="H3" s="379" t="str">
        <f>'Info Sheet'!$B$21</f>
        <v>2005.V1.0</v>
      </c>
    </row>
    <row r="4" spans="1:8" s="8" customFormat="1" ht="15">
      <c r="A4" s="562" t="str">
        <f>"License Number:   "&amp;'Info Sheet'!B6</f>
        <v>License Number:   ED-2002-0539</v>
      </c>
      <c r="B4" s="563"/>
      <c r="C4" s="563"/>
      <c r="D4" s="563"/>
      <c r="E4" s="563"/>
      <c r="F4" s="564"/>
      <c r="G4" s="564"/>
      <c r="H4" s="380" t="str">
        <f>'Info Sheet'!B8</f>
        <v>RP-2005-0013</v>
      </c>
    </row>
    <row r="5" spans="1:8" s="8" customFormat="1" ht="15">
      <c r="A5" s="562" t="str">
        <f>"Name of Contact:  "&amp;'Info Sheet'!B12</f>
        <v>Name of Contact:  Jacqueline Scott - Finance Manager</v>
      </c>
      <c r="B5" s="563"/>
      <c r="C5" s="563"/>
      <c r="D5" s="563"/>
      <c r="E5" s="563"/>
      <c r="F5" s="564"/>
      <c r="G5" s="564"/>
      <c r="H5" s="380" t="str">
        <f>'Info Sheet'!B10</f>
        <v>EB-2005-0034</v>
      </c>
    </row>
    <row r="6" spans="1:12" s="8" customFormat="1" ht="15">
      <c r="A6" s="565" t="str">
        <f>"E- Mail Address:    "&amp;'Info Sheet'!B14</f>
        <v>E- Mail Address:    jscott@hchydro.ca</v>
      </c>
      <c r="B6" s="563"/>
      <c r="C6" s="563"/>
      <c r="D6" s="563"/>
      <c r="E6" s="563"/>
      <c r="F6" s="564"/>
      <c r="G6" s="564"/>
      <c r="H6" s="99"/>
      <c r="K6" s="536"/>
      <c r="L6" s="536"/>
    </row>
    <row r="7" spans="1:8" s="8" customFormat="1" ht="15">
      <c r="A7" s="562" t="str">
        <f>"Phone Number:     "&amp;'Info Sheet'!B16</f>
        <v>Phone Number:     905-765-5211</v>
      </c>
      <c r="B7" s="566"/>
      <c r="C7" s="566"/>
      <c r="D7" s="566"/>
      <c r="E7" s="566"/>
      <c r="F7" s="536" t="str">
        <f>'Info Sheet'!$C$16&amp;" "&amp;'Info Sheet'!$D$16</f>
        <v>Extension: 237</v>
      </c>
      <c r="G7" s="536"/>
      <c r="H7" s="99"/>
    </row>
    <row r="8" spans="1:8" s="8" customFormat="1" ht="15.75" thickBot="1">
      <c r="A8" s="567" t="str">
        <f>"Date:                      "&amp;('Info Sheet'!B18)</f>
        <v>Date:                      January 14, 2005</v>
      </c>
      <c r="B8" s="568"/>
      <c r="C8" s="568"/>
      <c r="D8" s="568"/>
      <c r="E8" s="568"/>
      <c r="F8" s="569"/>
      <c r="G8" s="569"/>
      <c r="H8" s="148"/>
    </row>
    <row r="9" spans="6:8" ht="13.5">
      <c r="F9" s="344"/>
      <c r="G9" s="344"/>
      <c r="H9" s="344"/>
    </row>
    <row r="10" spans="1:9" ht="15" customHeight="1">
      <c r="A10" s="574" t="s">
        <v>192</v>
      </c>
      <c r="B10" s="574"/>
      <c r="C10" s="574"/>
      <c r="D10" s="574"/>
      <c r="E10" s="574"/>
      <c r="F10" s="574"/>
      <c r="G10" s="574"/>
      <c r="H10" s="574"/>
      <c r="I10" s="574"/>
    </row>
    <row r="11" spans="1:9" ht="33.75" customHeight="1">
      <c r="A11" s="574"/>
      <c r="B11" s="574"/>
      <c r="C11" s="574"/>
      <c r="D11" s="574"/>
      <c r="E11" s="574"/>
      <c r="F11" s="574"/>
      <c r="G11" s="574"/>
      <c r="H11" s="574"/>
      <c r="I11" s="574"/>
    </row>
    <row r="14" ht="14.25" thickBot="1"/>
    <row r="15" spans="2:8" ht="13.5">
      <c r="B15" s="572" t="s">
        <v>135</v>
      </c>
      <c r="C15" s="348"/>
      <c r="D15" s="348"/>
      <c r="E15" s="348"/>
      <c r="F15" s="348"/>
      <c r="G15" s="348"/>
      <c r="H15" s="570" t="s">
        <v>169</v>
      </c>
    </row>
    <row r="16" spans="2:8" ht="11.25" customHeight="1">
      <c r="B16" s="573"/>
      <c r="C16" s="349"/>
      <c r="D16" s="349"/>
      <c r="E16" s="349"/>
      <c r="F16" s="349"/>
      <c r="G16" s="349"/>
      <c r="H16" s="571"/>
    </row>
    <row r="17" spans="2:8" ht="14.25" thickBot="1">
      <c r="B17" s="573"/>
      <c r="C17" s="349"/>
      <c r="D17" s="349"/>
      <c r="E17" s="349"/>
      <c r="F17" s="349"/>
      <c r="G17" s="349"/>
      <c r="H17" s="571"/>
    </row>
    <row r="18" spans="2:8" ht="13.5">
      <c r="B18" s="482" t="s">
        <v>201</v>
      </c>
      <c r="C18" s="483"/>
      <c r="D18" s="483"/>
      <c r="E18" s="483"/>
      <c r="F18" s="483"/>
      <c r="G18" s="483"/>
      <c r="H18" s="484"/>
    </row>
    <row r="19" spans="2:8" ht="13.5">
      <c r="B19" s="146" t="s">
        <v>202</v>
      </c>
      <c r="C19" s="344"/>
      <c r="D19" s="344"/>
      <c r="E19" s="344"/>
      <c r="F19" s="344"/>
      <c r="G19" s="344"/>
      <c r="H19" s="412"/>
    </row>
    <row r="20" spans="2:8" ht="13.5">
      <c r="B20" s="146" t="s">
        <v>203</v>
      </c>
      <c r="C20" s="344"/>
      <c r="D20" s="344"/>
      <c r="E20" s="344"/>
      <c r="F20" s="344"/>
      <c r="G20" s="344"/>
      <c r="H20" s="412"/>
    </row>
    <row r="21" spans="2:8" ht="13.5">
      <c r="B21" s="146" t="s">
        <v>61</v>
      </c>
      <c r="C21" s="344"/>
      <c r="D21" s="344"/>
      <c r="E21" s="344"/>
      <c r="F21" s="344"/>
      <c r="G21" s="344"/>
      <c r="H21" s="412"/>
    </row>
    <row r="22" spans="2:8" ht="13.5">
      <c r="B22" s="146" t="s">
        <v>136</v>
      </c>
      <c r="C22" s="344"/>
      <c r="D22" s="344"/>
      <c r="E22" s="344"/>
      <c r="F22" s="344"/>
      <c r="G22" s="344"/>
      <c r="H22" s="412"/>
    </row>
    <row r="23" spans="2:8" ht="13.5">
      <c r="B23" s="146" t="s">
        <v>62</v>
      </c>
      <c r="C23" s="344"/>
      <c r="D23" s="344"/>
      <c r="E23" s="344"/>
      <c r="F23" s="344"/>
      <c r="G23" s="344"/>
      <c r="H23" s="412"/>
    </row>
    <row r="24" spans="2:8" ht="13.5">
      <c r="B24" s="146" t="s">
        <v>63</v>
      </c>
      <c r="C24" s="344"/>
      <c r="D24" s="344"/>
      <c r="E24" s="344"/>
      <c r="F24" s="344"/>
      <c r="G24" s="344"/>
      <c r="H24" s="412"/>
    </row>
    <row r="25" spans="2:8" ht="13.5">
      <c r="B25" s="146" t="s">
        <v>64</v>
      </c>
      <c r="C25" s="344"/>
      <c r="D25" s="344"/>
      <c r="E25" s="344"/>
      <c r="F25" s="344"/>
      <c r="G25" s="344"/>
      <c r="H25" s="412"/>
    </row>
    <row r="26" spans="2:8" ht="13.5">
      <c r="B26" s="146" t="s">
        <v>204</v>
      </c>
      <c r="C26" s="344"/>
      <c r="D26" s="344"/>
      <c r="E26" s="344"/>
      <c r="F26" s="344"/>
      <c r="G26" s="344"/>
      <c r="H26" s="412"/>
    </row>
    <row r="27" spans="2:8" ht="13.5">
      <c r="B27" s="146" t="s">
        <v>205</v>
      </c>
      <c r="C27" s="344"/>
      <c r="D27" s="344"/>
      <c r="E27" s="344"/>
      <c r="F27" s="344"/>
      <c r="G27" s="344"/>
      <c r="H27" s="412"/>
    </row>
    <row r="28" spans="2:8" ht="13.5">
      <c r="B28" s="146" t="s">
        <v>206</v>
      </c>
      <c r="C28" s="344"/>
      <c r="D28" s="344"/>
      <c r="E28" s="344"/>
      <c r="F28" s="344"/>
      <c r="G28" s="344"/>
      <c r="H28" s="412"/>
    </row>
    <row r="29" spans="2:8" ht="14.25" thickBot="1">
      <c r="B29" s="350" t="s">
        <v>207</v>
      </c>
      <c r="C29" s="345"/>
      <c r="D29" s="345"/>
      <c r="E29" s="345"/>
      <c r="F29" s="345"/>
      <c r="G29" s="345"/>
      <c r="H29" s="413"/>
    </row>
  </sheetData>
  <sheetProtection/>
  <mergeCells count="11">
    <mergeCell ref="A8:G8"/>
    <mergeCell ref="H15:H17"/>
    <mergeCell ref="B15:B17"/>
    <mergeCell ref="A10:I11"/>
    <mergeCell ref="A3:G3"/>
    <mergeCell ref="A4:G4"/>
    <mergeCell ref="A5:G5"/>
    <mergeCell ref="A6:G6"/>
    <mergeCell ref="K6:L6"/>
    <mergeCell ref="A7:E7"/>
    <mergeCell ref="F7:G7"/>
  </mergeCells>
  <printOptions/>
  <pageMargins left="0.7480314960629921" right="0.7480314960629921" top="0.984251968503937" bottom="0.7874015748031497" header="0.5118110236220472" footer="0.5118110236220472"/>
  <pageSetup horizontalDpi="600" verticalDpi="600" orientation="portrait" scale="90" r:id="rId1"/>
  <headerFooter alignWithMargins="0">
    <oddFooter>&amp;LHaldimand County Hydro Inc.
Page &amp;P of &amp;N&amp;R&amp;"Arial,Bold"&amp;F
&amp;A</oddFooter>
  </headerFooter>
</worksheet>
</file>

<file path=xl/worksheets/sheet12.xml><?xml version="1.0" encoding="utf-8"?>
<worksheet xmlns="http://schemas.openxmlformats.org/spreadsheetml/2006/main" xmlns:r="http://schemas.openxmlformats.org/officeDocument/2006/relationships">
  <dimension ref="A1:H65"/>
  <sheetViews>
    <sheetView view="pageBreakPreview" zoomScale="60" zoomScaleNormal="75" zoomScalePageLayoutView="0" workbookViewId="0" topLeftCell="A1">
      <selection activeCell="E30" sqref="E30"/>
    </sheetView>
  </sheetViews>
  <sheetFormatPr defaultColWidth="9.140625" defaultRowHeight="12.75"/>
  <cols>
    <col min="1" max="1" width="19.28125" style="8" customWidth="1"/>
    <col min="2" max="2" width="10.421875" style="8" customWidth="1"/>
    <col min="3" max="3" width="9.00390625" style="8" customWidth="1"/>
    <col min="4" max="4" width="22.00390625" style="8" customWidth="1"/>
    <col min="5" max="5" width="23.57421875" style="8" customWidth="1"/>
    <col min="6" max="6" width="20.57421875" style="8" customWidth="1"/>
    <col min="7" max="7" width="14.00390625" style="8" customWidth="1"/>
    <col min="8" max="16384" width="9.140625" style="8" customWidth="1"/>
  </cols>
  <sheetData>
    <row r="1" spans="1:8" ht="15">
      <c r="A1" s="575" t="str">
        <f>IF(ISBLANK('Info Sheet'!B4),"",'Info Sheet'!B4)</f>
        <v>Haldimand County Hydro Inc.</v>
      </c>
      <c r="B1" s="575"/>
      <c r="C1" s="575"/>
      <c r="D1" s="575"/>
      <c r="E1" s="575"/>
      <c r="F1" s="575"/>
      <c r="G1" s="575"/>
      <c r="H1" s="575"/>
    </row>
    <row r="2" spans="1:8" ht="15">
      <c r="A2" s="575" t="str">
        <f>IF(ISBLANK('Info Sheet'!B6),"",'Info Sheet'!B8&amp;"    "&amp;'Info Sheet'!B10)</f>
        <v>RP-2005-0013    EB-2005-0034</v>
      </c>
      <c r="B2" s="575"/>
      <c r="C2" s="575"/>
      <c r="D2" s="575"/>
      <c r="E2" s="575"/>
      <c r="F2" s="575"/>
      <c r="G2" s="575"/>
      <c r="H2" s="575"/>
    </row>
    <row r="3" spans="1:8" ht="15">
      <c r="A3" s="575" t="s">
        <v>170</v>
      </c>
      <c r="B3" s="575"/>
      <c r="C3" s="575"/>
      <c r="D3" s="575"/>
      <c r="E3" s="575"/>
      <c r="F3" s="575"/>
      <c r="G3" s="575"/>
      <c r="H3" s="575"/>
    </row>
    <row r="4" spans="1:8" ht="15.75" customHeight="1">
      <c r="A4" s="576" t="s">
        <v>171</v>
      </c>
      <c r="B4" s="576"/>
      <c r="C4" s="576"/>
      <c r="D4" s="576"/>
      <c r="E4" s="576"/>
      <c r="F4" s="576"/>
      <c r="G4" s="576"/>
      <c r="H4" s="576"/>
    </row>
    <row r="5" spans="1:8" ht="15.75" customHeight="1">
      <c r="A5" s="356"/>
      <c r="B5" s="356"/>
      <c r="C5" s="356"/>
      <c r="D5" s="356"/>
      <c r="E5" s="356"/>
      <c r="F5" s="356"/>
      <c r="G5" s="356"/>
      <c r="H5" s="356"/>
    </row>
    <row r="6" spans="1:5" ht="15">
      <c r="A6" s="35"/>
      <c r="D6" s="130"/>
      <c r="E6" s="35"/>
    </row>
    <row r="7" spans="1:5" ht="15">
      <c r="A7" s="370" t="s">
        <v>139</v>
      </c>
      <c r="D7" s="130"/>
      <c r="E7" s="35"/>
    </row>
    <row r="8" spans="1:5" ht="15">
      <c r="A8" s="46"/>
      <c r="B8" s="130"/>
      <c r="C8" s="130"/>
      <c r="D8" s="130"/>
      <c r="E8" s="130"/>
    </row>
    <row r="9" spans="1:5" ht="15">
      <c r="A9" s="46"/>
      <c r="B9" s="130"/>
      <c r="C9" s="130"/>
      <c r="D9" s="130"/>
      <c r="E9" s="130"/>
    </row>
    <row r="10" spans="1:5" ht="15">
      <c r="A10" s="46"/>
      <c r="B10" s="130"/>
      <c r="C10" s="130"/>
      <c r="D10" s="130"/>
      <c r="E10" s="130"/>
    </row>
    <row r="11" spans="1:7" ht="15">
      <c r="A11" s="53" t="s">
        <v>195</v>
      </c>
      <c r="B11" s="351"/>
      <c r="C11" s="352"/>
      <c r="D11" s="129"/>
      <c r="E11" s="292"/>
      <c r="G11" s="14"/>
    </row>
    <row r="12" spans="1:7" ht="15">
      <c r="A12" s="130"/>
      <c r="B12" s="292"/>
      <c r="C12" s="292"/>
      <c r="D12" s="353"/>
      <c r="E12" s="292"/>
      <c r="F12" s="14"/>
      <c r="G12" s="14"/>
    </row>
    <row r="13" spans="1:8" ht="15">
      <c r="A13" s="130"/>
      <c r="B13" s="354"/>
      <c r="C13" s="353" t="s">
        <v>14</v>
      </c>
      <c r="E13" s="355" t="s">
        <v>16</v>
      </c>
      <c r="F13" s="24">
        <f>IF('9. 2005 Rate Sch. Reg. Assets'!$B$18="","",'9. 2005 Rate Sch. Reg. Assets'!$B$18)</f>
        <v>9.919303766434421</v>
      </c>
      <c r="G13" s="284"/>
      <c r="H13" s="284"/>
    </row>
    <row r="14" spans="1:7" ht="15">
      <c r="A14" s="130"/>
      <c r="B14" s="292"/>
      <c r="C14" s="353" t="s">
        <v>15</v>
      </c>
      <c r="E14" s="355" t="s">
        <v>17</v>
      </c>
      <c r="F14" s="15">
        <f>IF('9. 2005 Rate Sch. Reg. Assets'!$B$16="","",'9. 2005 Rate Sch. Reg. Assets'!$B$16+'10. Rate Rider Calculations'!$H$18)</f>
        <v>0.021767308827770195</v>
      </c>
      <c r="G14" s="14"/>
    </row>
    <row r="15" spans="1:8" ht="15">
      <c r="A15" s="130"/>
      <c r="B15" s="354"/>
      <c r="C15" s="353"/>
      <c r="E15" s="355"/>
      <c r="F15" s="14"/>
      <c r="G15" s="264"/>
      <c r="H15" s="284"/>
    </row>
    <row r="16" spans="1:7" ht="15">
      <c r="A16" s="53" t="s">
        <v>199</v>
      </c>
      <c r="B16" s="351"/>
      <c r="C16" s="352"/>
      <c r="D16" s="353"/>
      <c r="E16" s="292"/>
      <c r="F16" s="14"/>
      <c r="G16" s="14"/>
    </row>
    <row r="17" spans="1:7" ht="15">
      <c r="A17" s="130"/>
      <c r="B17" s="292"/>
      <c r="C17" s="292"/>
      <c r="D17" s="353"/>
      <c r="E17" s="292"/>
      <c r="F17" s="14"/>
      <c r="G17" s="14"/>
    </row>
    <row r="18" spans="1:8" ht="15">
      <c r="A18" s="130"/>
      <c r="B18" s="354"/>
      <c r="C18" s="353" t="s">
        <v>14</v>
      </c>
      <c r="E18" s="355" t="s">
        <v>16</v>
      </c>
      <c r="F18" s="24">
        <f>IF('9. 2005 Rate Sch. Reg. Assets'!$B$25="","",'9. 2005 Rate Sch. Reg. Assets'!$B$25)</f>
        <v>13.425423752205502</v>
      </c>
      <c r="G18" s="285"/>
      <c r="H18" s="284"/>
    </row>
    <row r="19" spans="1:7" ht="15">
      <c r="A19" s="130"/>
      <c r="B19" s="292"/>
      <c r="C19" s="353" t="s">
        <v>15</v>
      </c>
      <c r="E19" s="355" t="s">
        <v>17</v>
      </c>
      <c r="F19" s="15">
        <f>IF('9. 2005 Rate Sch. Reg. Assets'!$B$23="","",'9. 2005 Rate Sch. Reg. Assets'!$B$23+'10. Rate Rider Calculations'!$H$19)</f>
        <v>0.018297067080894885</v>
      </c>
      <c r="G19" s="285"/>
    </row>
    <row r="20" spans="1:8" ht="15">
      <c r="A20" s="130"/>
      <c r="B20" s="354"/>
      <c r="C20" s="353"/>
      <c r="E20" s="355"/>
      <c r="F20" s="14"/>
      <c r="G20" s="285"/>
      <c r="H20" s="284"/>
    </row>
    <row r="21" spans="1:7" ht="15">
      <c r="A21" s="130"/>
      <c r="B21" s="292"/>
      <c r="C21" s="292"/>
      <c r="D21" s="353"/>
      <c r="E21" s="292"/>
      <c r="F21" s="14"/>
      <c r="G21" s="14"/>
    </row>
    <row r="22" spans="1:7" ht="15">
      <c r="A22" s="53" t="s">
        <v>219</v>
      </c>
      <c r="B22" s="351"/>
      <c r="C22" s="352"/>
      <c r="D22" s="353"/>
      <c r="E22" s="292"/>
      <c r="F22" s="14"/>
      <c r="G22" s="14"/>
    </row>
    <row r="23" spans="1:7" ht="15">
      <c r="A23" s="130"/>
      <c r="B23" s="292"/>
      <c r="C23" s="292"/>
      <c r="D23" s="353"/>
      <c r="E23" s="292"/>
      <c r="F23" s="14"/>
      <c r="G23" s="14"/>
    </row>
    <row r="24" spans="1:7" ht="15">
      <c r="A24" s="130"/>
      <c r="B24" s="354"/>
      <c r="C24" s="353" t="s">
        <v>14</v>
      </c>
      <c r="E24" s="355" t="s">
        <v>16</v>
      </c>
      <c r="F24" s="24">
        <f>IF('9. 2005 Rate Sch. Reg. Assets'!$B$32="","",'9. 2005 Rate Sch. Reg. Assets'!$B$32)</f>
        <v>25.52210788880356</v>
      </c>
      <c r="G24" s="14"/>
    </row>
    <row r="25" spans="1:7" ht="15">
      <c r="A25" s="130"/>
      <c r="B25" s="292"/>
      <c r="C25" s="353" t="s">
        <v>15</v>
      </c>
      <c r="E25" s="355" t="s">
        <v>18</v>
      </c>
      <c r="F25" s="15">
        <f>IF('9. 2005 Rate Sch. Reg. Assets'!$B$30="","",'9. 2005 Rate Sch. Reg. Assets'!$B$30+'10. Rate Rider Calculations'!$H$20)</f>
        <v>5.15040930111312</v>
      </c>
      <c r="G25" s="14"/>
    </row>
    <row r="26" spans="1:7" ht="15">
      <c r="A26" s="130"/>
      <c r="B26" s="354"/>
      <c r="C26" s="353"/>
      <c r="E26" s="355"/>
      <c r="F26" s="14"/>
      <c r="G26" s="14"/>
    </row>
    <row r="27" spans="1:7" ht="15">
      <c r="A27" s="130"/>
      <c r="B27" s="292"/>
      <c r="C27" s="292"/>
      <c r="D27" s="353"/>
      <c r="E27" s="292"/>
      <c r="F27" s="14"/>
      <c r="G27" s="14"/>
    </row>
    <row r="28" spans="1:7" ht="15">
      <c r="A28" s="53" t="s">
        <v>19</v>
      </c>
      <c r="B28" s="292"/>
      <c r="C28" s="292"/>
      <c r="D28" s="353"/>
      <c r="E28" s="292"/>
      <c r="F28" s="14"/>
      <c r="G28" s="14"/>
    </row>
    <row r="29" spans="2:7" ht="15">
      <c r="B29" s="351"/>
      <c r="C29" s="352"/>
      <c r="D29" s="353"/>
      <c r="E29" s="292"/>
      <c r="F29" s="14"/>
      <c r="G29" s="14"/>
    </row>
    <row r="30" spans="1:7" ht="15">
      <c r="A30" s="129"/>
      <c r="B30" s="292"/>
      <c r="C30" s="353" t="s">
        <v>14</v>
      </c>
      <c r="E30" s="355" t="s">
        <v>16</v>
      </c>
      <c r="F30" s="24">
        <f>IF('9. 2005 Rate Sch. Reg. Assets'!$B$39="","",'9. 2005 Rate Sch. Reg. Assets'!$B$39)</f>
        <v>9.365099899119182</v>
      </c>
      <c r="G30" s="14"/>
    </row>
    <row r="31" spans="1:7" ht="15">
      <c r="A31" s="130"/>
      <c r="B31" s="354"/>
      <c r="C31" s="353" t="s">
        <v>15</v>
      </c>
      <c r="E31" s="355" t="s">
        <v>18</v>
      </c>
      <c r="F31" s="15">
        <f>IF('9. 2005 Rate Sch. Reg. Assets'!$B$37="","",'9. 2005 Rate Sch. Reg. Assets'!$B$37+'10. Rate Rider Calculations'!$H$21)</f>
        <v>0.9104302869120998</v>
      </c>
      <c r="G31" s="14"/>
    </row>
    <row r="32" spans="1:7" ht="15">
      <c r="A32" s="130"/>
      <c r="B32" s="354"/>
      <c r="C32" s="353"/>
      <c r="E32" s="355"/>
      <c r="F32" s="14"/>
      <c r="G32" s="14"/>
    </row>
    <row r="33" spans="1:7" ht="15">
      <c r="A33" s="129"/>
      <c r="B33" s="355"/>
      <c r="C33" s="355"/>
      <c r="D33" s="355"/>
      <c r="E33" s="355"/>
      <c r="F33" s="15"/>
      <c r="G33" s="15"/>
    </row>
    <row r="34" spans="1:7" ht="15">
      <c r="A34" s="130"/>
      <c r="B34" s="292"/>
      <c r="C34" s="292"/>
      <c r="D34" s="353"/>
      <c r="E34" s="292"/>
      <c r="F34" s="14"/>
      <c r="G34" s="14"/>
    </row>
    <row r="35" spans="1:7" ht="15">
      <c r="A35" s="53" t="s">
        <v>20</v>
      </c>
      <c r="B35" s="354"/>
      <c r="C35" s="292"/>
      <c r="D35" s="353"/>
      <c r="E35" s="292"/>
      <c r="F35" s="14"/>
      <c r="G35" s="14"/>
    </row>
    <row r="36" spans="1:7" ht="15">
      <c r="A36" s="130"/>
      <c r="B36" s="292"/>
      <c r="C36" s="292"/>
      <c r="D36" s="353"/>
      <c r="E36" s="292"/>
      <c r="F36" s="14"/>
      <c r="G36" s="14"/>
    </row>
    <row r="37" spans="1:7" ht="15">
      <c r="A37" s="130"/>
      <c r="B37" s="354"/>
      <c r="C37" s="353" t="s">
        <v>14</v>
      </c>
      <c r="E37" s="355" t="s">
        <v>16</v>
      </c>
      <c r="F37" s="24">
        <f>IF('9. 2005 Rate Sch. Reg. Assets'!$B$46="","",'9. 2005 Rate Sch. Reg. Assets'!$B$46)</f>
        <v>1.28254288801253</v>
      </c>
      <c r="G37" s="14"/>
    </row>
    <row r="38" spans="1:7" ht="15">
      <c r="A38" s="130"/>
      <c r="B38" s="292"/>
      <c r="C38" s="353" t="s">
        <v>15</v>
      </c>
      <c r="E38" s="355" t="s">
        <v>18</v>
      </c>
      <c r="F38" s="15">
        <f>IF('9. 2005 Rate Sch. Reg. Assets'!$B$44="","",'9. 2005 Rate Sch. Reg. Assets'!$B$44+'10. Rate Rider Calculations'!$H$24)</f>
        <v>3.889155314923812</v>
      </c>
      <c r="G38" s="14"/>
    </row>
    <row r="39" spans="1:7" ht="15">
      <c r="A39" s="130"/>
      <c r="B39" s="292"/>
      <c r="C39" s="353"/>
      <c r="E39" s="355"/>
      <c r="F39" s="14"/>
      <c r="G39" s="14"/>
    </row>
    <row r="40" spans="1:7" ht="15">
      <c r="A40" s="129"/>
      <c r="B40" s="292"/>
      <c r="C40" s="292"/>
      <c r="D40" s="353"/>
      <c r="E40" s="292"/>
      <c r="F40" s="14"/>
      <c r="G40" s="14"/>
    </row>
    <row r="41" spans="1:7" ht="15">
      <c r="A41" s="53" t="s">
        <v>21</v>
      </c>
      <c r="B41" s="354"/>
      <c r="C41" s="292"/>
      <c r="D41" s="353"/>
      <c r="E41" s="292"/>
      <c r="F41" s="14"/>
      <c r="G41" s="14"/>
    </row>
    <row r="42" spans="1:7" ht="15">
      <c r="A42" s="130"/>
      <c r="B42" s="292"/>
      <c r="C42" s="292"/>
      <c r="D42" s="353"/>
      <c r="E42" s="292"/>
      <c r="F42" s="14"/>
      <c r="G42" s="14"/>
    </row>
    <row r="43" spans="1:7" ht="12" customHeight="1">
      <c r="A43" s="130"/>
      <c r="B43" s="354"/>
      <c r="C43" s="353" t="s">
        <v>14</v>
      </c>
      <c r="E43" s="355" t="s">
        <v>16</v>
      </c>
      <c r="F43" s="24">
        <f>IF('9. 2005 Rate Sch. Reg. Assets'!$B$52="","",'9. 2005 Rate Sch. Reg. Assets'!$B$52)</f>
        <v>1.1180282324647195</v>
      </c>
      <c r="G43" s="14"/>
    </row>
    <row r="44" spans="1:7" ht="14.25" customHeight="1">
      <c r="A44" s="130"/>
      <c r="B44" s="292"/>
      <c r="C44" s="353" t="s">
        <v>15</v>
      </c>
      <c r="E44" s="355" t="s">
        <v>18</v>
      </c>
      <c r="F44" s="15">
        <f>IF('9. 2005 Rate Sch. Reg. Assets'!$B$50="","",'9. 2005 Rate Sch. Reg. Assets'!$B$50+'10. Rate Rider Calculations'!$H$25)</f>
        <v>3.3232879450538393</v>
      </c>
      <c r="G44" s="14"/>
    </row>
    <row r="45" spans="1:7" ht="15">
      <c r="A45" s="130"/>
      <c r="B45" s="292"/>
      <c r="C45" s="353"/>
      <c r="E45" s="355"/>
      <c r="F45" s="14"/>
      <c r="G45" s="14"/>
    </row>
    <row r="46" spans="1:7" ht="15">
      <c r="A46" s="130"/>
      <c r="B46" s="354"/>
      <c r="C46" s="292"/>
      <c r="E46" s="355"/>
      <c r="F46" s="14"/>
      <c r="G46" s="14"/>
    </row>
    <row r="47" spans="1:7" ht="15">
      <c r="A47" s="129"/>
      <c r="B47" s="292"/>
      <c r="C47" s="292"/>
      <c r="D47" s="353"/>
      <c r="E47" s="292"/>
      <c r="F47" s="14"/>
      <c r="G47" s="14"/>
    </row>
    <row r="48" spans="1:7" ht="15">
      <c r="A48" s="53" t="s">
        <v>196</v>
      </c>
      <c r="B48" s="351"/>
      <c r="C48" s="352"/>
      <c r="D48" s="129"/>
      <c r="E48" s="292"/>
      <c r="G48" s="14"/>
    </row>
    <row r="49" spans="1:6" ht="15">
      <c r="A49" s="130"/>
      <c r="B49" s="292"/>
      <c r="C49" s="292"/>
      <c r="D49" s="353"/>
      <c r="E49" s="292"/>
      <c r="F49" s="14"/>
    </row>
    <row r="50" spans="1:6" ht="15">
      <c r="A50" s="130"/>
      <c r="B50" s="354"/>
      <c r="C50" s="353" t="s">
        <v>14</v>
      </c>
      <c r="E50" s="355" t="s">
        <v>16</v>
      </c>
      <c r="F50" s="485">
        <f>IF('9. 2005 Rate Sch. Reg. Assets'!$B$59="","",'9. 2005 Rate Sch. Reg. Assets'!$B$59)</f>
        <v>11.391009552391258</v>
      </c>
    </row>
    <row r="51" spans="1:6" ht="15">
      <c r="A51" s="130"/>
      <c r="B51" s="292"/>
      <c r="C51" s="353" t="s">
        <v>15</v>
      </c>
      <c r="E51" s="355" t="s">
        <v>17</v>
      </c>
      <c r="F51" s="486">
        <f>IF('9. 2005 Rate Sch. Reg. Assets'!$B$57="","",'9. 2005 Rate Sch. Reg. Assets'!$B$57+'10. Rate Rider Calculations'!$H$26)</f>
        <v>0.022034148231111744</v>
      </c>
    </row>
    <row r="54" spans="1:6" ht="15">
      <c r="A54" s="53" t="s">
        <v>197</v>
      </c>
      <c r="B54" s="351"/>
      <c r="C54" s="352"/>
      <c r="D54" s="353"/>
      <c r="E54" s="292"/>
      <c r="F54" s="14"/>
    </row>
    <row r="55" spans="1:6" ht="15">
      <c r="A55" s="130"/>
      <c r="B55" s="292"/>
      <c r="C55" s="292"/>
      <c r="D55" s="353"/>
      <c r="E55" s="292"/>
      <c r="F55" s="14"/>
    </row>
    <row r="56" spans="1:6" ht="15">
      <c r="A56" s="130"/>
      <c r="B56" s="354"/>
      <c r="C56" s="353" t="s">
        <v>14</v>
      </c>
      <c r="E56" s="355" t="s">
        <v>16</v>
      </c>
      <c r="F56" s="485">
        <f>IF('9. 2005 Rate Sch. Reg. Assets'!$B$66="","",'9. 2005 Rate Sch. Reg. Assets'!$B$66)</f>
        <v>13.789027515748941</v>
      </c>
    </row>
    <row r="57" spans="1:6" ht="15">
      <c r="A57" s="130"/>
      <c r="B57" s="292"/>
      <c r="C57" s="353" t="s">
        <v>15</v>
      </c>
      <c r="E57" s="355" t="s">
        <v>17</v>
      </c>
      <c r="F57" s="486">
        <f>IF('9. 2005 Rate Sch. Reg. Assets'!$B$64="","",'9. 2005 Rate Sch. Reg. Assets'!$B$64+'10. Rate Rider Calculations'!$H$27)</f>
        <v>0.017601640770202712</v>
      </c>
    </row>
    <row r="58" spans="1:6" ht="15">
      <c r="A58" s="130"/>
      <c r="B58" s="354"/>
      <c r="C58" s="353"/>
      <c r="E58" s="355"/>
      <c r="F58" s="14"/>
    </row>
    <row r="59" spans="1:6" ht="15">
      <c r="A59" s="130"/>
      <c r="B59" s="292"/>
      <c r="C59" s="292"/>
      <c r="D59" s="353"/>
      <c r="E59" s="292"/>
      <c r="F59" s="14"/>
    </row>
    <row r="60" spans="1:6" ht="15">
      <c r="A60" s="53" t="s">
        <v>220</v>
      </c>
      <c r="B60" s="351"/>
      <c r="C60" s="352"/>
      <c r="D60" s="353"/>
      <c r="E60" s="292"/>
      <c r="F60" s="14"/>
    </row>
    <row r="61" spans="1:6" ht="15">
      <c r="A61" s="130"/>
      <c r="B61" s="292"/>
      <c r="C61" s="292"/>
      <c r="D61" s="353"/>
      <c r="E61" s="292"/>
      <c r="F61" s="14"/>
    </row>
    <row r="62" spans="1:6" ht="15">
      <c r="A62" s="130"/>
      <c r="B62" s="354"/>
      <c r="C62" s="353" t="s">
        <v>14</v>
      </c>
      <c r="E62" s="355" t="s">
        <v>16</v>
      </c>
      <c r="F62" s="485">
        <f>IF('9. 2005 Rate Sch. Reg. Assets'!$B$73="","",'9. 2005 Rate Sch. Reg. Assets'!$B$73)</f>
        <v>25.415302837827074</v>
      </c>
    </row>
    <row r="63" spans="1:6" ht="15">
      <c r="A63" s="130"/>
      <c r="B63" s="292"/>
      <c r="C63" s="353" t="s">
        <v>15</v>
      </c>
      <c r="E63" s="355" t="s">
        <v>18</v>
      </c>
      <c r="F63" s="486">
        <f>IF('9. 2005 Rate Sch. Reg. Assets'!$B$71="","",'9. 2005 Rate Sch. Reg. Assets'!$B$71+'10. Rate Rider Calculations'!$H$28)</f>
        <v>5.18562994058236</v>
      </c>
    </row>
    <row r="64" spans="1:6" ht="15">
      <c r="A64" s="130"/>
      <c r="B64" s="354"/>
      <c r="C64" s="353"/>
      <c r="E64" s="355"/>
      <c r="F64" s="14"/>
    </row>
    <row r="65" spans="1:6" ht="15">
      <c r="A65" s="130"/>
      <c r="B65" s="292"/>
      <c r="C65" s="292"/>
      <c r="D65" s="353"/>
      <c r="E65" s="292"/>
      <c r="F65" s="14"/>
    </row>
  </sheetData>
  <sheetProtection/>
  <mergeCells count="4">
    <mergeCell ref="A1:H1"/>
    <mergeCell ref="A3:H3"/>
    <mergeCell ref="A4:H4"/>
    <mergeCell ref="A2:H2"/>
  </mergeCells>
  <printOptions/>
  <pageMargins left="0.7480314960629921" right="0.7480314960629921" top="0.984251968503937" bottom="0.7874015748031497" header="0.5118110236220472" footer="0.5118110236220472"/>
  <pageSetup fitToHeight="0" horizontalDpi="600" verticalDpi="600" orientation="portrait" scale="71" r:id="rId1"/>
  <headerFooter alignWithMargins="0">
    <oddFooter>&amp;LHaldimand County Hydro Inc.
Page &amp;P of &amp;N&amp;R&amp;"Arial,Bold"&amp;F
&amp;A</oddFooter>
  </headerFooter>
  <rowBreaks count="1" manualBreakCount="1">
    <brk id="46" max="7" man="1"/>
  </rowBreaks>
</worksheet>
</file>

<file path=xl/worksheets/sheet13.xml><?xml version="1.0" encoding="utf-8"?>
<worksheet xmlns="http://schemas.openxmlformats.org/spreadsheetml/2006/main" xmlns:r="http://schemas.openxmlformats.org/officeDocument/2006/relationships">
  <dimension ref="A1:H90"/>
  <sheetViews>
    <sheetView zoomScale="75" zoomScaleNormal="75" zoomScalePageLayoutView="0" workbookViewId="0" topLeftCell="A1">
      <selection activeCell="A64" sqref="A64"/>
    </sheetView>
  </sheetViews>
  <sheetFormatPr defaultColWidth="9.140625" defaultRowHeight="12.75"/>
  <cols>
    <col min="1" max="1" width="43.8515625" style="8" customWidth="1"/>
    <col min="2" max="2" width="12.00390625" style="8" customWidth="1"/>
    <col min="3" max="3" width="2.28125" style="8" customWidth="1"/>
    <col min="4" max="4" width="22.00390625" style="8" customWidth="1"/>
    <col min="5" max="5" width="23.57421875" style="8" customWidth="1"/>
    <col min="6" max="6" width="20.57421875" style="8" customWidth="1"/>
    <col min="7" max="7" width="14.00390625" style="8" customWidth="1"/>
    <col min="8" max="16384" width="9.140625" style="8" customWidth="1"/>
  </cols>
  <sheetData>
    <row r="1" spans="1:8" ht="15">
      <c r="A1" s="575" t="str">
        <f>IF(ISBLANK('Info Sheet'!B4),"",'Info Sheet'!B4)</f>
        <v>Haldimand County Hydro Inc.</v>
      </c>
      <c r="B1" s="575"/>
      <c r="C1" s="575"/>
      <c r="D1" s="575"/>
      <c r="E1" s="575"/>
      <c r="F1" s="575"/>
      <c r="G1" s="575"/>
      <c r="H1" s="575"/>
    </row>
    <row r="2" spans="1:8" ht="15">
      <c r="A2" s="575" t="str">
        <f>IF(ISBLANK('Info Sheet'!B6),"",'Info Sheet'!B8&amp;"    "&amp;'Info Sheet'!B10)</f>
        <v>RP-2005-0013    EB-2005-0034</v>
      </c>
      <c r="B2" s="575"/>
      <c r="C2" s="575"/>
      <c r="D2" s="575"/>
      <c r="E2" s="575"/>
      <c r="F2" s="575"/>
      <c r="G2" s="575"/>
      <c r="H2" s="575"/>
    </row>
    <row r="3" spans="1:8" ht="15">
      <c r="A3" s="575" t="s">
        <v>170</v>
      </c>
      <c r="B3" s="575"/>
      <c r="C3" s="575"/>
      <c r="D3" s="575"/>
      <c r="E3" s="575"/>
      <c r="F3" s="575"/>
      <c r="G3" s="575"/>
      <c r="H3" s="575"/>
    </row>
    <row r="4" spans="1:8" ht="15.75" customHeight="1">
      <c r="A4" s="576" t="s">
        <v>171</v>
      </c>
      <c r="B4" s="576"/>
      <c r="C4" s="576"/>
      <c r="D4" s="576"/>
      <c r="E4" s="576"/>
      <c r="F4" s="576"/>
      <c r="G4" s="576"/>
      <c r="H4" s="576"/>
    </row>
    <row r="5" spans="1:8" ht="15.75" customHeight="1">
      <c r="A5" s="356"/>
      <c r="B5" s="356"/>
      <c r="C5" s="356"/>
      <c r="D5" s="356"/>
      <c r="E5" s="356"/>
      <c r="F5" s="356"/>
      <c r="G5" s="356"/>
      <c r="H5" s="356"/>
    </row>
    <row r="6" spans="1:5" ht="15">
      <c r="A6" s="35"/>
      <c r="D6" s="130"/>
      <c r="E6" s="35"/>
    </row>
    <row r="7" spans="1:5" ht="15">
      <c r="A7" s="370"/>
      <c r="D7" s="130"/>
      <c r="E7" s="35"/>
    </row>
    <row r="8" spans="1:5" ht="15">
      <c r="A8" s="46"/>
      <c r="B8" s="130"/>
      <c r="C8" s="130"/>
      <c r="D8" s="130"/>
      <c r="E8" s="130"/>
    </row>
    <row r="9" spans="1:5" ht="15">
      <c r="A9" s="46"/>
      <c r="B9" s="130"/>
      <c r="C9" s="130"/>
      <c r="D9" s="130"/>
      <c r="E9" s="130"/>
    </row>
    <row r="10" spans="1:5" ht="15">
      <c r="A10" s="46"/>
      <c r="B10" s="130"/>
      <c r="C10" s="130"/>
      <c r="D10" s="130"/>
      <c r="E10" s="130"/>
    </row>
    <row r="11" spans="1:7" ht="15">
      <c r="A11" s="53" t="s">
        <v>195</v>
      </c>
      <c r="B11" s="351"/>
      <c r="C11" s="352"/>
      <c r="D11" s="129"/>
      <c r="E11" s="292"/>
      <c r="G11" s="14"/>
    </row>
    <row r="12" spans="1:7" ht="15">
      <c r="A12" s="130"/>
      <c r="B12" s="292"/>
      <c r="C12" s="292"/>
      <c r="D12" s="353"/>
      <c r="E12" s="292"/>
      <c r="F12" s="14"/>
      <c r="G12" s="14"/>
    </row>
    <row r="13" spans="1:8" ht="15">
      <c r="A13" s="130"/>
      <c r="B13" s="354"/>
      <c r="C13" s="353" t="s">
        <v>14</v>
      </c>
      <c r="E13" s="355" t="s">
        <v>16</v>
      </c>
      <c r="F13" s="24">
        <f>'11. 2005 Final Rate Schedule '!F13</f>
        <v>9.919303766434421</v>
      </c>
      <c r="G13" s="284"/>
      <c r="H13" s="284"/>
    </row>
    <row r="14" spans="1:7" ht="15">
      <c r="A14" s="130"/>
      <c r="B14" s="292"/>
      <c r="C14" s="353" t="s">
        <v>15</v>
      </c>
      <c r="E14" s="355" t="s">
        <v>17</v>
      </c>
      <c r="F14" s="15">
        <f>'11. 2005 Final Rate Schedule '!F14</f>
        <v>0.021767308827770195</v>
      </c>
      <c r="G14" s="14"/>
    </row>
    <row r="15" spans="1:8" ht="15">
      <c r="A15" s="130"/>
      <c r="B15" s="354"/>
      <c r="C15" s="353"/>
      <c r="E15" s="355"/>
      <c r="F15" s="14"/>
      <c r="G15" s="264"/>
      <c r="H15" s="284"/>
    </row>
    <row r="16" spans="1:7" ht="15">
      <c r="A16" s="130"/>
      <c r="B16" s="292"/>
      <c r="C16" s="292"/>
      <c r="D16" s="292"/>
      <c r="E16" s="292"/>
      <c r="F16" s="14"/>
      <c r="G16" s="14"/>
    </row>
    <row r="17" spans="1:7" ht="15">
      <c r="A17" s="53" t="s">
        <v>199</v>
      </c>
      <c r="B17" s="351"/>
      <c r="C17" s="352"/>
      <c r="D17" s="353"/>
      <c r="E17" s="292"/>
      <c r="F17" s="14"/>
      <c r="G17" s="14"/>
    </row>
    <row r="18" spans="1:7" ht="15">
      <c r="A18" s="130"/>
      <c r="B18" s="292"/>
      <c r="C18" s="292"/>
      <c r="D18" s="353"/>
      <c r="E18" s="292"/>
      <c r="F18" s="14"/>
      <c r="G18" s="14"/>
    </row>
    <row r="19" spans="1:8" ht="15">
      <c r="A19" s="130"/>
      <c r="B19" s="354"/>
      <c r="C19" s="353" t="s">
        <v>14</v>
      </c>
      <c r="E19" s="355" t="s">
        <v>16</v>
      </c>
      <c r="F19" s="24">
        <f>'11. 2005 Final Rate Schedule '!F18</f>
        <v>13.425423752205502</v>
      </c>
      <c r="G19" s="285"/>
      <c r="H19" s="284"/>
    </row>
    <row r="20" spans="1:7" ht="15">
      <c r="A20" s="130"/>
      <c r="B20" s="292"/>
      <c r="C20" s="353" t="s">
        <v>15</v>
      </c>
      <c r="E20" s="355" t="s">
        <v>17</v>
      </c>
      <c r="F20" s="15">
        <f>'11. 2005 Final Rate Schedule '!F19</f>
        <v>0.018297067080894885</v>
      </c>
      <c r="G20" s="285"/>
    </row>
    <row r="21" spans="1:8" ht="15">
      <c r="A21" s="130"/>
      <c r="B21" s="354"/>
      <c r="C21" s="353"/>
      <c r="E21" s="355"/>
      <c r="F21" s="14"/>
      <c r="G21" s="285"/>
      <c r="H21" s="284"/>
    </row>
    <row r="22" spans="1:7" ht="15">
      <c r="A22" s="130"/>
      <c r="B22" s="292"/>
      <c r="C22" s="292"/>
      <c r="D22" s="353"/>
      <c r="E22" s="292"/>
      <c r="F22" s="14"/>
      <c r="G22" s="14"/>
    </row>
    <row r="23" spans="1:7" ht="15">
      <c r="A23" s="53" t="s">
        <v>219</v>
      </c>
      <c r="B23" s="351"/>
      <c r="C23" s="352"/>
      <c r="D23" s="353"/>
      <c r="E23" s="292"/>
      <c r="F23" s="14"/>
      <c r="G23" s="14"/>
    </row>
    <row r="24" spans="1:7" ht="15">
      <c r="A24" s="130"/>
      <c r="B24" s="292"/>
      <c r="C24" s="292"/>
      <c r="D24" s="353"/>
      <c r="E24" s="292"/>
      <c r="F24" s="14"/>
      <c r="G24" s="14"/>
    </row>
    <row r="25" spans="1:7" ht="15">
      <c r="A25" s="130"/>
      <c r="B25" s="354"/>
      <c r="C25" s="353" t="s">
        <v>14</v>
      </c>
      <c r="E25" s="355" t="s">
        <v>16</v>
      </c>
      <c r="F25" s="24">
        <f>'11. 2005 Final Rate Schedule '!F24</f>
        <v>25.52210788880356</v>
      </c>
      <c r="G25" s="14"/>
    </row>
    <row r="26" spans="1:7" ht="15">
      <c r="A26" s="130"/>
      <c r="B26" s="292"/>
      <c r="C26" s="353" t="s">
        <v>15</v>
      </c>
      <c r="E26" s="355" t="s">
        <v>18</v>
      </c>
      <c r="F26" s="15">
        <f>'11. 2005 Final Rate Schedule '!F25</f>
        <v>5.15040930111312</v>
      </c>
      <c r="G26" s="14"/>
    </row>
    <row r="27" spans="1:7" ht="15">
      <c r="A27" s="130"/>
      <c r="B27" s="354"/>
      <c r="C27" s="353"/>
      <c r="E27" s="355"/>
      <c r="F27" s="14"/>
      <c r="G27" s="14"/>
    </row>
    <row r="28" spans="1:7" ht="15">
      <c r="A28" s="130"/>
      <c r="B28" s="292"/>
      <c r="C28" s="292"/>
      <c r="D28" s="353"/>
      <c r="E28" s="292"/>
      <c r="F28" s="14"/>
      <c r="G28" s="14"/>
    </row>
    <row r="29" spans="1:7" ht="15">
      <c r="A29" s="53" t="s">
        <v>19</v>
      </c>
      <c r="B29" s="292"/>
      <c r="C29" s="292"/>
      <c r="D29" s="353"/>
      <c r="E29" s="292"/>
      <c r="F29" s="14"/>
      <c r="G29" s="14"/>
    </row>
    <row r="30" spans="2:7" ht="15">
      <c r="B30" s="351"/>
      <c r="C30" s="352"/>
      <c r="D30" s="353"/>
      <c r="E30" s="292"/>
      <c r="F30" s="14"/>
      <c r="G30" s="14"/>
    </row>
    <row r="31" spans="1:7" ht="15">
      <c r="A31" s="129"/>
      <c r="B31" s="292"/>
      <c r="C31" s="353" t="s">
        <v>14</v>
      </c>
      <c r="E31" s="355" t="s">
        <v>16</v>
      </c>
      <c r="F31" s="24">
        <f>'11. 2005 Final Rate Schedule '!F30</f>
        <v>9.365099899119182</v>
      </c>
      <c r="G31" s="14"/>
    </row>
    <row r="32" spans="1:7" ht="15">
      <c r="A32" s="130"/>
      <c r="B32" s="354"/>
      <c r="C32" s="353" t="s">
        <v>15</v>
      </c>
      <c r="E32" s="355" t="s">
        <v>18</v>
      </c>
      <c r="F32" s="15">
        <f>'11. 2005 Final Rate Schedule '!F31</f>
        <v>0.9104302869120998</v>
      </c>
      <c r="G32" s="14"/>
    </row>
    <row r="33" spans="1:7" ht="15">
      <c r="A33" s="130"/>
      <c r="B33" s="354"/>
      <c r="C33" s="353"/>
      <c r="E33" s="355"/>
      <c r="F33" s="14"/>
      <c r="G33" s="14"/>
    </row>
    <row r="34" spans="1:7" ht="15">
      <c r="A34" s="129"/>
      <c r="B34" s="355"/>
      <c r="C34" s="355"/>
      <c r="D34" s="355"/>
      <c r="E34" s="355"/>
      <c r="F34" s="15"/>
      <c r="G34" s="15"/>
    </row>
    <row r="35" spans="1:7" ht="15">
      <c r="A35" s="53" t="s">
        <v>20</v>
      </c>
      <c r="B35" s="354"/>
      <c r="C35" s="292"/>
      <c r="D35" s="353"/>
      <c r="E35" s="292"/>
      <c r="F35" s="14"/>
      <c r="G35" s="14"/>
    </row>
    <row r="36" spans="1:7" ht="15">
      <c r="A36" s="130"/>
      <c r="B36" s="292"/>
      <c r="C36" s="292"/>
      <c r="D36" s="353"/>
      <c r="E36" s="292"/>
      <c r="F36" s="14"/>
      <c r="G36" s="14"/>
    </row>
    <row r="37" spans="1:7" ht="15">
      <c r="A37" s="130"/>
      <c r="B37" s="354"/>
      <c r="C37" s="353" t="s">
        <v>14</v>
      </c>
      <c r="E37" s="355" t="s">
        <v>16</v>
      </c>
      <c r="F37" s="24">
        <f>'11. 2005 Final Rate Schedule '!F37</f>
        <v>1.28254288801253</v>
      </c>
      <c r="G37" s="14"/>
    </row>
    <row r="38" spans="1:7" ht="15">
      <c r="A38" s="130"/>
      <c r="B38" s="292"/>
      <c r="C38" s="353" t="s">
        <v>15</v>
      </c>
      <c r="E38" s="355" t="s">
        <v>18</v>
      </c>
      <c r="F38" s="15">
        <f>'11. 2005 Final Rate Schedule '!F38</f>
        <v>3.889155314923812</v>
      </c>
      <c r="G38" s="14"/>
    </row>
    <row r="39" spans="1:7" ht="15">
      <c r="A39" s="130"/>
      <c r="B39" s="292"/>
      <c r="C39" s="353"/>
      <c r="E39" s="355"/>
      <c r="F39" s="14"/>
      <c r="G39" s="14"/>
    </row>
    <row r="40" spans="1:7" ht="15">
      <c r="A40" s="129"/>
      <c r="B40" s="292"/>
      <c r="C40" s="292"/>
      <c r="D40" s="353"/>
      <c r="E40" s="292"/>
      <c r="F40" s="14"/>
      <c r="G40" s="14"/>
    </row>
    <row r="41" spans="1:7" ht="15">
      <c r="A41" s="53" t="s">
        <v>21</v>
      </c>
      <c r="B41" s="354"/>
      <c r="C41" s="292"/>
      <c r="D41" s="353"/>
      <c r="E41" s="292"/>
      <c r="F41" s="14"/>
      <c r="G41" s="14"/>
    </row>
    <row r="42" spans="1:7" ht="15">
      <c r="A42" s="130"/>
      <c r="B42" s="292"/>
      <c r="C42" s="292"/>
      <c r="D42" s="353"/>
      <c r="E42" s="292"/>
      <c r="F42" s="14"/>
      <c r="G42" s="14"/>
    </row>
    <row r="43" spans="1:7" ht="12" customHeight="1">
      <c r="A43" s="130"/>
      <c r="B43" s="354"/>
      <c r="C43" s="353" t="s">
        <v>14</v>
      </c>
      <c r="E43" s="355" t="s">
        <v>16</v>
      </c>
      <c r="F43" s="24">
        <f>'11. 2005 Final Rate Schedule '!F43</f>
        <v>1.1180282324647195</v>
      </c>
      <c r="G43" s="14"/>
    </row>
    <row r="44" spans="1:7" ht="14.25" customHeight="1">
      <c r="A44" s="130"/>
      <c r="B44" s="292"/>
      <c r="C44" s="353" t="s">
        <v>15</v>
      </c>
      <c r="E44" s="355" t="s">
        <v>18</v>
      </c>
      <c r="F44" s="15">
        <f>'11. 2005 Final Rate Schedule '!F44</f>
        <v>3.3232879450538393</v>
      </c>
      <c r="G44" s="14"/>
    </row>
    <row r="45" spans="1:7" ht="15">
      <c r="A45" s="130"/>
      <c r="B45" s="292"/>
      <c r="C45" s="353"/>
      <c r="E45" s="355"/>
      <c r="F45" s="14"/>
      <c r="G45" s="14"/>
    </row>
    <row r="46" spans="1:7" ht="15">
      <c r="A46" s="129"/>
      <c r="B46" s="292"/>
      <c r="C46" s="292"/>
      <c r="D46" s="353"/>
      <c r="E46" s="292"/>
      <c r="F46" s="14"/>
      <c r="G46" s="14"/>
    </row>
    <row r="47" spans="1:7" ht="15">
      <c r="A47" s="53" t="s">
        <v>196</v>
      </c>
      <c r="B47" s="351"/>
      <c r="C47" s="352"/>
      <c r="D47" s="129"/>
      <c r="E47" s="292"/>
      <c r="G47" s="14"/>
    </row>
    <row r="48" spans="1:6" ht="15">
      <c r="A48" s="130"/>
      <c r="B48" s="292"/>
      <c r="C48" s="292"/>
      <c r="D48" s="353"/>
      <c r="E48" s="292"/>
      <c r="F48" s="14"/>
    </row>
    <row r="49" spans="1:6" ht="15">
      <c r="A49" s="130"/>
      <c r="B49" s="354"/>
      <c r="C49" s="353" t="s">
        <v>14</v>
      </c>
      <c r="E49" s="355" t="s">
        <v>16</v>
      </c>
      <c r="F49" s="24">
        <f>'11. 2005 Final Rate Schedule '!F50</f>
        <v>11.391009552391258</v>
      </c>
    </row>
    <row r="50" spans="1:6" ht="15">
      <c r="A50" s="130"/>
      <c r="B50" s="292"/>
      <c r="C50" s="353" t="s">
        <v>15</v>
      </c>
      <c r="E50" s="355" t="s">
        <v>17</v>
      </c>
      <c r="F50" s="15">
        <f>'11. 2005 Final Rate Schedule '!F51</f>
        <v>0.022034148231111744</v>
      </c>
    </row>
    <row r="53" spans="1:6" ht="15">
      <c r="A53" s="53" t="s">
        <v>197</v>
      </c>
      <c r="B53" s="351"/>
      <c r="C53" s="352"/>
      <c r="D53" s="353"/>
      <c r="E53" s="292"/>
      <c r="F53" s="14"/>
    </row>
    <row r="54" spans="1:6" ht="15">
      <c r="A54" s="130"/>
      <c r="B54" s="292"/>
      <c r="C54" s="292"/>
      <c r="D54" s="353"/>
      <c r="E54" s="292"/>
      <c r="F54" s="14"/>
    </row>
    <row r="55" spans="1:6" ht="15">
      <c r="A55" s="130"/>
      <c r="B55" s="354"/>
      <c r="C55" s="353" t="s">
        <v>14</v>
      </c>
      <c r="E55" s="355" t="s">
        <v>16</v>
      </c>
      <c r="F55" s="24">
        <f>'11. 2005 Final Rate Schedule '!F56</f>
        <v>13.789027515748941</v>
      </c>
    </row>
    <row r="56" spans="1:6" ht="15">
      <c r="A56" s="130"/>
      <c r="B56" s="292"/>
      <c r="C56" s="353" t="s">
        <v>15</v>
      </c>
      <c r="E56" s="355" t="s">
        <v>17</v>
      </c>
      <c r="F56" s="15">
        <f>'11. 2005 Final Rate Schedule '!F57</f>
        <v>0.017601640770202712</v>
      </c>
    </row>
    <row r="57" spans="1:6" ht="15">
      <c r="A57" s="130"/>
      <c r="B57" s="354"/>
      <c r="C57" s="353"/>
      <c r="E57" s="355"/>
      <c r="F57" s="14"/>
    </row>
    <row r="58" spans="1:6" ht="15">
      <c r="A58" s="130"/>
      <c r="B58" s="292"/>
      <c r="C58" s="292"/>
      <c r="D58" s="353"/>
      <c r="E58" s="292"/>
      <c r="F58" s="14"/>
    </row>
    <row r="59" spans="1:6" ht="15">
      <c r="A59" s="53" t="s">
        <v>220</v>
      </c>
      <c r="B59" s="351"/>
      <c r="C59" s="352"/>
      <c r="D59" s="353"/>
      <c r="E59" s="292"/>
      <c r="F59" s="14"/>
    </row>
    <row r="60" spans="1:6" ht="15">
      <c r="A60" s="130"/>
      <c r="B60" s="292"/>
      <c r="C60" s="292"/>
      <c r="D60" s="353"/>
      <c r="E60" s="292"/>
      <c r="F60" s="14"/>
    </row>
    <row r="61" spans="1:6" ht="15">
      <c r="A61" s="130"/>
      <c r="B61" s="354"/>
      <c r="C61" s="353" t="s">
        <v>14</v>
      </c>
      <c r="E61" s="355" t="s">
        <v>16</v>
      </c>
      <c r="F61" s="24">
        <f>'11. 2005 Final Rate Schedule '!F62</f>
        <v>25.415302837827074</v>
      </c>
    </row>
    <row r="62" spans="1:6" ht="15">
      <c r="A62" s="130"/>
      <c r="B62" s="292"/>
      <c r="C62" s="353" t="s">
        <v>15</v>
      </c>
      <c r="E62" s="355" t="s">
        <v>18</v>
      </c>
      <c r="F62" s="15">
        <f>'11. 2005 Final Rate Schedule '!F63</f>
        <v>5.18562994058236</v>
      </c>
    </row>
    <row r="63" spans="1:6" ht="15">
      <c r="A63" s="130"/>
      <c r="B63" s="354"/>
      <c r="C63" s="353"/>
      <c r="E63" s="355"/>
      <c r="F63" s="14"/>
    </row>
    <row r="64" spans="1:6" ht="15">
      <c r="A64" s="130"/>
      <c r="B64" s="292"/>
      <c r="C64" s="292"/>
      <c r="D64" s="353"/>
      <c r="E64" s="292"/>
      <c r="F64" s="14"/>
    </row>
    <row r="65" spans="1:5" ht="17.25">
      <c r="A65" s="510" t="s">
        <v>230</v>
      </c>
      <c r="B65" s="511"/>
      <c r="C65" s="511"/>
      <c r="D65" s="512"/>
      <c r="E65" s="511"/>
    </row>
    <row r="66" spans="1:5" ht="15">
      <c r="A66" s="513"/>
      <c r="B66" s="514"/>
      <c r="C66" s="511"/>
      <c r="D66" s="512"/>
      <c r="E66" s="511"/>
    </row>
    <row r="67" spans="1:5" ht="15">
      <c r="A67" s="513"/>
      <c r="B67" s="511"/>
      <c r="C67" s="511"/>
      <c r="D67" s="512"/>
      <c r="E67" s="511"/>
    </row>
    <row r="68" spans="1:5" ht="15">
      <c r="A68" s="515"/>
      <c r="B68" s="514"/>
      <c r="C68" s="511"/>
      <c r="D68" s="512"/>
      <c r="E68" s="511"/>
    </row>
    <row r="69" spans="1:5" ht="15">
      <c r="A69" s="506" t="s">
        <v>231</v>
      </c>
      <c r="B69" s="516"/>
      <c r="C69" s="513"/>
      <c r="D69" s="512"/>
      <c r="E69" s="511"/>
    </row>
    <row r="70" spans="1:5" ht="12.75">
      <c r="A70" s="507" t="s">
        <v>232</v>
      </c>
      <c r="B70" s="516"/>
      <c r="C70" s="513"/>
      <c r="D70" s="513"/>
      <c r="E70" s="6">
        <v>8.8</v>
      </c>
    </row>
    <row r="71" spans="1:5" ht="12.75">
      <c r="A71" s="507" t="s">
        <v>233</v>
      </c>
      <c r="B71" s="516"/>
      <c r="C71" s="513"/>
      <c r="D71" s="513"/>
      <c r="E71" s="6">
        <v>10.5</v>
      </c>
    </row>
    <row r="72" spans="1:5" ht="12.75">
      <c r="A72" s="508"/>
      <c r="B72" s="516"/>
      <c r="C72" s="513"/>
      <c r="D72" s="513"/>
      <c r="E72" s="6"/>
    </row>
    <row r="73" spans="1:5" ht="12.75">
      <c r="A73" s="508" t="s">
        <v>234</v>
      </c>
      <c r="B73" s="516"/>
      <c r="C73" s="513"/>
      <c r="D73" s="513"/>
      <c r="E73" s="6"/>
    </row>
    <row r="74" spans="1:5" ht="12.75">
      <c r="A74" s="577" t="s">
        <v>235</v>
      </c>
      <c r="B74" s="578"/>
      <c r="C74" s="513"/>
      <c r="D74" s="517" t="s">
        <v>16</v>
      </c>
      <c r="E74" s="521">
        <v>0.015</v>
      </c>
    </row>
    <row r="75" spans="1:5" ht="12.75">
      <c r="A75" s="579"/>
      <c r="B75" s="578"/>
      <c r="C75" s="513"/>
      <c r="D75" s="517" t="s">
        <v>236</v>
      </c>
      <c r="E75" s="522">
        <v>0.1956</v>
      </c>
    </row>
    <row r="76" spans="1:5" ht="12.75">
      <c r="A76" s="513"/>
      <c r="B76" s="513"/>
      <c r="C76" s="513"/>
      <c r="D76" s="513"/>
      <c r="E76" s="523"/>
    </row>
    <row r="77" spans="1:5" ht="12.75">
      <c r="A77" s="507" t="s">
        <v>237</v>
      </c>
      <c r="B77" s="516"/>
      <c r="C77" s="513"/>
      <c r="D77" s="513"/>
      <c r="E77" s="6">
        <v>13</v>
      </c>
    </row>
    <row r="78" spans="1:5" ht="12.75">
      <c r="A78" s="507" t="s">
        <v>238</v>
      </c>
      <c r="B78" s="518"/>
      <c r="C78" s="513"/>
      <c r="D78" s="513"/>
      <c r="E78" s="6">
        <v>9</v>
      </c>
    </row>
    <row r="79" spans="1:5" ht="12.75">
      <c r="A79" s="509"/>
      <c r="B79" s="516"/>
      <c r="C79" s="513"/>
      <c r="D79" s="513"/>
      <c r="E79" s="6"/>
    </row>
    <row r="80" spans="1:5" ht="12.75">
      <c r="A80" s="507" t="s">
        <v>239</v>
      </c>
      <c r="B80" s="516"/>
      <c r="C80" s="513"/>
      <c r="D80" s="513"/>
      <c r="E80" s="6"/>
    </row>
    <row r="81" spans="1:5" ht="12.75">
      <c r="A81" s="519" t="s">
        <v>240</v>
      </c>
      <c r="B81" s="513"/>
      <c r="C81" s="513"/>
      <c r="D81" s="513"/>
      <c r="E81" s="6">
        <v>20</v>
      </c>
    </row>
    <row r="82" spans="1:5" ht="12.75">
      <c r="A82" s="520" t="s">
        <v>241</v>
      </c>
      <c r="B82" s="513"/>
      <c r="C82" s="513"/>
      <c r="D82" s="513"/>
      <c r="E82" s="6">
        <v>50</v>
      </c>
    </row>
    <row r="83" spans="1:5" ht="12.75">
      <c r="A83" s="513"/>
      <c r="B83" s="513"/>
      <c r="C83" s="513"/>
      <c r="D83" s="513"/>
      <c r="E83" s="523"/>
    </row>
    <row r="84" spans="1:5" ht="12.75">
      <c r="A84" s="513"/>
      <c r="B84" s="513"/>
      <c r="C84" s="513"/>
      <c r="D84" s="513"/>
      <c r="E84" s="523"/>
    </row>
    <row r="85" spans="1:5" ht="12.75">
      <c r="A85" s="506" t="s">
        <v>242</v>
      </c>
      <c r="B85" s="516"/>
      <c r="C85" s="513"/>
      <c r="D85" s="513"/>
      <c r="E85" s="6"/>
    </row>
    <row r="86" spans="1:5" ht="12.75">
      <c r="A86" s="580" t="s">
        <v>243</v>
      </c>
      <c r="B86" s="578"/>
      <c r="C86" s="513"/>
      <c r="D86" s="517" t="s">
        <v>244</v>
      </c>
      <c r="E86" s="6">
        <v>0.6</v>
      </c>
    </row>
    <row r="87" spans="1:5" ht="12.75">
      <c r="A87" s="507"/>
      <c r="B87" s="516"/>
      <c r="C87" s="513"/>
      <c r="D87" s="513"/>
      <c r="E87" s="513"/>
    </row>
    <row r="88" spans="1:5" ht="12.75">
      <c r="A88" s="513"/>
      <c r="B88" s="513"/>
      <c r="C88" s="513"/>
      <c r="D88" s="513"/>
      <c r="E88" s="513"/>
    </row>
    <row r="89" spans="1:5" ht="12.75">
      <c r="A89" s="513"/>
      <c r="B89" s="513"/>
      <c r="C89" s="513"/>
      <c r="D89" s="513"/>
      <c r="E89" s="513"/>
    </row>
    <row r="90" spans="1:5" ht="12.75">
      <c r="A90" s="513"/>
      <c r="B90" s="513"/>
      <c r="C90" s="513"/>
      <c r="D90" s="513"/>
      <c r="E90" s="513"/>
    </row>
  </sheetData>
  <sheetProtection/>
  <mergeCells count="6">
    <mergeCell ref="A74:B75"/>
    <mergeCell ref="A86:B86"/>
    <mergeCell ref="A1:H1"/>
    <mergeCell ref="A3:H3"/>
    <mergeCell ref="A4:H4"/>
    <mergeCell ref="A2:H2"/>
  </mergeCells>
  <printOptions/>
  <pageMargins left="0.7480314960629921" right="0.7480314960629921" top="0.984251968503937" bottom="0.7874015748031497" header="0.5118110236220472" footer="0.5118110236220472"/>
  <pageSetup fitToHeight="0" horizontalDpi="600" verticalDpi="600" orientation="portrait" scale="61" r:id="rId1"/>
  <headerFooter alignWithMargins="0">
    <oddFooter>&amp;LHaldimand County Hydro Inc.
Page &amp;P of &amp;N&amp;R&amp;"Arial,Bold"&amp;F
&amp;A</oddFooter>
  </headerFooter>
  <rowBreaks count="1" manualBreakCount="1">
    <brk id="45" max="7" man="1"/>
  </rowBreaks>
</worksheet>
</file>

<file path=xl/worksheets/sheet14.xml><?xml version="1.0" encoding="utf-8"?>
<worksheet xmlns="http://schemas.openxmlformats.org/spreadsheetml/2006/main" xmlns:r="http://schemas.openxmlformats.org/officeDocument/2006/relationships">
  <dimension ref="A1:G107"/>
  <sheetViews>
    <sheetView zoomScale="75" zoomScaleNormal="75" zoomScalePageLayoutView="0" workbookViewId="0" topLeftCell="A1">
      <selection activeCell="C82" sqref="C82"/>
    </sheetView>
  </sheetViews>
  <sheetFormatPr defaultColWidth="9.140625" defaultRowHeight="12.75"/>
  <cols>
    <col min="1" max="1" width="37.8515625" style="8" customWidth="1"/>
    <col min="2" max="2" width="14.7109375" style="8" customWidth="1"/>
    <col min="3" max="3" width="14.28125" style="8" customWidth="1"/>
    <col min="4" max="4" width="16.57421875" style="8" customWidth="1"/>
    <col min="5" max="5" width="14.28125" style="8" customWidth="1"/>
    <col min="6" max="7" width="15.57421875" style="8" customWidth="1"/>
    <col min="8" max="16384" width="9.140625" style="8" customWidth="1"/>
  </cols>
  <sheetData>
    <row r="1" spans="1:4" ht="17.25">
      <c r="A1" s="36" t="s">
        <v>187</v>
      </c>
      <c r="D1" s="9"/>
    </row>
    <row r="2" ht="13.5" thickBot="1"/>
    <row r="3" spans="1:6" ht="15">
      <c r="A3" s="286" t="str">
        <f>"Name of Utility:      "&amp;'Info Sheet'!B4</f>
        <v>Name of Utility:      Haldimand County Hydro Inc.</v>
      </c>
      <c r="B3" s="442"/>
      <c r="C3" s="453"/>
      <c r="D3" s="441" t="str">
        <f>'Info Sheet'!$B$21</f>
        <v>2005.V1.0</v>
      </c>
      <c r="E3" s="35"/>
      <c r="F3" s="13"/>
    </row>
    <row r="4" spans="1:6" ht="15">
      <c r="A4" s="288" t="str">
        <f>"License Number:   "&amp;'Info Sheet'!B6</f>
        <v>License Number:   ED-2002-0539</v>
      </c>
      <c r="B4" s="444"/>
      <c r="C4" s="374"/>
      <c r="D4" s="380" t="str">
        <f>'Info Sheet'!B8</f>
        <v>RP-2005-0013</v>
      </c>
      <c r="E4" s="35"/>
      <c r="F4" s="13"/>
    </row>
    <row r="5" spans="1:4" ht="15">
      <c r="A5" s="534" t="str">
        <f>"Name of Contact:  "&amp;'Info Sheet'!B12</f>
        <v>Name of Contact:  Jacqueline Scott - Finance Manager</v>
      </c>
      <c r="B5" s="535"/>
      <c r="C5" s="535"/>
      <c r="D5" s="380" t="str">
        <f>'Info Sheet'!B10</f>
        <v>EB-2005-0034</v>
      </c>
    </row>
    <row r="6" spans="1:4" ht="15">
      <c r="A6" s="289" t="str">
        <f>"E- Mail Address:    "&amp;'Info Sheet'!B14</f>
        <v>E- Mail Address:    jscott@hchydro.ca</v>
      </c>
      <c r="B6" s="444"/>
      <c r="C6" s="27"/>
      <c r="D6" s="449"/>
    </row>
    <row r="7" spans="1:4" ht="15">
      <c r="A7" s="288" t="str">
        <f>"Phone Number:     "&amp;'Info Sheet'!B16</f>
        <v>Phone Number:     905-765-5211</v>
      </c>
      <c r="B7" s="536" t="str">
        <f>'Info Sheet'!$C$16&amp;" "&amp;'Info Sheet'!$D$16</f>
        <v>Extension: 237</v>
      </c>
      <c r="C7" s="536"/>
      <c r="D7" s="449"/>
    </row>
    <row r="8" spans="1:4" ht="15.75" thickBot="1">
      <c r="A8" s="290" t="str">
        <f>"Date:                      "&amp;('Info Sheet'!B18)</f>
        <v>Date:                      January 14, 2005</v>
      </c>
      <c r="B8" s="446"/>
      <c r="C8" s="447"/>
      <c r="D8" s="450"/>
    </row>
    <row r="9" spans="1:3" ht="15">
      <c r="A9" s="27"/>
      <c r="B9" s="28"/>
      <c r="C9" s="26"/>
    </row>
    <row r="10" spans="1:5" ht="16.5" customHeight="1">
      <c r="A10" s="581" t="s">
        <v>172</v>
      </c>
      <c r="B10" s="581"/>
      <c r="C10" s="581"/>
      <c r="D10" s="581"/>
      <c r="E10" s="34"/>
    </row>
    <row r="11" spans="1:5" ht="16.5" customHeight="1">
      <c r="A11" s="581"/>
      <c r="B11" s="581"/>
      <c r="C11" s="581"/>
      <c r="D11" s="581"/>
      <c r="E11" s="34"/>
    </row>
    <row r="12" spans="1:5" ht="14.25" customHeight="1">
      <c r="A12" s="297" t="s">
        <v>47</v>
      </c>
      <c r="B12" s="371"/>
      <c r="C12" s="39"/>
      <c r="D12" s="295"/>
      <c r="E12" s="34"/>
    </row>
    <row r="13" spans="1:5" ht="6" customHeight="1">
      <c r="A13" s="533"/>
      <c r="B13" s="533"/>
      <c r="C13" s="533"/>
      <c r="D13" s="533"/>
      <c r="E13" s="533"/>
    </row>
    <row r="14" spans="1:5" ht="6" customHeight="1">
      <c r="A14" s="533"/>
      <c r="B14" s="533"/>
      <c r="C14" s="533"/>
      <c r="D14" s="533"/>
      <c r="E14" s="533"/>
    </row>
    <row r="15" spans="2:4" ht="6" customHeight="1">
      <c r="B15" s="38"/>
      <c r="C15" s="39"/>
      <c r="D15" s="295"/>
    </row>
    <row r="16" spans="2:6" ht="6" customHeight="1">
      <c r="B16" s="13"/>
      <c r="C16" s="13"/>
      <c r="D16" s="13"/>
      <c r="E16" s="13"/>
      <c r="F16" s="13"/>
    </row>
    <row r="17" spans="1:7" ht="17.25">
      <c r="A17" s="54" t="s">
        <v>195</v>
      </c>
      <c r="B17" s="51"/>
      <c r="C17" s="52"/>
      <c r="E17" s="14"/>
      <c r="G17" s="14"/>
    </row>
    <row r="18" spans="2:7" ht="12.75">
      <c r="B18" s="14"/>
      <c r="C18" s="14"/>
      <c r="D18" s="48"/>
      <c r="E18" s="14"/>
      <c r="F18" s="14"/>
      <c r="G18" s="14"/>
    </row>
    <row r="19" spans="1:7" ht="12.75">
      <c r="A19" s="108" t="s">
        <v>57</v>
      </c>
      <c r="B19" s="108"/>
      <c r="C19" s="109"/>
      <c r="D19" s="110">
        <v>0.017263267453483316</v>
      </c>
      <c r="E19" s="14"/>
      <c r="F19" s="14"/>
      <c r="G19" s="14"/>
    </row>
    <row r="20" spans="1:7" ht="12.75">
      <c r="A20" s="111"/>
      <c r="B20" s="111"/>
      <c r="C20" s="112"/>
      <c r="D20" s="112"/>
      <c r="E20" s="14"/>
      <c r="F20" s="14"/>
      <c r="G20" s="14"/>
    </row>
    <row r="21" spans="1:7" ht="12.75">
      <c r="A21" s="108" t="s">
        <v>58</v>
      </c>
      <c r="B21" s="108"/>
      <c r="C21" s="109"/>
      <c r="D21" s="113">
        <v>11.66</v>
      </c>
      <c r="E21" s="14"/>
      <c r="F21" s="14"/>
      <c r="G21" s="14"/>
    </row>
    <row r="22" spans="3:7" ht="12.75">
      <c r="C22" s="14"/>
      <c r="D22" s="14"/>
      <c r="E22" s="14"/>
      <c r="F22" s="14"/>
      <c r="G22" s="14"/>
    </row>
    <row r="23" spans="3:7" ht="12.75">
      <c r="C23" s="14"/>
      <c r="D23" s="14"/>
      <c r="E23" s="14"/>
      <c r="F23" s="14"/>
      <c r="G23" s="14"/>
    </row>
    <row r="24" spans="1:7" ht="17.25">
      <c r="A24" s="54" t="s">
        <v>199</v>
      </c>
      <c r="C24" s="52"/>
      <c r="D24" s="51"/>
      <c r="E24" s="14"/>
      <c r="F24" s="14"/>
      <c r="G24" s="14"/>
    </row>
    <row r="25" spans="3:7" ht="12.75">
      <c r="C25" s="14"/>
      <c r="D25" s="14"/>
      <c r="E25" s="14"/>
      <c r="F25" s="14"/>
      <c r="G25" s="14"/>
    </row>
    <row r="26" spans="1:7" ht="12.75">
      <c r="A26" s="108" t="s">
        <v>57</v>
      </c>
      <c r="B26" s="33"/>
      <c r="C26" s="22"/>
      <c r="D26" s="106">
        <v>0.016787385493347646</v>
      </c>
      <c r="E26" s="14"/>
      <c r="F26" s="14"/>
      <c r="G26" s="14"/>
    </row>
    <row r="27" spans="1:7" ht="12.75">
      <c r="A27" s="111"/>
      <c r="C27" s="14"/>
      <c r="D27" s="14"/>
      <c r="E27" s="14"/>
      <c r="F27" s="14"/>
      <c r="G27" s="14"/>
    </row>
    <row r="28" spans="1:7" ht="12.75">
      <c r="A28" s="108" t="s">
        <v>58</v>
      </c>
      <c r="B28" s="33"/>
      <c r="C28" s="22"/>
      <c r="D28" s="107">
        <v>15.79</v>
      </c>
      <c r="E28" s="14"/>
      <c r="F28" s="14"/>
      <c r="G28" s="14"/>
    </row>
    <row r="29" spans="3:7" ht="12.75">
      <c r="C29" s="14"/>
      <c r="D29" s="14"/>
      <c r="E29" s="14"/>
      <c r="F29" s="14"/>
      <c r="G29" s="14"/>
    </row>
    <row r="30" spans="2:7" ht="12.75">
      <c r="B30" s="14"/>
      <c r="C30" s="14"/>
      <c r="D30" s="48"/>
      <c r="E30" s="14"/>
      <c r="F30" s="14"/>
      <c r="G30" s="14"/>
    </row>
    <row r="31" spans="1:7" ht="17.25">
      <c r="A31" s="54" t="s">
        <v>200</v>
      </c>
      <c r="B31" s="51"/>
      <c r="C31" s="52"/>
      <c r="D31" s="48"/>
      <c r="E31" s="14"/>
      <c r="F31" s="14"/>
      <c r="G31" s="14"/>
    </row>
    <row r="32" spans="2:7" ht="12.75">
      <c r="B32" s="14"/>
      <c r="C32" s="14"/>
      <c r="D32" s="48"/>
      <c r="E32" s="14"/>
      <c r="F32" s="14"/>
      <c r="G32" s="14"/>
    </row>
    <row r="33" spans="1:7" ht="12.75">
      <c r="A33" s="108" t="s">
        <v>59</v>
      </c>
      <c r="B33" s="33"/>
      <c r="C33" s="22"/>
      <c r="D33" s="106">
        <v>5.35093295018654</v>
      </c>
      <c r="E33" s="14"/>
      <c r="F33" s="14"/>
      <c r="G33" s="14"/>
    </row>
    <row r="34" spans="1:7" ht="12.75">
      <c r="A34" s="111"/>
      <c r="C34" s="14"/>
      <c r="D34" s="14"/>
      <c r="E34" s="14"/>
      <c r="F34" s="14"/>
      <c r="G34" s="14"/>
    </row>
    <row r="35" spans="1:7" ht="12.75">
      <c r="A35" s="108" t="s">
        <v>58</v>
      </c>
      <c r="B35" s="33"/>
      <c r="C35" s="22"/>
      <c r="D35" s="107">
        <v>29.5</v>
      </c>
      <c r="E35" s="14"/>
      <c r="F35" s="14"/>
      <c r="G35" s="14"/>
    </row>
    <row r="36" spans="2:7" ht="12.75">
      <c r="B36" s="14"/>
      <c r="C36" s="14"/>
      <c r="D36" s="48"/>
      <c r="E36" s="14"/>
      <c r="F36" s="14"/>
      <c r="G36" s="14"/>
    </row>
    <row r="37" spans="2:7" ht="12.75">
      <c r="B37" s="14"/>
      <c r="C37" s="14"/>
      <c r="D37" s="48"/>
      <c r="E37" s="14"/>
      <c r="F37" s="14"/>
      <c r="G37" s="14"/>
    </row>
    <row r="38" spans="1:7" ht="17.25">
      <c r="A38" s="54" t="s">
        <v>2</v>
      </c>
      <c r="B38" s="51"/>
      <c r="C38" s="52"/>
      <c r="D38" s="48"/>
      <c r="E38" s="14"/>
      <c r="F38" s="14"/>
      <c r="G38" s="14"/>
    </row>
    <row r="39" spans="1:7" ht="17.25">
      <c r="A39" s="7"/>
      <c r="B39" s="14"/>
      <c r="C39" s="14"/>
      <c r="D39" s="48"/>
      <c r="E39" s="14"/>
      <c r="F39" s="14"/>
      <c r="G39" s="14"/>
    </row>
    <row r="40" spans="1:7" ht="12.75">
      <c r="A40" s="108" t="s">
        <v>59</v>
      </c>
      <c r="B40" s="22"/>
      <c r="C40" s="22"/>
      <c r="D40" s="106">
        <v>1.648386072799019</v>
      </c>
      <c r="E40" s="14"/>
      <c r="F40" s="14"/>
      <c r="G40" s="14"/>
    </row>
    <row r="41" spans="1:7" ht="12.75">
      <c r="A41" s="111"/>
      <c r="B41" s="14"/>
      <c r="C41" s="14"/>
      <c r="D41" s="48"/>
      <c r="E41" s="14"/>
      <c r="F41" s="14"/>
      <c r="G41" s="14"/>
    </row>
    <row r="42" spans="1:7" ht="12.75">
      <c r="A42" s="108" t="s">
        <v>58</v>
      </c>
      <c r="B42" s="50"/>
      <c r="C42" s="22"/>
      <c r="D42" s="107">
        <v>9.24</v>
      </c>
      <c r="E42" s="14"/>
      <c r="F42" s="14"/>
      <c r="G42" s="14"/>
    </row>
    <row r="43" spans="2:7" ht="12.75">
      <c r="B43" s="14"/>
      <c r="C43" s="14"/>
      <c r="D43" s="48"/>
      <c r="E43" s="14"/>
      <c r="F43" s="14"/>
      <c r="G43" s="14"/>
    </row>
    <row r="44" spans="1:7" ht="11.25" customHeight="1">
      <c r="A44" s="7"/>
      <c r="B44" s="14"/>
      <c r="C44" s="14"/>
      <c r="D44" s="48"/>
      <c r="E44" s="14"/>
      <c r="F44" s="14"/>
      <c r="G44" s="14"/>
    </row>
    <row r="45" spans="1:7" ht="17.25">
      <c r="A45" s="54" t="s">
        <v>3</v>
      </c>
      <c r="B45" s="14"/>
      <c r="C45" s="14"/>
      <c r="D45" s="48"/>
      <c r="E45" s="14"/>
      <c r="F45" s="14"/>
      <c r="G45" s="14"/>
    </row>
    <row r="46" spans="2:7" ht="12.75">
      <c r="B46" s="14"/>
      <c r="C46" s="14"/>
      <c r="D46" s="48"/>
      <c r="E46" s="14"/>
      <c r="F46" s="14"/>
      <c r="G46" s="14"/>
    </row>
    <row r="47" spans="1:7" ht="12.75">
      <c r="A47" s="108" t="s">
        <v>59</v>
      </c>
      <c r="B47" s="33"/>
      <c r="C47" s="22"/>
      <c r="D47" s="106">
        <v>1.807162226666946</v>
      </c>
      <c r="E47" s="14"/>
      <c r="F47" s="14"/>
      <c r="G47" s="14"/>
    </row>
    <row r="48" spans="1:7" ht="12.75">
      <c r="A48" s="111"/>
      <c r="C48" s="14"/>
      <c r="D48" s="14"/>
      <c r="E48" s="14"/>
      <c r="F48" s="14"/>
      <c r="G48" s="14"/>
    </row>
    <row r="49" spans="1:7" ht="12.75">
      <c r="A49" s="108" t="s">
        <v>58</v>
      </c>
      <c r="B49" s="33"/>
      <c r="C49" s="22"/>
      <c r="D49" s="107">
        <v>1.64</v>
      </c>
      <c r="E49" s="14"/>
      <c r="F49" s="14"/>
      <c r="G49" s="14"/>
    </row>
    <row r="50" spans="2:7" ht="12.75">
      <c r="B50" s="14"/>
      <c r="C50" s="14"/>
      <c r="D50" s="48"/>
      <c r="E50" s="14"/>
      <c r="F50" s="14"/>
      <c r="G50" s="14"/>
    </row>
    <row r="51" spans="2:7" ht="12.75">
      <c r="B51" s="14"/>
      <c r="C51" s="14"/>
      <c r="D51" s="48"/>
      <c r="E51" s="14"/>
      <c r="F51" s="14"/>
      <c r="G51" s="14"/>
    </row>
    <row r="52" spans="1:7" ht="17.25">
      <c r="A52" s="54" t="s">
        <v>4</v>
      </c>
      <c r="B52" s="14"/>
      <c r="C52" s="14"/>
      <c r="D52" s="48"/>
      <c r="E52" s="14"/>
      <c r="F52" s="14"/>
      <c r="G52" s="14"/>
    </row>
    <row r="53" spans="2:7" ht="12.75">
      <c r="B53" s="14"/>
      <c r="C53" s="14"/>
      <c r="D53" s="48"/>
      <c r="E53" s="14"/>
      <c r="F53" s="14"/>
      <c r="G53" s="14"/>
    </row>
    <row r="54" spans="1:7" ht="12.75">
      <c r="A54" s="108" t="s">
        <v>59</v>
      </c>
      <c r="B54" s="33"/>
      <c r="C54" s="22"/>
      <c r="D54" s="106">
        <v>2.705519059138783</v>
      </c>
      <c r="E54" s="14"/>
      <c r="F54" s="14"/>
      <c r="G54" s="14"/>
    </row>
    <row r="55" spans="1:7" ht="12.75">
      <c r="A55" s="111"/>
      <c r="C55" s="14"/>
      <c r="D55" s="14"/>
      <c r="E55" s="14"/>
      <c r="F55" s="14"/>
      <c r="G55" s="14"/>
    </row>
    <row r="56" spans="1:7" ht="12.75">
      <c r="A56" s="108" t="s">
        <v>58</v>
      </c>
      <c r="B56" s="33"/>
      <c r="C56" s="22"/>
      <c r="D56" s="107">
        <v>1.18</v>
      </c>
      <c r="E56" s="14"/>
      <c r="F56" s="14"/>
      <c r="G56" s="14"/>
    </row>
    <row r="57" spans="2:7" ht="12.75">
      <c r="B57" s="14"/>
      <c r="C57" s="14"/>
      <c r="D57" s="48"/>
      <c r="E57" s="14"/>
      <c r="F57" s="14"/>
      <c r="G57" s="14"/>
    </row>
    <row r="59" spans="1:3" ht="17.25">
      <c r="A59" s="54" t="s">
        <v>196</v>
      </c>
      <c r="B59" s="51"/>
      <c r="C59" s="52"/>
    </row>
    <row r="60" spans="2:4" ht="12.75">
      <c r="B60" s="14"/>
      <c r="C60" s="14"/>
      <c r="D60" s="48"/>
    </row>
    <row r="61" spans="1:4" ht="12.75">
      <c r="A61" s="108" t="s">
        <v>57</v>
      </c>
      <c r="B61" s="108"/>
      <c r="C61" s="109"/>
      <c r="D61" s="110">
        <v>0.01926605725942607</v>
      </c>
    </row>
    <row r="62" spans="1:4" ht="12.75">
      <c r="A62" s="111"/>
      <c r="B62" s="111"/>
      <c r="C62" s="112"/>
      <c r="D62" s="112"/>
    </row>
    <row r="63" spans="1:4" ht="12.75">
      <c r="A63" s="108" t="s">
        <v>58</v>
      </c>
      <c r="B63" s="108"/>
      <c r="C63" s="109"/>
      <c r="D63" s="113">
        <v>13.31</v>
      </c>
    </row>
    <row r="66" spans="1:4" ht="17.25">
      <c r="A66" s="54" t="s">
        <v>197</v>
      </c>
      <c r="C66" s="52"/>
      <c r="D66" s="51"/>
    </row>
    <row r="67" spans="3:4" ht="12.75">
      <c r="C67" s="14"/>
      <c r="D67" s="14"/>
    </row>
    <row r="68" spans="1:4" ht="12.75">
      <c r="A68" s="108" t="s">
        <v>57</v>
      </c>
      <c r="B68" s="33"/>
      <c r="C68" s="22"/>
      <c r="D68" s="106">
        <v>0.01516938307993379</v>
      </c>
    </row>
    <row r="69" spans="1:4" ht="12.75">
      <c r="A69" s="111"/>
      <c r="C69" s="14"/>
      <c r="D69" s="14"/>
    </row>
    <row r="70" spans="1:4" ht="12.75">
      <c r="A70" s="108" t="s">
        <v>58</v>
      </c>
      <c r="B70" s="33"/>
      <c r="C70" s="22"/>
      <c r="D70" s="107">
        <v>17.02</v>
      </c>
    </row>
    <row r="71" spans="3:4" ht="12.75">
      <c r="C71" s="14"/>
      <c r="D71" s="14"/>
    </row>
    <row r="72" spans="2:4" ht="12.75">
      <c r="B72" s="14"/>
      <c r="C72" s="14"/>
      <c r="D72" s="48"/>
    </row>
    <row r="73" spans="1:4" ht="17.25">
      <c r="A73" s="54" t="s">
        <v>198</v>
      </c>
      <c r="B73" s="51"/>
      <c r="C73" s="52"/>
      <c r="D73" s="48"/>
    </row>
    <row r="74" spans="2:4" ht="12.75">
      <c r="B74" s="14"/>
      <c r="C74" s="14"/>
      <c r="D74" s="48"/>
    </row>
    <row r="75" spans="1:4" ht="12.75">
      <c r="A75" s="108" t="s">
        <v>59</v>
      </c>
      <c r="B75" s="33"/>
      <c r="C75" s="22"/>
      <c r="D75" s="106">
        <v>5.533049579480832</v>
      </c>
    </row>
    <row r="76" spans="1:4" ht="12.75">
      <c r="A76" s="111"/>
      <c r="C76" s="14"/>
      <c r="D76" s="14"/>
    </row>
    <row r="77" spans="1:4" ht="12.75">
      <c r="A77" s="108" t="s">
        <v>58</v>
      </c>
      <c r="B77" s="33"/>
      <c r="C77" s="22"/>
      <c r="D77" s="107">
        <v>29.99</v>
      </c>
    </row>
    <row r="81" spans="1:5" ht="17.25">
      <c r="A81" s="510" t="s">
        <v>230</v>
      </c>
      <c r="B81" s="511"/>
      <c r="C81" s="511"/>
      <c r="D81" s="512"/>
      <c r="E81" s="511"/>
    </row>
    <row r="82" spans="1:5" ht="15">
      <c r="A82" s="513"/>
      <c r="B82" s="514"/>
      <c r="C82" s="511"/>
      <c r="D82" s="512"/>
      <c r="E82" s="511"/>
    </row>
    <row r="83" spans="1:5" ht="15">
      <c r="A83" s="513"/>
      <c r="B83" s="511"/>
      <c r="C83" s="511"/>
      <c r="D83" s="512"/>
      <c r="E83" s="511"/>
    </row>
    <row r="84" spans="1:5" ht="15">
      <c r="A84" s="515"/>
      <c r="B84" s="514"/>
      <c r="C84" s="511"/>
      <c r="D84" s="512"/>
      <c r="E84" s="511"/>
    </row>
    <row r="85" spans="1:5" ht="15">
      <c r="A85" s="506" t="s">
        <v>231</v>
      </c>
      <c r="B85" s="516"/>
      <c r="C85" s="513"/>
      <c r="D85" s="512"/>
      <c r="E85" s="511"/>
    </row>
    <row r="86" spans="1:5" ht="12.75">
      <c r="A86" s="507" t="s">
        <v>232</v>
      </c>
      <c r="B86" s="516"/>
      <c r="C86" s="513"/>
      <c r="D86" s="513"/>
      <c r="E86" s="6">
        <v>8.8</v>
      </c>
    </row>
    <row r="87" spans="1:5" ht="12.75">
      <c r="A87" s="507" t="s">
        <v>233</v>
      </c>
      <c r="B87" s="516"/>
      <c r="C87" s="513"/>
      <c r="D87" s="513"/>
      <c r="E87" s="6">
        <v>10.5</v>
      </c>
    </row>
    <row r="88" spans="1:5" ht="12.75">
      <c r="A88" s="508"/>
      <c r="B88" s="516"/>
      <c r="C88" s="513"/>
      <c r="D88" s="513"/>
      <c r="E88" s="6"/>
    </row>
    <row r="89" spans="1:5" ht="12.75">
      <c r="A89" s="508" t="s">
        <v>234</v>
      </c>
      <c r="B89" s="516"/>
      <c r="C89" s="513"/>
      <c r="D89" s="513"/>
      <c r="E89" s="6"/>
    </row>
    <row r="90" spans="1:5" ht="12.75">
      <c r="A90" s="577" t="s">
        <v>235</v>
      </c>
      <c r="B90" s="578"/>
      <c r="C90" s="513"/>
      <c r="D90" s="517" t="s">
        <v>16</v>
      </c>
      <c r="E90" s="521">
        <v>0.015</v>
      </c>
    </row>
    <row r="91" spans="1:5" ht="12.75">
      <c r="A91" s="579"/>
      <c r="B91" s="578"/>
      <c r="C91" s="513"/>
      <c r="D91" s="517" t="s">
        <v>236</v>
      </c>
      <c r="E91" s="522">
        <v>0.1956</v>
      </c>
    </row>
    <row r="92" spans="1:5" ht="12.75">
      <c r="A92" s="513"/>
      <c r="B92" s="513"/>
      <c r="C92" s="513"/>
      <c r="D92" s="513"/>
      <c r="E92" s="523"/>
    </row>
    <row r="93" spans="1:5" ht="12.75">
      <c r="A93" s="507" t="s">
        <v>237</v>
      </c>
      <c r="B93" s="516"/>
      <c r="C93" s="513"/>
      <c r="D93" s="513"/>
      <c r="E93" s="6">
        <v>13</v>
      </c>
    </row>
    <row r="94" spans="1:5" ht="12.75">
      <c r="A94" s="507" t="s">
        <v>238</v>
      </c>
      <c r="B94" s="518"/>
      <c r="C94" s="513"/>
      <c r="D94" s="513"/>
      <c r="E94" s="6">
        <v>9</v>
      </c>
    </row>
    <row r="95" spans="1:5" ht="12.75">
      <c r="A95" s="509"/>
      <c r="B95" s="516"/>
      <c r="C95" s="513"/>
      <c r="D95" s="513"/>
      <c r="E95" s="6"/>
    </row>
    <row r="96" spans="1:5" ht="12.75">
      <c r="A96" s="507" t="s">
        <v>239</v>
      </c>
      <c r="B96" s="516"/>
      <c r="C96" s="513"/>
      <c r="D96" s="513"/>
      <c r="E96" s="6"/>
    </row>
    <row r="97" spans="1:5" ht="12.75">
      <c r="A97" s="519" t="s">
        <v>240</v>
      </c>
      <c r="B97" s="513"/>
      <c r="C97" s="513"/>
      <c r="D97" s="513"/>
      <c r="E97" s="6">
        <v>20</v>
      </c>
    </row>
    <row r="98" spans="1:5" ht="12.75">
      <c r="A98" s="520" t="s">
        <v>241</v>
      </c>
      <c r="B98" s="513"/>
      <c r="C98" s="513"/>
      <c r="D98" s="513"/>
      <c r="E98" s="6">
        <v>50</v>
      </c>
    </row>
    <row r="99" spans="1:5" ht="12.75">
      <c r="A99" s="513"/>
      <c r="B99" s="513"/>
      <c r="C99" s="513"/>
      <c r="D99" s="513"/>
      <c r="E99" s="523"/>
    </row>
    <row r="100" spans="1:5" ht="12.75">
      <c r="A100" s="513"/>
      <c r="B100" s="513"/>
      <c r="C100" s="513"/>
      <c r="D100" s="513"/>
      <c r="E100" s="523"/>
    </row>
    <row r="101" spans="1:5" ht="12.75">
      <c r="A101" s="506" t="s">
        <v>242</v>
      </c>
      <c r="B101" s="516"/>
      <c r="C101" s="513"/>
      <c r="D101" s="513"/>
      <c r="E101" s="6"/>
    </row>
    <row r="102" spans="1:5" ht="12.75">
      <c r="A102" s="580" t="s">
        <v>243</v>
      </c>
      <c r="B102" s="578"/>
      <c r="C102" s="513"/>
      <c r="D102" s="517" t="s">
        <v>244</v>
      </c>
      <c r="E102" s="6">
        <v>0.6</v>
      </c>
    </row>
    <row r="103" spans="1:5" ht="12.75">
      <c r="A103" s="507"/>
      <c r="B103" s="516"/>
      <c r="C103" s="513"/>
      <c r="D103" s="513"/>
      <c r="E103" s="513"/>
    </row>
    <row r="104" spans="1:5" ht="12.75">
      <c r="A104" s="513"/>
      <c r="B104" s="513"/>
      <c r="C104" s="513"/>
      <c r="D104" s="513"/>
      <c r="E104" s="513"/>
    </row>
    <row r="105" spans="1:5" ht="12.75">
      <c r="A105" s="513"/>
      <c r="B105" s="513"/>
      <c r="C105" s="513"/>
      <c r="D105" s="513"/>
      <c r="E105" s="513"/>
    </row>
    <row r="106" spans="1:5" ht="12.75">
      <c r="A106" s="513"/>
      <c r="B106" s="513"/>
      <c r="C106" s="513"/>
      <c r="D106" s="513"/>
      <c r="E106" s="513"/>
    </row>
    <row r="107" spans="1:5" ht="12.75">
      <c r="A107" s="30"/>
      <c r="B107" s="30"/>
      <c r="C107" s="30"/>
      <c r="D107" s="30"/>
      <c r="E107" s="30"/>
    </row>
  </sheetData>
  <sheetProtection/>
  <mergeCells count="6">
    <mergeCell ref="A90:B91"/>
    <mergeCell ref="A102:B102"/>
    <mergeCell ref="A5:C5"/>
    <mergeCell ref="A13:E14"/>
    <mergeCell ref="A10:D11"/>
    <mergeCell ref="B7:C7"/>
  </mergeCells>
  <printOptions/>
  <pageMargins left="0.7480314960629921" right="0.7480314960629921" top="0.984251968503937" bottom="0.7874015748031497" header="0.5118110236220472" footer="0.5118110236220472"/>
  <pageSetup horizontalDpi="600" verticalDpi="600" orientation="portrait" scale="87" r:id="rId1"/>
  <headerFooter alignWithMargins="0">
    <oddFooter>&amp;LHaldimand County Hydro Inc.
Page &amp;P of &amp;N&amp;R&amp;"Arial,Bold"&amp;F
&amp;A</oddFooter>
  </headerFooter>
  <rowBreaks count="1" manualBreakCount="1">
    <brk id="57" max="4" man="1"/>
  </rowBreaks>
</worksheet>
</file>

<file path=xl/worksheets/sheet15.xml><?xml version="1.0" encoding="utf-8"?>
<worksheet xmlns="http://schemas.openxmlformats.org/spreadsheetml/2006/main" xmlns:r="http://schemas.openxmlformats.org/officeDocument/2006/relationships">
  <dimension ref="A1:O459"/>
  <sheetViews>
    <sheetView view="pageBreakPreview" zoomScale="60" zoomScaleNormal="75" zoomScalePageLayoutView="0" workbookViewId="0" topLeftCell="A430">
      <selection activeCell="A437" sqref="A437:IV437"/>
    </sheetView>
  </sheetViews>
  <sheetFormatPr defaultColWidth="9.140625" defaultRowHeight="12.75"/>
  <cols>
    <col min="1" max="1" width="19.57421875" style="8" customWidth="1"/>
    <col min="2" max="2" width="1.421875" style="8" customWidth="1"/>
    <col min="3" max="3" width="15.8515625" style="8" customWidth="1"/>
    <col min="4" max="4" width="11.57421875" style="8" bestFit="1" customWidth="1"/>
    <col min="5" max="5" width="16.28125" style="8" bestFit="1" customWidth="1"/>
    <col min="6" max="6" width="17.28125" style="8" bestFit="1" customWidth="1"/>
    <col min="7" max="7" width="1.57421875" style="8" customWidth="1"/>
    <col min="8" max="8" width="16.140625" style="8" customWidth="1"/>
    <col min="9" max="9" width="11.57421875" style="8" bestFit="1" customWidth="1"/>
    <col min="10" max="10" width="16.28125" style="8" bestFit="1" customWidth="1"/>
    <col min="11" max="11" width="17.7109375" style="8" bestFit="1" customWidth="1"/>
    <col min="12" max="12" width="0.85546875" style="8" customWidth="1"/>
    <col min="13" max="13" width="12.421875" style="8" customWidth="1"/>
    <col min="14" max="14" width="10.421875" style="155" bestFit="1" customWidth="1"/>
    <col min="15" max="16384" width="9.140625" style="8" customWidth="1"/>
  </cols>
  <sheetData>
    <row r="1" spans="1:14" ht="28.5" customHeight="1">
      <c r="A1" s="626" t="s">
        <v>173</v>
      </c>
      <c r="B1" s="626"/>
      <c r="C1" s="626"/>
      <c r="D1" s="626"/>
      <c r="E1" s="626"/>
      <c r="F1" s="626"/>
      <c r="G1" s="626"/>
      <c r="H1" s="626"/>
      <c r="I1" s="626"/>
      <c r="J1" s="626"/>
      <c r="K1" s="626"/>
      <c r="L1" s="626"/>
      <c r="M1" s="626"/>
      <c r="N1" s="626"/>
    </row>
    <row r="2" spans="1:14" ht="3.75" customHeight="1">
      <c r="A2" s="361"/>
      <c r="B2" s="361"/>
      <c r="C2" s="361"/>
      <c r="D2" s="361"/>
      <c r="E2" s="623"/>
      <c r="F2" s="623"/>
      <c r="G2" s="361"/>
      <c r="H2" s="361"/>
      <c r="I2" s="156"/>
      <c r="J2" s="156"/>
      <c r="K2" s="157"/>
      <c r="L2" s="156"/>
      <c r="M2" s="156"/>
      <c r="N2" s="158"/>
    </row>
    <row r="3" spans="1:14" ht="18" thickBot="1">
      <c r="A3" s="362"/>
      <c r="B3" s="30"/>
      <c r="C3" s="30"/>
      <c r="D3" s="30"/>
      <c r="E3" s="30"/>
      <c r="F3" s="30"/>
      <c r="G3" s="30"/>
      <c r="H3" s="30"/>
      <c r="N3" s="8"/>
    </row>
    <row r="4" spans="1:14" ht="15">
      <c r="A4" s="559" t="str">
        <f>"Name of Utility:      "&amp;'Info Sheet'!B4</f>
        <v>Name of Utility:      Haldimand County Hydro Inc.</v>
      </c>
      <c r="B4" s="629"/>
      <c r="C4" s="629"/>
      <c r="D4" s="629"/>
      <c r="E4" s="629"/>
      <c r="F4" s="454"/>
      <c r="G4" s="624" t="s">
        <v>175</v>
      </c>
      <c r="H4" s="625"/>
      <c r="N4" s="8"/>
    </row>
    <row r="5" spans="1:14" ht="15">
      <c r="A5" s="562" t="str">
        <f>"License Number:   "&amp;'Info Sheet'!B6</f>
        <v>License Number:   ED-2002-0539</v>
      </c>
      <c r="B5" s="630"/>
      <c r="C5" s="630"/>
      <c r="D5" s="630"/>
      <c r="E5" s="630"/>
      <c r="F5" s="25"/>
      <c r="G5" s="455"/>
      <c r="H5" s="380" t="str">
        <f>'Info Sheet'!B8</f>
        <v>RP-2005-0013</v>
      </c>
      <c r="N5" s="8"/>
    </row>
    <row r="6" spans="1:14" ht="15">
      <c r="A6" s="562" t="str">
        <f>"Name of Contact:  "&amp;'Info Sheet'!B12</f>
        <v>Name of Contact:  Jacqueline Scott - Finance Manager</v>
      </c>
      <c r="B6" s="630"/>
      <c r="C6" s="630"/>
      <c r="D6" s="630"/>
      <c r="E6" s="630"/>
      <c r="F6" s="445"/>
      <c r="G6" s="445"/>
      <c r="H6" s="380" t="str">
        <f>'Info Sheet'!B10</f>
        <v>EB-2005-0034</v>
      </c>
      <c r="N6" s="8"/>
    </row>
    <row r="7" spans="1:14" ht="15">
      <c r="A7" s="628" t="str">
        <f>"E- Mail Address:    "&amp;'Info Sheet'!B14</f>
        <v>E- Mail Address:    jscott@hchydro.ca</v>
      </c>
      <c r="B7" s="536"/>
      <c r="C7" s="536"/>
      <c r="D7" s="536"/>
      <c r="E7" s="536"/>
      <c r="F7" s="536"/>
      <c r="G7" s="445"/>
      <c r="H7" s="449"/>
      <c r="N7" s="8"/>
    </row>
    <row r="8" spans="1:14" ht="15">
      <c r="A8" s="534" t="str">
        <f>"Phone Number:     "&amp;'Info Sheet'!B16</f>
        <v>Phone Number:     905-765-5211</v>
      </c>
      <c r="B8" s="535"/>
      <c r="C8" s="535"/>
      <c r="D8" s="535"/>
      <c r="E8" s="536" t="str">
        <f>'Info Sheet'!$C$16&amp;" "&amp;'Info Sheet'!$D$16</f>
        <v>Extension: 237</v>
      </c>
      <c r="F8" s="536"/>
      <c r="G8" s="445"/>
      <c r="H8" s="449"/>
      <c r="N8" s="8"/>
    </row>
    <row r="9" spans="1:14" ht="15.75" thickBot="1">
      <c r="A9" s="567" t="str">
        <f>"Date:                         "&amp;('Info Sheet'!B18)</f>
        <v>Date:                         January 14, 2005</v>
      </c>
      <c r="B9" s="627"/>
      <c r="C9" s="627"/>
      <c r="D9" s="627"/>
      <c r="E9" s="627"/>
      <c r="F9" s="456"/>
      <c r="G9" s="456"/>
      <c r="H9" s="450"/>
      <c r="N9" s="8"/>
    </row>
    <row r="10" spans="1:14" ht="15">
      <c r="A10" s="342"/>
      <c r="B10" s="343"/>
      <c r="C10" s="343"/>
      <c r="D10" s="343"/>
      <c r="E10" s="343"/>
      <c r="N10" s="8"/>
    </row>
    <row r="11" spans="1:11" ht="24">
      <c r="A11" s="372" t="s">
        <v>174</v>
      </c>
      <c r="B11" s="114"/>
      <c r="C11" s="114"/>
      <c r="E11" s="159"/>
      <c r="F11" s="159"/>
      <c r="K11" s="160"/>
    </row>
    <row r="12" spans="3:14" s="30" customFormat="1" ht="13.5" customHeight="1">
      <c r="C12" s="161"/>
      <c r="D12" s="161"/>
      <c r="E12" s="161"/>
      <c r="F12" s="161"/>
      <c r="H12" s="161"/>
      <c r="I12" s="161"/>
      <c r="J12" s="161"/>
      <c r="K12" s="161"/>
      <c r="L12" s="161"/>
      <c r="M12" s="161"/>
      <c r="N12" s="161"/>
    </row>
    <row r="13" spans="1:14" s="30" customFormat="1" ht="22.5">
      <c r="A13" s="582" t="s">
        <v>221</v>
      </c>
      <c r="B13" s="582"/>
      <c r="C13" s="582"/>
      <c r="D13" s="582"/>
      <c r="E13" s="566"/>
      <c r="F13" s="161"/>
      <c r="H13" s="161"/>
      <c r="I13" s="161"/>
      <c r="J13" s="161"/>
      <c r="K13" s="161"/>
      <c r="L13" s="161"/>
      <c r="M13" s="161"/>
      <c r="N13" s="161"/>
    </row>
    <row r="14" spans="1:11" ht="17.25">
      <c r="A14" s="54"/>
      <c r="B14" s="129"/>
      <c r="D14" s="30"/>
      <c r="E14" s="575"/>
      <c r="F14" s="575"/>
      <c r="K14" s="160"/>
    </row>
    <row r="15" spans="1:11" ht="15">
      <c r="A15" s="139" t="s">
        <v>79</v>
      </c>
      <c r="B15" s="162"/>
      <c r="C15" s="138"/>
      <c r="D15" s="68"/>
      <c r="E15" s="163"/>
      <c r="F15" s="163"/>
      <c r="G15" s="138"/>
      <c r="H15" s="138"/>
      <c r="I15" s="138"/>
      <c r="J15" s="138"/>
      <c r="K15" s="164"/>
    </row>
    <row r="16" spans="1:11" ht="15">
      <c r="A16" s="139" t="s">
        <v>37</v>
      </c>
      <c r="B16" s="162"/>
      <c r="C16" s="138"/>
      <c r="D16" s="68"/>
      <c r="E16" s="163"/>
      <c r="F16" s="163"/>
      <c r="G16" s="138"/>
      <c r="H16" s="138"/>
      <c r="I16" s="138"/>
      <c r="J16" s="138"/>
      <c r="K16" s="164"/>
    </row>
    <row r="17" spans="1:11" ht="15">
      <c r="A17" s="139" t="s">
        <v>39</v>
      </c>
      <c r="B17" s="162"/>
      <c r="C17" s="138"/>
      <c r="D17" s="68"/>
      <c r="E17" s="163"/>
      <c r="F17" s="163"/>
      <c r="G17" s="68"/>
      <c r="H17" s="138"/>
      <c r="I17" s="138"/>
      <c r="J17" s="138"/>
      <c r="K17" s="164"/>
    </row>
    <row r="18" spans="5:11" ht="9" customHeight="1" thickBot="1">
      <c r="E18" s="575"/>
      <c r="F18" s="575"/>
      <c r="G18" s="30"/>
      <c r="K18" s="160"/>
    </row>
    <row r="19" spans="1:14" ht="15.75" customHeight="1">
      <c r="A19" s="10"/>
      <c r="C19" s="617" t="s">
        <v>82</v>
      </c>
      <c r="D19" s="618"/>
      <c r="E19" s="618"/>
      <c r="F19" s="619"/>
      <c r="G19" s="165"/>
      <c r="H19" s="617" t="s">
        <v>83</v>
      </c>
      <c r="I19" s="618"/>
      <c r="J19" s="618"/>
      <c r="K19" s="618"/>
      <c r="L19" s="618"/>
      <c r="M19" s="618"/>
      <c r="N19" s="619"/>
    </row>
    <row r="20" spans="1:15" ht="13.5" customHeight="1" thickBot="1">
      <c r="A20"/>
      <c r="C20" s="620"/>
      <c r="D20" s="621"/>
      <c r="E20" s="621"/>
      <c r="F20" s="622"/>
      <c r="G20" s="166"/>
      <c r="H20" s="620"/>
      <c r="I20" s="621"/>
      <c r="J20" s="621"/>
      <c r="K20" s="621"/>
      <c r="L20" s="621"/>
      <c r="M20" s="621"/>
      <c r="N20" s="622"/>
      <c r="O20" s="30"/>
    </row>
    <row r="21" spans="1:14" ht="56.25" customHeight="1" thickBot="1">
      <c r="A21" s="167" t="s">
        <v>65</v>
      </c>
      <c r="B21" s="168"/>
      <c r="C21" s="609"/>
      <c r="D21" s="590" t="s">
        <v>6</v>
      </c>
      <c r="E21" s="592" t="s">
        <v>66</v>
      </c>
      <c r="F21" s="594" t="s">
        <v>179</v>
      </c>
      <c r="G21" s="165"/>
      <c r="H21" s="169"/>
      <c r="I21" s="590" t="s">
        <v>6</v>
      </c>
      <c r="J21" s="592" t="s">
        <v>66</v>
      </c>
      <c r="K21" s="594" t="s">
        <v>179</v>
      </c>
      <c r="L21" s="168"/>
      <c r="M21" s="607" t="s">
        <v>178</v>
      </c>
      <c r="N21" s="597" t="s">
        <v>67</v>
      </c>
    </row>
    <row r="22" spans="1:14" ht="13.5" thickBot="1">
      <c r="A22" s="170">
        <v>100</v>
      </c>
      <c r="B22" s="30"/>
      <c r="C22" s="610"/>
      <c r="D22" s="591"/>
      <c r="E22" s="593"/>
      <c r="F22" s="595"/>
      <c r="G22" s="166"/>
      <c r="H22" s="30"/>
      <c r="I22" s="605"/>
      <c r="J22" s="606"/>
      <c r="K22" s="595"/>
      <c r="L22" s="31"/>
      <c r="M22" s="608"/>
      <c r="N22" s="598"/>
    </row>
    <row r="23" spans="1:14" ht="26.25">
      <c r="A23" s="171"/>
      <c r="B23" s="30"/>
      <c r="C23" s="435" t="s">
        <v>14</v>
      </c>
      <c r="D23" s="173" t="s">
        <v>68</v>
      </c>
      <c r="E23" s="174" t="s">
        <v>68</v>
      </c>
      <c r="F23" s="233">
        <f>'12. Current Rates'!D21</f>
        <v>11.66</v>
      </c>
      <c r="G23" s="166"/>
      <c r="H23" s="438" t="s">
        <v>14</v>
      </c>
      <c r="I23" s="173" t="s">
        <v>68</v>
      </c>
      <c r="J23" s="173" t="s">
        <v>68</v>
      </c>
      <c r="K23" s="233">
        <f>'11. 2005 Final Rate Schedule '!F13</f>
        <v>9.919303766434421</v>
      </c>
      <c r="L23" s="178"/>
      <c r="M23" s="583"/>
      <c r="N23" s="584"/>
    </row>
    <row r="24" spans="1:14" ht="13.5" thickBot="1">
      <c r="A24" s="85"/>
      <c r="B24" s="30"/>
      <c r="C24" s="436" t="s">
        <v>69</v>
      </c>
      <c r="D24" s="234">
        <f>A22</f>
        <v>100</v>
      </c>
      <c r="E24" s="424">
        <f>'12. Current Rates'!D19</f>
        <v>0.017263267453483316</v>
      </c>
      <c r="F24" s="338">
        <f>D24*E24</f>
        <v>1.7263267453483315</v>
      </c>
      <c r="G24" s="166"/>
      <c r="H24" s="439" t="s">
        <v>69</v>
      </c>
      <c r="I24" s="180">
        <f>D24</f>
        <v>100</v>
      </c>
      <c r="J24" s="430">
        <f>'11. 2005 Final Rate Schedule '!F14</f>
        <v>0.021767308827770195</v>
      </c>
      <c r="K24" s="236">
        <f>I24*J24</f>
        <v>2.1767308827770195</v>
      </c>
      <c r="L24" s="178"/>
      <c r="M24" s="599"/>
      <c r="N24" s="600"/>
    </row>
    <row r="25" spans="1:14" ht="13.5" thickBot="1">
      <c r="A25" s="85"/>
      <c r="B25" s="30"/>
      <c r="C25" s="615"/>
      <c r="D25" s="616"/>
      <c r="E25" s="186" t="s">
        <v>41</v>
      </c>
      <c r="F25" s="357">
        <f>SUM(F23:F24)</f>
        <v>13.386326745348331</v>
      </c>
      <c r="G25" s="166"/>
      <c r="H25" s="603"/>
      <c r="I25" s="604"/>
      <c r="J25" s="186" t="s">
        <v>70</v>
      </c>
      <c r="K25" s="188">
        <f>SUM(K23:K24)</f>
        <v>12.09603464921144</v>
      </c>
      <c r="L25" s="178"/>
      <c r="M25" s="189">
        <f>K25-F25</f>
        <v>-1.2902920961368913</v>
      </c>
      <c r="N25" s="190">
        <f>M25/F25</f>
        <v>-0.09638880931882678</v>
      </c>
    </row>
    <row r="26" spans="1:14" ht="27" customHeight="1">
      <c r="A26" s="85"/>
      <c r="B26" s="30"/>
      <c r="C26" s="436" t="s">
        <v>71</v>
      </c>
      <c r="D26" s="180">
        <f>A22</f>
        <v>100</v>
      </c>
      <c r="E26" s="425">
        <v>0.0239</v>
      </c>
      <c r="F26" s="358">
        <f>D26*E26</f>
        <v>2.39</v>
      </c>
      <c r="G26" s="166"/>
      <c r="H26" s="439" t="s">
        <v>71</v>
      </c>
      <c r="I26" s="180">
        <f aca="true" t="shared" si="0" ref="I26:K27">D26</f>
        <v>100</v>
      </c>
      <c r="J26" s="431">
        <f t="shared" si="0"/>
        <v>0.0239</v>
      </c>
      <c r="K26" s="238">
        <f t="shared" si="0"/>
        <v>2.39</v>
      </c>
      <c r="L26" s="178"/>
      <c r="M26" s="583"/>
      <c r="N26" s="584"/>
    </row>
    <row r="27" spans="1:14" ht="25.5" customHeight="1" thickBot="1">
      <c r="A27" s="85"/>
      <c r="B27" s="30"/>
      <c r="C27" s="437" t="s">
        <v>72</v>
      </c>
      <c r="D27" s="180">
        <f>A22</f>
        <v>100</v>
      </c>
      <c r="E27" s="426">
        <v>0.047</v>
      </c>
      <c r="F27" s="338">
        <f>D27*E27</f>
        <v>4.7</v>
      </c>
      <c r="G27" s="166"/>
      <c r="H27" s="440" t="s">
        <v>72</v>
      </c>
      <c r="I27" s="432">
        <f t="shared" si="0"/>
        <v>100</v>
      </c>
      <c r="J27" s="433">
        <f t="shared" si="0"/>
        <v>0.047</v>
      </c>
      <c r="K27" s="242">
        <f t="shared" si="0"/>
        <v>4.7</v>
      </c>
      <c r="L27" s="178"/>
      <c r="M27" s="585"/>
      <c r="N27" s="586"/>
    </row>
    <row r="28" spans="1:14" ht="7.5" customHeight="1" thickBot="1">
      <c r="A28" s="85"/>
      <c r="B28" s="30"/>
      <c r="C28" s="587"/>
      <c r="D28" s="588"/>
      <c r="E28" s="588"/>
      <c r="F28" s="589"/>
      <c r="G28" s="166"/>
      <c r="H28" s="588"/>
      <c r="I28" s="588"/>
      <c r="J28" s="588"/>
      <c r="K28" s="589"/>
      <c r="L28" s="30"/>
      <c r="M28" s="85"/>
      <c r="N28" s="201"/>
    </row>
    <row r="29" spans="1:14" ht="13.5" thickBot="1">
      <c r="A29" s="93"/>
      <c r="B29" s="147"/>
      <c r="C29" s="202" t="s">
        <v>73</v>
      </c>
      <c r="D29" s="203"/>
      <c r="E29" s="203"/>
      <c r="F29" s="188">
        <f>SUM(F26:F27,F25)</f>
        <v>20.47632674534833</v>
      </c>
      <c r="G29" s="205"/>
      <c r="H29" s="596" t="s">
        <v>74</v>
      </c>
      <c r="I29" s="596"/>
      <c r="J29" s="596"/>
      <c r="K29" s="188">
        <f>SUM(K25:K27)</f>
        <v>19.18603464921144</v>
      </c>
      <c r="L29" s="206"/>
      <c r="M29" s="189">
        <f>K29-F29</f>
        <v>-1.2902920961368913</v>
      </c>
      <c r="N29" s="190">
        <f>M29/F29</f>
        <v>-0.0630138458026907</v>
      </c>
    </row>
    <row r="30" ht="12.75">
      <c r="K30" s="160"/>
    </row>
    <row r="31" spans="6:11" ht="13.5" thickBot="1">
      <c r="F31" s="160"/>
      <c r="K31" s="160"/>
    </row>
    <row r="32" spans="1:14" ht="64.5" customHeight="1" thickBot="1">
      <c r="A32" s="167" t="s">
        <v>65</v>
      </c>
      <c r="B32" s="168"/>
      <c r="C32" s="609"/>
      <c r="D32" s="590" t="s">
        <v>6</v>
      </c>
      <c r="E32" s="592" t="s">
        <v>66</v>
      </c>
      <c r="F32" s="594" t="s">
        <v>179</v>
      </c>
      <c r="G32" s="165"/>
      <c r="H32" s="169"/>
      <c r="I32" s="590" t="s">
        <v>6</v>
      </c>
      <c r="J32" s="592" t="s">
        <v>66</v>
      </c>
      <c r="K32" s="594" t="s">
        <v>179</v>
      </c>
      <c r="L32" s="168"/>
      <c r="M32" s="607" t="s">
        <v>178</v>
      </c>
      <c r="N32" s="597" t="s">
        <v>67</v>
      </c>
    </row>
    <row r="33" spans="1:14" ht="13.5" thickBot="1">
      <c r="A33" s="170">
        <v>250</v>
      </c>
      <c r="B33" s="30"/>
      <c r="C33" s="610"/>
      <c r="D33" s="591"/>
      <c r="E33" s="593"/>
      <c r="F33" s="595"/>
      <c r="G33" s="166"/>
      <c r="H33" s="30"/>
      <c r="I33" s="605"/>
      <c r="J33" s="606"/>
      <c r="K33" s="595"/>
      <c r="L33" s="31"/>
      <c r="M33" s="608"/>
      <c r="N33" s="598"/>
    </row>
    <row r="34" spans="1:14" ht="27">
      <c r="A34" s="171"/>
      <c r="B34" s="30"/>
      <c r="C34" s="172" t="s">
        <v>14</v>
      </c>
      <c r="D34" s="173" t="s">
        <v>68</v>
      </c>
      <c r="E34" s="174" t="s">
        <v>68</v>
      </c>
      <c r="F34" s="233">
        <f>F23</f>
        <v>11.66</v>
      </c>
      <c r="G34" s="166"/>
      <c r="H34" s="176" t="s">
        <v>14</v>
      </c>
      <c r="I34" s="207" t="str">
        <f>D34</f>
        <v>N/A</v>
      </c>
      <c r="J34" s="177" t="s">
        <v>68</v>
      </c>
      <c r="K34" s="226">
        <f>$K$23</f>
        <v>9.919303766434421</v>
      </c>
      <c r="L34" s="178"/>
      <c r="M34" s="583"/>
      <c r="N34" s="584"/>
    </row>
    <row r="35" spans="1:14" ht="13.5" thickBot="1">
      <c r="A35" s="85"/>
      <c r="B35" s="30"/>
      <c r="C35" s="179" t="s">
        <v>69</v>
      </c>
      <c r="D35" s="234">
        <f>A33</f>
        <v>250</v>
      </c>
      <c r="E35" s="181">
        <f>E24</f>
        <v>0.017263267453483316</v>
      </c>
      <c r="F35" s="338">
        <f>D35*E35</f>
        <v>4.315816863370829</v>
      </c>
      <c r="G35" s="166"/>
      <c r="H35" s="183" t="s">
        <v>69</v>
      </c>
      <c r="I35" s="184">
        <f>D35</f>
        <v>250</v>
      </c>
      <c r="J35" s="429">
        <f>$J$24</f>
        <v>0.021767308827770195</v>
      </c>
      <c r="K35" s="185">
        <f>I35*J35</f>
        <v>5.441827206942548</v>
      </c>
      <c r="L35" s="178"/>
      <c r="M35" s="599"/>
      <c r="N35" s="600"/>
    </row>
    <row r="36" spans="1:14" ht="24.75" customHeight="1" thickBot="1">
      <c r="A36" s="85"/>
      <c r="B36" s="30"/>
      <c r="C36" s="601"/>
      <c r="D36" s="602"/>
      <c r="E36" s="186" t="s">
        <v>41</v>
      </c>
      <c r="F36" s="357">
        <f>SUM(F34:F35)</f>
        <v>15.975816863370829</v>
      </c>
      <c r="G36" s="166"/>
      <c r="H36" s="603"/>
      <c r="I36" s="604"/>
      <c r="J36" s="186" t="s">
        <v>70</v>
      </c>
      <c r="K36" s="188">
        <f>SUM(K34:K35)</f>
        <v>15.36113097337697</v>
      </c>
      <c r="L36" s="178"/>
      <c r="M36" s="189">
        <f>K36-F36</f>
        <v>-0.6146858899938596</v>
      </c>
      <c r="N36" s="190">
        <f>M36/F36</f>
        <v>-0.038476022556518184</v>
      </c>
    </row>
    <row r="37" spans="1:14" ht="27" customHeight="1">
      <c r="A37" s="85"/>
      <c r="B37" s="30"/>
      <c r="C37" s="179" t="s">
        <v>71</v>
      </c>
      <c r="D37" s="180">
        <f>A33</f>
        <v>250</v>
      </c>
      <c r="E37" s="425">
        <v>0.0239</v>
      </c>
      <c r="F37" s="358">
        <f>D37*E37</f>
        <v>5.9750000000000005</v>
      </c>
      <c r="G37" s="166"/>
      <c r="H37" s="183" t="s">
        <v>71</v>
      </c>
      <c r="I37" s="184">
        <f aca="true" t="shared" si="1" ref="I37:K38">D37</f>
        <v>250</v>
      </c>
      <c r="J37" s="427">
        <f t="shared" si="1"/>
        <v>0.0239</v>
      </c>
      <c r="K37" s="194">
        <f t="shared" si="1"/>
        <v>5.9750000000000005</v>
      </c>
      <c r="L37" s="178"/>
      <c r="M37" s="583"/>
      <c r="N37" s="584"/>
    </row>
    <row r="38" spans="1:14" ht="27" thickBot="1">
      <c r="A38" s="85"/>
      <c r="B38" s="30"/>
      <c r="C38" s="195" t="s">
        <v>72</v>
      </c>
      <c r="D38" s="180">
        <f>A33</f>
        <v>250</v>
      </c>
      <c r="E38" s="426">
        <v>0.047</v>
      </c>
      <c r="F38" s="338">
        <f>D38*E38</f>
        <v>11.75</v>
      </c>
      <c r="G38" s="166"/>
      <c r="H38" s="197" t="s">
        <v>72</v>
      </c>
      <c r="I38" s="198">
        <f t="shared" si="1"/>
        <v>250</v>
      </c>
      <c r="J38" s="428">
        <f t="shared" si="1"/>
        <v>0.047</v>
      </c>
      <c r="K38" s="200">
        <f t="shared" si="1"/>
        <v>11.75</v>
      </c>
      <c r="L38" s="178"/>
      <c r="M38" s="585"/>
      <c r="N38" s="586"/>
    </row>
    <row r="39" spans="1:14" ht="13.5" thickBot="1">
      <c r="A39" s="85"/>
      <c r="B39" s="30"/>
      <c r="C39" s="587"/>
      <c r="D39" s="588"/>
      <c r="E39" s="588"/>
      <c r="F39" s="589"/>
      <c r="G39" s="166"/>
      <c r="H39" s="588"/>
      <c r="I39" s="588"/>
      <c r="J39" s="588"/>
      <c r="K39" s="589"/>
      <c r="L39" s="30"/>
      <c r="M39" s="85"/>
      <c r="N39" s="201"/>
    </row>
    <row r="40" spans="1:14" ht="13.5" thickBot="1">
      <c r="A40" s="93"/>
      <c r="B40" s="147"/>
      <c r="C40" s="202" t="s">
        <v>73</v>
      </c>
      <c r="D40" s="203"/>
      <c r="E40" s="203"/>
      <c r="F40" s="188">
        <f>SUM(F37:F38,F36)</f>
        <v>33.70081686337083</v>
      </c>
      <c r="G40" s="205"/>
      <c r="H40" s="596" t="s">
        <v>74</v>
      </c>
      <c r="I40" s="596"/>
      <c r="J40" s="596"/>
      <c r="K40" s="188">
        <f>SUM(K36:K38)</f>
        <v>33.08613097337697</v>
      </c>
      <c r="L40" s="206"/>
      <c r="M40" s="189">
        <f>K40-F40</f>
        <v>-0.614685889993865</v>
      </c>
      <c r="N40" s="190">
        <f>M40/F40</f>
        <v>-0.018239495276506562</v>
      </c>
    </row>
    <row r="41" ht="12.75">
      <c r="K41" s="160"/>
    </row>
    <row r="42" spans="1:14" ht="11.25" customHeight="1" thickBot="1">
      <c r="A42" s="46"/>
      <c r="B42" s="11"/>
      <c r="D42" s="9"/>
      <c r="E42" s="9"/>
      <c r="F42" s="208"/>
      <c r="I42" s="9"/>
      <c r="J42" s="9"/>
      <c r="K42" s="209"/>
      <c r="L42" s="11"/>
      <c r="M42" s="11"/>
      <c r="N42" s="210"/>
    </row>
    <row r="43" spans="1:14" ht="60.75" customHeight="1" thickBot="1">
      <c r="A43" s="167" t="s">
        <v>65</v>
      </c>
      <c r="B43" s="168"/>
      <c r="C43" s="613"/>
      <c r="D43" s="590" t="s">
        <v>6</v>
      </c>
      <c r="E43" s="592" t="s">
        <v>66</v>
      </c>
      <c r="F43" s="594" t="s">
        <v>179</v>
      </c>
      <c r="G43" s="165"/>
      <c r="H43" s="169"/>
      <c r="I43" s="590" t="s">
        <v>6</v>
      </c>
      <c r="J43" s="592" t="s">
        <v>66</v>
      </c>
      <c r="K43" s="594" t="s">
        <v>179</v>
      </c>
      <c r="L43" s="168"/>
      <c r="M43" s="607" t="s">
        <v>178</v>
      </c>
      <c r="N43" s="597" t="s">
        <v>67</v>
      </c>
    </row>
    <row r="44" spans="1:14" ht="13.5" thickBot="1">
      <c r="A44" s="170">
        <v>500</v>
      </c>
      <c r="B44" s="30"/>
      <c r="C44" s="614"/>
      <c r="D44" s="591"/>
      <c r="E44" s="593"/>
      <c r="F44" s="595"/>
      <c r="G44" s="166"/>
      <c r="H44" s="30"/>
      <c r="I44" s="605"/>
      <c r="J44" s="606"/>
      <c r="K44" s="595"/>
      <c r="L44" s="31"/>
      <c r="M44" s="608"/>
      <c r="N44" s="598"/>
    </row>
    <row r="45" spans="1:14" ht="27">
      <c r="A45" s="171"/>
      <c r="B45" s="30"/>
      <c r="C45" s="172" t="s">
        <v>14</v>
      </c>
      <c r="D45" s="173" t="s">
        <v>68</v>
      </c>
      <c r="E45" s="174" t="s">
        <v>68</v>
      </c>
      <c r="F45" s="233">
        <f>F34</f>
        <v>11.66</v>
      </c>
      <c r="G45" s="166"/>
      <c r="H45" s="176" t="s">
        <v>14</v>
      </c>
      <c r="I45" s="207" t="str">
        <f>D45</f>
        <v>N/A</v>
      </c>
      <c r="J45" s="177" t="s">
        <v>68</v>
      </c>
      <c r="K45" s="226">
        <f>$K$23</f>
        <v>9.919303766434421</v>
      </c>
      <c r="L45" s="178"/>
      <c r="M45" s="583"/>
      <c r="N45" s="584"/>
    </row>
    <row r="46" spans="1:14" ht="25.5" customHeight="1" thickBot="1">
      <c r="A46" s="85"/>
      <c r="B46" s="30"/>
      <c r="C46" s="179" t="s">
        <v>69</v>
      </c>
      <c r="D46" s="234">
        <f>A44</f>
        <v>500</v>
      </c>
      <c r="E46" s="181">
        <f>E35</f>
        <v>0.017263267453483316</v>
      </c>
      <c r="F46" s="338">
        <f>D46*E46</f>
        <v>8.631633726741658</v>
      </c>
      <c r="G46" s="166"/>
      <c r="H46" s="183" t="s">
        <v>69</v>
      </c>
      <c r="I46" s="359">
        <f>D46</f>
        <v>500</v>
      </c>
      <c r="J46" s="429">
        <f>$J$24</f>
        <v>0.021767308827770195</v>
      </c>
      <c r="K46" s="185">
        <f>I46*J46</f>
        <v>10.883654413885097</v>
      </c>
      <c r="L46" s="178"/>
      <c r="M46" s="599"/>
      <c r="N46" s="600"/>
    </row>
    <row r="47" spans="1:14" ht="13.5" thickBot="1">
      <c r="A47" s="85"/>
      <c r="B47" s="30"/>
      <c r="C47" s="601"/>
      <c r="D47" s="612"/>
      <c r="E47" s="186" t="s">
        <v>41</v>
      </c>
      <c r="F47" s="357">
        <f>SUM(F45:F46)</f>
        <v>20.291633726741658</v>
      </c>
      <c r="G47" s="166"/>
      <c r="H47" s="603"/>
      <c r="I47" s="604"/>
      <c r="J47" s="186" t="s">
        <v>70</v>
      </c>
      <c r="K47" s="188">
        <f>SUM(K45:K46)</f>
        <v>20.802958180319518</v>
      </c>
      <c r="L47" s="178"/>
      <c r="M47" s="189">
        <f>K47-F47</f>
        <v>0.5113244535778598</v>
      </c>
      <c r="N47" s="190">
        <f>M47/F47</f>
        <v>0.02519878194450172</v>
      </c>
    </row>
    <row r="48" spans="1:14" ht="26.25">
      <c r="A48" s="85"/>
      <c r="B48" s="30"/>
      <c r="C48" s="179" t="s">
        <v>71</v>
      </c>
      <c r="D48" s="180">
        <f>A44</f>
        <v>500</v>
      </c>
      <c r="E48" s="425">
        <v>0.0239</v>
      </c>
      <c r="F48" s="358">
        <f>D48*E48</f>
        <v>11.950000000000001</v>
      </c>
      <c r="G48" s="166"/>
      <c r="H48" s="183" t="s">
        <v>71</v>
      </c>
      <c r="I48" s="184">
        <f aca="true" t="shared" si="2" ref="I48:K49">D48</f>
        <v>500</v>
      </c>
      <c r="J48" s="427">
        <f t="shared" si="2"/>
        <v>0.0239</v>
      </c>
      <c r="K48" s="194">
        <f t="shared" si="2"/>
        <v>11.950000000000001</v>
      </c>
      <c r="L48" s="178"/>
      <c r="M48" s="583"/>
      <c r="N48" s="584"/>
    </row>
    <row r="49" spans="1:14" ht="27" thickBot="1">
      <c r="A49" s="85"/>
      <c r="B49" s="30"/>
      <c r="C49" s="195" t="s">
        <v>72</v>
      </c>
      <c r="D49" s="180">
        <f>A44</f>
        <v>500</v>
      </c>
      <c r="E49" s="426">
        <v>0.047</v>
      </c>
      <c r="F49" s="338">
        <f>D49*E49</f>
        <v>23.5</v>
      </c>
      <c r="G49" s="166"/>
      <c r="H49" s="197" t="s">
        <v>72</v>
      </c>
      <c r="I49" s="198">
        <f t="shared" si="2"/>
        <v>500</v>
      </c>
      <c r="J49" s="428">
        <f t="shared" si="2"/>
        <v>0.047</v>
      </c>
      <c r="K49" s="200">
        <f t="shared" si="2"/>
        <v>23.5</v>
      </c>
      <c r="L49" s="178"/>
      <c r="M49" s="585"/>
      <c r="N49" s="586"/>
    </row>
    <row r="50" spans="1:14" ht="13.5" thickBot="1">
      <c r="A50" s="85"/>
      <c r="B50" s="30"/>
      <c r="C50" s="587"/>
      <c r="D50" s="588"/>
      <c r="E50" s="588"/>
      <c r="F50" s="589"/>
      <c r="G50" s="166"/>
      <c r="H50" s="588"/>
      <c r="I50" s="588"/>
      <c r="J50" s="588"/>
      <c r="K50" s="589"/>
      <c r="L50" s="30"/>
      <c r="M50" s="85"/>
      <c r="N50" s="201"/>
    </row>
    <row r="51" spans="1:14" ht="13.5" thickBot="1">
      <c r="A51" s="93"/>
      <c r="B51" s="147"/>
      <c r="C51" s="202" t="s">
        <v>73</v>
      </c>
      <c r="D51" s="203"/>
      <c r="E51" s="203"/>
      <c r="F51" s="188">
        <f>SUM(F48:F49,F47)</f>
        <v>55.74163372674166</v>
      </c>
      <c r="G51" s="205"/>
      <c r="H51" s="596" t="s">
        <v>74</v>
      </c>
      <c r="I51" s="596"/>
      <c r="J51" s="596"/>
      <c r="K51" s="188">
        <f>SUM(K47:K49)</f>
        <v>56.25295818031952</v>
      </c>
      <c r="L51" s="206"/>
      <c r="M51" s="189">
        <f>K51-F51</f>
        <v>0.5113244535778563</v>
      </c>
      <c r="N51" s="190">
        <f>M51/F51</f>
        <v>0.009173115665832232</v>
      </c>
    </row>
    <row r="52" spans="1:14" ht="13.5">
      <c r="A52" s="46"/>
      <c r="B52" s="11"/>
      <c r="D52" s="9"/>
      <c r="E52" s="9"/>
      <c r="F52" s="208"/>
      <c r="I52" s="9"/>
      <c r="J52" s="9"/>
      <c r="K52" s="209"/>
      <c r="L52" s="11"/>
      <c r="M52" s="11"/>
      <c r="N52" s="210"/>
    </row>
    <row r="53" spans="1:14" ht="13.5" thickBot="1">
      <c r="A53" s="11"/>
      <c r="D53" s="211"/>
      <c r="E53" s="9"/>
      <c r="F53" s="208"/>
      <c r="I53" s="9"/>
      <c r="J53" s="9"/>
      <c r="K53" s="209"/>
      <c r="L53" s="11"/>
      <c r="M53" s="11"/>
      <c r="N53" s="212"/>
    </row>
    <row r="54" spans="1:14" ht="60.75" customHeight="1" thickBot="1">
      <c r="A54" s="167" t="s">
        <v>65</v>
      </c>
      <c r="B54" s="168"/>
      <c r="C54" s="609"/>
      <c r="D54" s="590" t="s">
        <v>6</v>
      </c>
      <c r="E54" s="592" t="s">
        <v>66</v>
      </c>
      <c r="F54" s="594" t="s">
        <v>179</v>
      </c>
      <c r="G54" s="165"/>
      <c r="H54" s="169"/>
      <c r="I54" s="590" t="s">
        <v>6</v>
      </c>
      <c r="J54" s="592" t="s">
        <v>66</v>
      </c>
      <c r="K54" s="594" t="s">
        <v>179</v>
      </c>
      <c r="L54" s="168"/>
      <c r="M54" s="607" t="s">
        <v>178</v>
      </c>
      <c r="N54" s="597" t="s">
        <v>67</v>
      </c>
    </row>
    <row r="55" spans="1:14" ht="13.5" thickBot="1">
      <c r="A55" s="170">
        <v>750</v>
      </c>
      <c r="B55" s="30"/>
      <c r="C55" s="610"/>
      <c r="D55" s="591"/>
      <c r="E55" s="593"/>
      <c r="F55" s="595"/>
      <c r="G55" s="166"/>
      <c r="H55" s="30"/>
      <c r="I55" s="605"/>
      <c r="J55" s="606"/>
      <c r="K55" s="595"/>
      <c r="L55" s="31"/>
      <c r="M55" s="608"/>
      <c r="N55" s="598"/>
    </row>
    <row r="56" spans="1:14" ht="26.25" customHeight="1">
      <c r="A56" s="171"/>
      <c r="B56" s="30"/>
      <c r="C56" s="172" t="s">
        <v>14</v>
      </c>
      <c r="D56" s="173" t="s">
        <v>68</v>
      </c>
      <c r="E56" s="174" t="s">
        <v>68</v>
      </c>
      <c r="F56" s="233">
        <f>F45</f>
        <v>11.66</v>
      </c>
      <c r="G56" s="166"/>
      <c r="H56" s="176" t="s">
        <v>14</v>
      </c>
      <c r="I56" s="207" t="str">
        <f>D56</f>
        <v>N/A</v>
      </c>
      <c r="J56" s="177" t="s">
        <v>68</v>
      </c>
      <c r="K56" s="226">
        <f>$K$23</f>
        <v>9.919303766434421</v>
      </c>
      <c r="L56" s="178"/>
      <c r="M56" s="583"/>
      <c r="N56" s="584"/>
    </row>
    <row r="57" spans="1:14" ht="26.25" customHeight="1" thickBot="1">
      <c r="A57" s="85"/>
      <c r="B57" s="30"/>
      <c r="C57" s="179" t="s">
        <v>69</v>
      </c>
      <c r="D57" s="234">
        <f>A55</f>
        <v>750</v>
      </c>
      <c r="E57" s="181">
        <f>E46</f>
        <v>0.017263267453483316</v>
      </c>
      <c r="F57" s="338">
        <f>D57*E57</f>
        <v>12.947450590112487</v>
      </c>
      <c r="G57" s="166"/>
      <c r="H57" s="183" t="s">
        <v>69</v>
      </c>
      <c r="I57" s="359">
        <f>D57</f>
        <v>750</v>
      </c>
      <c r="J57" s="227">
        <f>$J$24</f>
        <v>0.021767308827770195</v>
      </c>
      <c r="K57" s="185">
        <f>I57*J57</f>
        <v>16.325481620827645</v>
      </c>
      <c r="L57" s="178"/>
      <c r="M57" s="599"/>
      <c r="N57" s="600"/>
    </row>
    <row r="58" spans="1:14" ht="13.5" thickBot="1">
      <c r="A58" s="85"/>
      <c r="B58" s="30"/>
      <c r="C58" s="601"/>
      <c r="D58" s="602"/>
      <c r="E58" s="186" t="s">
        <v>41</v>
      </c>
      <c r="F58" s="357">
        <f>SUM(F56:F57)</f>
        <v>24.607450590112485</v>
      </c>
      <c r="G58" s="166"/>
      <c r="H58" s="603"/>
      <c r="I58" s="604"/>
      <c r="J58" s="186" t="s">
        <v>70</v>
      </c>
      <c r="K58" s="188">
        <f>SUM(K56:K57)</f>
        <v>26.244785387262066</v>
      </c>
      <c r="L58" s="178"/>
      <c r="M58" s="189">
        <f>K58-F58</f>
        <v>1.637334797149581</v>
      </c>
      <c r="N58" s="190">
        <f>M58/F58</f>
        <v>0.06653817270316813</v>
      </c>
    </row>
    <row r="59" spans="1:14" ht="26.25">
      <c r="A59" s="85"/>
      <c r="B59" s="30"/>
      <c r="C59" s="179" t="s">
        <v>71</v>
      </c>
      <c r="D59" s="180">
        <f>A55</f>
        <v>750</v>
      </c>
      <c r="E59" s="191">
        <v>0.0239</v>
      </c>
      <c r="F59" s="358">
        <f>D59*E59</f>
        <v>17.925</v>
      </c>
      <c r="G59" s="166"/>
      <c r="H59" s="183" t="s">
        <v>71</v>
      </c>
      <c r="I59" s="184">
        <f aca="true" t="shared" si="3" ref="I59:K60">D59</f>
        <v>750</v>
      </c>
      <c r="J59" s="193">
        <f t="shared" si="3"/>
        <v>0.0239</v>
      </c>
      <c r="K59" s="194">
        <f t="shared" si="3"/>
        <v>17.925</v>
      </c>
      <c r="L59" s="178"/>
      <c r="M59" s="583"/>
      <c r="N59" s="584"/>
    </row>
    <row r="60" spans="1:14" ht="27" thickBot="1">
      <c r="A60" s="85"/>
      <c r="B60" s="30"/>
      <c r="C60" s="195" t="s">
        <v>72</v>
      </c>
      <c r="D60" s="180">
        <f>A55</f>
        <v>750</v>
      </c>
      <c r="E60" s="196">
        <v>0.047</v>
      </c>
      <c r="F60" s="338">
        <f>D60*E60</f>
        <v>35.25</v>
      </c>
      <c r="G60" s="166"/>
      <c r="H60" s="197" t="s">
        <v>72</v>
      </c>
      <c r="I60" s="198">
        <f t="shared" si="3"/>
        <v>750</v>
      </c>
      <c r="J60" s="199">
        <f t="shared" si="3"/>
        <v>0.047</v>
      </c>
      <c r="K60" s="200">
        <f t="shared" si="3"/>
        <v>35.25</v>
      </c>
      <c r="L60" s="178"/>
      <c r="M60" s="585"/>
      <c r="N60" s="586"/>
    </row>
    <row r="61" spans="1:14" ht="13.5" thickBot="1">
      <c r="A61" s="85"/>
      <c r="B61" s="30"/>
      <c r="C61" s="587"/>
      <c r="D61" s="588"/>
      <c r="E61" s="588"/>
      <c r="F61" s="589"/>
      <c r="G61" s="166"/>
      <c r="H61" s="588"/>
      <c r="I61" s="588"/>
      <c r="J61" s="588"/>
      <c r="K61" s="589"/>
      <c r="L61" s="30"/>
      <c r="M61" s="85"/>
      <c r="N61" s="201"/>
    </row>
    <row r="62" spans="1:14" ht="13.5" thickBot="1">
      <c r="A62" s="93"/>
      <c r="B62" s="147"/>
      <c r="C62" s="202" t="s">
        <v>73</v>
      </c>
      <c r="D62" s="203"/>
      <c r="E62" s="203"/>
      <c r="F62" s="188">
        <f>SUM(F59:F60,F58)</f>
        <v>77.78245059011249</v>
      </c>
      <c r="G62" s="205"/>
      <c r="H62" s="596" t="s">
        <v>74</v>
      </c>
      <c r="I62" s="596"/>
      <c r="J62" s="596"/>
      <c r="K62" s="188">
        <f>SUM(K58:K60)</f>
        <v>79.41978538726207</v>
      </c>
      <c r="L62" s="206"/>
      <c r="M62" s="189">
        <f>K62-F62</f>
        <v>1.6373347971495775</v>
      </c>
      <c r="N62" s="190">
        <f>M62/F62</f>
        <v>0.021050182717664484</v>
      </c>
    </row>
    <row r="63" spans="1:14" ht="10.5" customHeight="1">
      <c r="A63" s="11"/>
      <c r="D63" s="211"/>
      <c r="E63" s="9"/>
      <c r="F63" s="208"/>
      <c r="I63" s="9"/>
      <c r="J63" s="9"/>
      <c r="K63" s="209"/>
      <c r="L63" s="11"/>
      <c r="M63" s="11"/>
      <c r="N63" s="212"/>
    </row>
    <row r="64" spans="1:13" ht="10.5" customHeight="1" thickBot="1">
      <c r="A64" s="213"/>
      <c r="B64" s="30"/>
      <c r="C64" s="131"/>
      <c r="D64" s="29"/>
      <c r="E64" s="29"/>
      <c r="F64" s="214"/>
      <c r="H64" s="131"/>
      <c r="I64" s="29"/>
      <c r="J64" s="29"/>
      <c r="K64" s="215"/>
      <c r="L64" s="215"/>
      <c r="M64" s="215"/>
    </row>
    <row r="65" spans="1:14" ht="61.5" customHeight="1" thickBot="1">
      <c r="A65" s="167" t="s">
        <v>65</v>
      </c>
      <c r="B65" s="168"/>
      <c r="C65" s="609"/>
      <c r="D65" s="590" t="s">
        <v>6</v>
      </c>
      <c r="E65" s="592" t="s">
        <v>66</v>
      </c>
      <c r="F65" s="594" t="s">
        <v>179</v>
      </c>
      <c r="G65" s="165"/>
      <c r="H65" s="169"/>
      <c r="I65" s="590" t="s">
        <v>6</v>
      </c>
      <c r="J65" s="592" t="s">
        <v>66</v>
      </c>
      <c r="K65" s="594" t="s">
        <v>179</v>
      </c>
      <c r="L65" s="168"/>
      <c r="M65" s="607" t="s">
        <v>178</v>
      </c>
      <c r="N65" s="597" t="s">
        <v>67</v>
      </c>
    </row>
    <row r="66" spans="1:14" ht="13.5" thickBot="1">
      <c r="A66" s="170">
        <v>1000</v>
      </c>
      <c r="B66" s="30"/>
      <c r="C66" s="610"/>
      <c r="D66" s="591"/>
      <c r="E66" s="593"/>
      <c r="F66" s="595"/>
      <c r="G66" s="166"/>
      <c r="H66" s="30"/>
      <c r="I66" s="605"/>
      <c r="J66" s="606"/>
      <c r="K66" s="595"/>
      <c r="L66" s="31"/>
      <c r="M66" s="608"/>
      <c r="N66" s="598"/>
    </row>
    <row r="67" spans="1:14" ht="26.25" customHeight="1">
      <c r="A67" s="171"/>
      <c r="B67" s="30"/>
      <c r="C67" s="172" t="s">
        <v>14</v>
      </c>
      <c r="D67" s="173" t="s">
        <v>68</v>
      </c>
      <c r="E67" s="174" t="s">
        <v>68</v>
      </c>
      <c r="F67" s="233">
        <f>F56</f>
        <v>11.66</v>
      </c>
      <c r="G67" s="166"/>
      <c r="H67" s="172" t="s">
        <v>14</v>
      </c>
      <c r="I67" s="207" t="str">
        <f>D67</f>
        <v>N/A</v>
      </c>
      <c r="J67" s="177" t="s">
        <v>68</v>
      </c>
      <c r="K67" s="226">
        <f>$K$23</f>
        <v>9.919303766434421</v>
      </c>
      <c r="L67" s="178"/>
      <c r="M67" s="583"/>
      <c r="N67" s="584"/>
    </row>
    <row r="68" spans="1:14" ht="24" customHeight="1" thickBot="1">
      <c r="A68" s="85"/>
      <c r="B68" s="30"/>
      <c r="C68" s="179" t="s">
        <v>69</v>
      </c>
      <c r="D68" s="180">
        <f>A66</f>
        <v>1000</v>
      </c>
      <c r="E68" s="181">
        <f>E57</f>
        <v>0.017263267453483316</v>
      </c>
      <c r="F68" s="338">
        <f>D68*E68</f>
        <v>17.263267453483316</v>
      </c>
      <c r="G68" s="166"/>
      <c r="H68" s="179" t="s">
        <v>69</v>
      </c>
      <c r="I68" s="184">
        <f>D68</f>
        <v>1000</v>
      </c>
      <c r="J68" s="227">
        <f>$J$24</f>
        <v>0.021767308827770195</v>
      </c>
      <c r="K68" s="185">
        <f>I68*J68</f>
        <v>21.767308827770194</v>
      </c>
      <c r="L68" s="178"/>
      <c r="M68" s="599"/>
      <c r="N68" s="600"/>
    </row>
    <row r="69" spans="1:14" ht="13.5" thickBot="1">
      <c r="A69" s="85"/>
      <c r="B69" s="30"/>
      <c r="C69" s="601"/>
      <c r="D69" s="602"/>
      <c r="E69" s="186" t="s">
        <v>41</v>
      </c>
      <c r="F69" s="357">
        <f>SUM(F67:F68)</f>
        <v>28.923267453483316</v>
      </c>
      <c r="G69" s="166"/>
      <c r="H69" s="611"/>
      <c r="I69" s="604"/>
      <c r="J69" s="186" t="s">
        <v>70</v>
      </c>
      <c r="K69" s="188">
        <f>SUM(K67:K68)</f>
        <v>31.686612594204615</v>
      </c>
      <c r="L69" s="178"/>
      <c r="M69" s="189">
        <f>K69-F69</f>
        <v>2.7633451407212988</v>
      </c>
      <c r="N69" s="190">
        <f>M69/F69</f>
        <v>0.09554055900376847</v>
      </c>
    </row>
    <row r="70" spans="1:14" ht="26.25">
      <c r="A70" s="85"/>
      <c r="B70" s="30"/>
      <c r="C70" s="179" t="s">
        <v>71</v>
      </c>
      <c r="D70" s="180">
        <f>A66</f>
        <v>1000</v>
      </c>
      <c r="E70" s="191">
        <v>0.0239</v>
      </c>
      <c r="F70" s="358">
        <f>D70*E70</f>
        <v>23.900000000000002</v>
      </c>
      <c r="G70" s="166"/>
      <c r="H70" s="179" t="s">
        <v>71</v>
      </c>
      <c r="I70" s="184">
        <f>D70</f>
        <v>1000</v>
      </c>
      <c r="J70" s="193">
        <f>E70</f>
        <v>0.0239</v>
      </c>
      <c r="K70" s="194">
        <f>F70</f>
        <v>23.900000000000002</v>
      </c>
      <c r="L70" s="178"/>
      <c r="M70" s="583"/>
      <c r="N70" s="584"/>
    </row>
    <row r="71" spans="1:14" ht="26.25">
      <c r="A71" s="85"/>
      <c r="B71" s="30"/>
      <c r="C71" s="195" t="s">
        <v>72</v>
      </c>
      <c r="D71" s="180">
        <v>750</v>
      </c>
      <c r="E71" s="196">
        <v>0.047</v>
      </c>
      <c r="F71" s="338">
        <f>D71*E71</f>
        <v>35.25</v>
      </c>
      <c r="G71" s="166"/>
      <c r="H71" s="195" t="s">
        <v>72</v>
      </c>
      <c r="I71" s="180">
        <f>D71</f>
        <v>750</v>
      </c>
      <c r="J71" s="196">
        <v>0.047</v>
      </c>
      <c r="K71" s="338">
        <f>I71*J71</f>
        <v>35.25</v>
      </c>
      <c r="L71" s="178"/>
      <c r="M71" s="585"/>
      <c r="N71" s="586"/>
    </row>
    <row r="72" spans="1:14" ht="27" thickBot="1">
      <c r="A72" s="85"/>
      <c r="B72" s="30"/>
      <c r="C72" s="195" t="s">
        <v>72</v>
      </c>
      <c r="D72" s="234">
        <f>A66-D71</f>
        <v>250</v>
      </c>
      <c r="E72" s="196">
        <v>0.055</v>
      </c>
      <c r="F72" s="338">
        <f>D72*E72</f>
        <v>13.75</v>
      </c>
      <c r="G72" s="166"/>
      <c r="H72" s="339" t="s">
        <v>72</v>
      </c>
      <c r="I72" s="360">
        <f>D72</f>
        <v>250</v>
      </c>
      <c r="J72" s="340">
        <v>0.055</v>
      </c>
      <c r="K72" s="341">
        <f>I72*J72</f>
        <v>13.75</v>
      </c>
      <c r="L72" s="178"/>
      <c r="M72" s="585"/>
      <c r="N72" s="586"/>
    </row>
    <row r="73" spans="1:14" ht="13.5" thickBot="1">
      <c r="A73" s="85"/>
      <c r="B73" s="30"/>
      <c r="C73" s="587"/>
      <c r="D73" s="588"/>
      <c r="E73" s="588"/>
      <c r="F73" s="589"/>
      <c r="G73" s="166"/>
      <c r="H73" s="588"/>
      <c r="I73" s="588"/>
      <c r="J73" s="588"/>
      <c r="K73" s="589"/>
      <c r="L73" s="30"/>
      <c r="M73" s="85"/>
      <c r="N73" s="201"/>
    </row>
    <row r="74" spans="1:14" ht="13.5" thickBot="1">
      <c r="A74" s="93"/>
      <c r="B74" s="147"/>
      <c r="C74" s="202" t="s">
        <v>73</v>
      </c>
      <c r="D74" s="203"/>
      <c r="E74" s="203"/>
      <c r="F74" s="188">
        <f>SUM(F70:F72,F69)</f>
        <v>101.82326745348333</v>
      </c>
      <c r="G74" s="205"/>
      <c r="H74" s="596" t="s">
        <v>74</v>
      </c>
      <c r="I74" s="596"/>
      <c r="J74" s="596"/>
      <c r="K74" s="188">
        <f>SUM(K69:K72)</f>
        <v>104.58661259420461</v>
      </c>
      <c r="L74" s="206"/>
      <c r="M74" s="189">
        <f>K74-F74</f>
        <v>2.7633451407212846</v>
      </c>
      <c r="N74" s="190">
        <f>M74/F74</f>
        <v>0.02713864139140579</v>
      </c>
    </row>
    <row r="75" spans="1:14" ht="12.75">
      <c r="A75" s="11"/>
      <c r="D75" s="211"/>
      <c r="E75" s="9"/>
      <c r="F75" s="208"/>
      <c r="I75" s="9"/>
      <c r="J75" s="9"/>
      <c r="K75" s="209"/>
      <c r="L75" s="11"/>
      <c r="M75" s="11"/>
      <c r="N75" s="212"/>
    </row>
    <row r="76" spans="1:13" ht="15.75" thickBot="1">
      <c r="A76" s="213"/>
      <c r="B76" s="30"/>
      <c r="C76" s="131"/>
      <c r="D76" s="29"/>
      <c r="E76" s="29"/>
      <c r="F76" s="214"/>
      <c r="H76" s="131"/>
      <c r="I76" s="29"/>
      <c r="J76" s="29"/>
      <c r="K76" s="215"/>
      <c r="L76" s="215"/>
      <c r="M76" s="215"/>
    </row>
    <row r="77" spans="1:14" ht="57.75" customHeight="1" thickBot="1">
      <c r="A77" s="167" t="s">
        <v>65</v>
      </c>
      <c r="B77" s="168"/>
      <c r="C77" s="609"/>
      <c r="D77" s="590" t="s">
        <v>6</v>
      </c>
      <c r="E77" s="592" t="s">
        <v>66</v>
      </c>
      <c r="F77" s="594" t="s">
        <v>179</v>
      </c>
      <c r="G77" s="165"/>
      <c r="H77" s="169"/>
      <c r="I77" s="590" t="s">
        <v>6</v>
      </c>
      <c r="J77" s="592" t="s">
        <v>66</v>
      </c>
      <c r="K77" s="594" t="s">
        <v>179</v>
      </c>
      <c r="L77" s="168"/>
      <c r="M77" s="607" t="s">
        <v>178</v>
      </c>
      <c r="N77" s="597" t="s">
        <v>67</v>
      </c>
    </row>
    <row r="78" spans="1:14" ht="13.5" thickBot="1">
      <c r="A78" s="170">
        <v>1500</v>
      </c>
      <c r="B78" s="30"/>
      <c r="C78" s="610"/>
      <c r="D78" s="591"/>
      <c r="E78" s="593"/>
      <c r="F78" s="595"/>
      <c r="G78" s="166"/>
      <c r="H78" s="30"/>
      <c r="I78" s="605"/>
      <c r="J78" s="606"/>
      <c r="K78" s="595"/>
      <c r="L78" s="31"/>
      <c r="M78" s="608"/>
      <c r="N78" s="598"/>
    </row>
    <row r="79" spans="1:14" ht="27.75" customHeight="1">
      <c r="A79" s="171"/>
      <c r="B79" s="30"/>
      <c r="C79" s="172" t="s">
        <v>14</v>
      </c>
      <c r="D79" s="173" t="s">
        <v>68</v>
      </c>
      <c r="E79" s="174" t="s">
        <v>68</v>
      </c>
      <c r="F79" s="233">
        <f>F67</f>
        <v>11.66</v>
      </c>
      <c r="G79" s="166"/>
      <c r="H79" s="176" t="s">
        <v>14</v>
      </c>
      <c r="I79" s="207" t="str">
        <f>D79</f>
        <v>N/A</v>
      </c>
      <c r="J79" s="177" t="s">
        <v>68</v>
      </c>
      <c r="K79" s="226">
        <f>$K$23</f>
        <v>9.919303766434421</v>
      </c>
      <c r="L79" s="178"/>
      <c r="M79" s="583"/>
      <c r="N79" s="584"/>
    </row>
    <row r="80" spans="1:14" ht="25.5" customHeight="1" thickBot="1">
      <c r="A80" s="85"/>
      <c r="B80" s="30"/>
      <c r="C80" s="179" t="s">
        <v>69</v>
      </c>
      <c r="D80" s="180">
        <f>A78</f>
        <v>1500</v>
      </c>
      <c r="E80" s="181">
        <f>E68</f>
        <v>0.017263267453483316</v>
      </c>
      <c r="F80" s="338">
        <f>D80*E80</f>
        <v>25.894901180224974</v>
      </c>
      <c r="G80" s="166"/>
      <c r="H80" s="183" t="s">
        <v>69</v>
      </c>
      <c r="I80" s="184">
        <f>D80</f>
        <v>1500</v>
      </c>
      <c r="J80" s="227">
        <f>$J$24</f>
        <v>0.021767308827770195</v>
      </c>
      <c r="K80" s="185">
        <f>I80*J80</f>
        <v>32.65096324165529</v>
      </c>
      <c r="L80" s="178"/>
      <c r="M80" s="599"/>
      <c r="N80" s="600"/>
    </row>
    <row r="81" spans="1:14" ht="13.5" thickBot="1">
      <c r="A81" s="85"/>
      <c r="B81" s="30"/>
      <c r="C81" s="601"/>
      <c r="D81" s="602"/>
      <c r="E81" s="186" t="s">
        <v>41</v>
      </c>
      <c r="F81" s="357">
        <f>SUM(F79:F80)</f>
        <v>37.554901180224974</v>
      </c>
      <c r="G81" s="166"/>
      <c r="H81" s="603"/>
      <c r="I81" s="604"/>
      <c r="J81" s="186" t="s">
        <v>70</v>
      </c>
      <c r="K81" s="188">
        <f>SUM(K79:K80)</f>
        <v>42.570267008089715</v>
      </c>
      <c r="L81" s="178"/>
      <c r="M81" s="189">
        <f>K81-F81</f>
        <v>5.015365827864741</v>
      </c>
      <c r="N81" s="190">
        <f>M81/F81</f>
        <v>0.1335475708961697</v>
      </c>
    </row>
    <row r="82" spans="1:14" ht="26.25">
      <c r="A82" s="85"/>
      <c r="B82" s="30"/>
      <c r="C82" s="179" t="s">
        <v>71</v>
      </c>
      <c r="D82" s="180">
        <f>A78</f>
        <v>1500</v>
      </c>
      <c r="E82" s="191">
        <v>0.0239</v>
      </c>
      <c r="F82" s="358">
        <f>D82*E82</f>
        <v>35.85</v>
      </c>
      <c r="G82" s="166"/>
      <c r="H82" s="183" t="s">
        <v>71</v>
      </c>
      <c r="I82" s="184">
        <f>D82</f>
        <v>1500</v>
      </c>
      <c r="J82" s="193">
        <f>E82</f>
        <v>0.0239</v>
      </c>
      <c r="K82" s="194">
        <f>F82</f>
        <v>35.85</v>
      </c>
      <c r="L82" s="178"/>
      <c r="M82" s="583"/>
      <c r="N82" s="584"/>
    </row>
    <row r="83" spans="1:14" ht="26.25">
      <c r="A83" s="85"/>
      <c r="B83" s="30"/>
      <c r="C83" s="195" t="s">
        <v>72</v>
      </c>
      <c r="D83" s="180">
        <v>750</v>
      </c>
      <c r="E83" s="196">
        <v>0.047</v>
      </c>
      <c r="F83" s="338">
        <f>D83*E83</f>
        <v>35.25</v>
      </c>
      <c r="G83" s="166"/>
      <c r="H83" s="195" t="s">
        <v>72</v>
      </c>
      <c r="I83" s="184">
        <f>D83</f>
        <v>750</v>
      </c>
      <c r="J83" s="196">
        <v>0.047</v>
      </c>
      <c r="K83" s="338">
        <f>I83*J83</f>
        <v>35.25</v>
      </c>
      <c r="L83" s="178"/>
      <c r="M83" s="585"/>
      <c r="N83" s="586"/>
    </row>
    <row r="84" spans="1:14" ht="27" thickBot="1">
      <c r="A84" s="85"/>
      <c r="B84" s="30"/>
      <c r="C84" s="195" t="s">
        <v>72</v>
      </c>
      <c r="D84" s="234">
        <f>A78-D83</f>
        <v>750</v>
      </c>
      <c r="E84" s="196">
        <v>0.055</v>
      </c>
      <c r="F84" s="338">
        <f>D84*E84</f>
        <v>41.25</v>
      </c>
      <c r="G84" s="166"/>
      <c r="H84" s="339" t="s">
        <v>72</v>
      </c>
      <c r="I84" s="360">
        <f>D84</f>
        <v>750</v>
      </c>
      <c r="J84" s="340">
        <v>0.055</v>
      </c>
      <c r="K84" s="341">
        <f>I84*J84</f>
        <v>41.25</v>
      </c>
      <c r="L84" s="178"/>
      <c r="M84" s="585"/>
      <c r="N84" s="586"/>
    </row>
    <row r="85" spans="1:14" ht="13.5" thickBot="1">
      <c r="A85" s="85"/>
      <c r="B85" s="30"/>
      <c r="C85" s="587"/>
      <c r="D85" s="588"/>
      <c r="E85" s="588"/>
      <c r="F85" s="589"/>
      <c r="G85" s="166"/>
      <c r="H85" s="588"/>
      <c r="I85" s="588"/>
      <c r="J85" s="588"/>
      <c r="K85" s="589"/>
      <c r="L85" s="30"/>
      <c r="M85" s="85"/>
      <c r="N85" s="201"/>
    </row>
    <row r="86" spans="1:14" ht="13.5" thickBot="1">
      <c r="A86" s="93"/>
      <c r="B86" s="147"/>
      <c r="C86" s="202" t="s">
        <v>73</v>
      </c>
      <c r="D86" s="203"/>
      <c r="E86" s="203"/>
      <c r="F86" s="188">
        <f>SUM(F82:F84,F81)</f>
        <v>149.90490118022495</v>
      </c>
      <c r="G86" s="205"/>
      <c r="H86" s="596" t="s">
        <v>74</v>
      </c>
      <c r="I86" s="596"/>
      <c r="J86" s="596"/>
      <c r="K86" s="188">
        <f>SUM(K81:K84)</f>
        <v>154.92026700808972</v>
      </c>
      <c r="L86" s="206"/>
      <c r="M86" s="189">
        <f>K86-F86</f>
        <v>5.01536582786477</v>
      </c>
      <c r="N86" s="190">
        <f>M86/F86</f>
        <v>0.03345698365015422</v>
      </c>
    </row>
    <row r="87" spans="1:14" ht="9" customHeight="1">
      <c r="A87" s="11"/>
      <c r="D87" s="211"/>
      <c r="E87" s="9"/>
      <c r="F87" s="208"/>
      <c r="I87" s="9"/>
      <c r="J87" s="9"/>
      <c r="K87" s="209"/>
      <c r="L87" s="11"/>
      <c r="M87" s="11"/>
      <c r="N87" s="212"/>
    </row>
    <row r="88" spans="1:13" ht="9" customHeight="1" thickBot="1">
      <c r="A88" s="213"/>
      <c r="B88" s="30"/>
      <c r="C88" s="131"/>
      <c r="D88" s="29"/>
      <c r="E88" s="29"/>
      <c r="F88" s="214"/>
      <c r="H88" s="131"/>
      <c r="I88" s="29"/>
      <c r="J88" s="29"/>
      <c r="K88" s="215"/>
      <c r="L88" s="215"/>
      <c r="M88" s="215"/>
    </row>
    <row r="89" spans="1:14" ht="66.75" customHeight="1" thickBot="1">
      <c r="A89" s="167" t="s">
        <v>65</v>
      </c>
      <c r="B89" s="168"/>
      <c r="C89" s="609"/>
      <c r="D89" s="590" t="s">
        <v>6</v>
      </c>
      <c r="E89" s="592" t="s">
        <v>66</v>
      </c>
      <c r="F89" s="594" t="s">
        <v>179</v>
      </c>
      <c r="G89" s="165"/>
      <c r="H89" s="169"/>
      <c r="I89" s="590" t="s">
        <v>6</v>
      </c>
      <c r="J89" s="592" t="s">
        <v>66</v>
      </c>
      <c r="K89" s="594" t="s">
        <v>179</v>
      </c>
      <c r="L89" s="168"/>
      <c r="M89" s="607" t="s">
        <v>178</v>
      </c>
      <c r="N89" s="597" t="s">
        <v>67</v>
      </c>
    </row>
    <row r="90" spans="1:14" ht="13.5" thickBot="1">
      <c r="A90" s="170">
        <v>2000</v>
      </c>
      <c r="B90" s="30"/>
      <c r="C90" s="610"/>
      <c r="D90" s="591"/>
      <c r="E90" s="593"/>
      <c r="F90" s="595"/>
      <c r="G90" s="166"/>
      <c r="H90" s="30"/>
      <c r="I90" s="605"/>
      <c r="J90" s="606"/>
      <c r="K90" s="595"/>
      <c r="L90" s="31"/>
      <c r="M90" s="608"/>
      <c r="N90" s="598"/>
    </row>
    <row r="91" spans="1:14" ht="27" customHeight="1">
      <c r="A91" s="171"/>
      <c r="B91" s="30"/>
      <c r="C91" s="172" t="s">
        <v>14</v>
      </c>
      <c r="D91" s="173" t="s">
        <v>68</v>
      </c>
      <c r="E91" s="174" t="s">
        <v>68</v>
      </c>
      <c r="F91" s="233">
        <f>F79</f>
        <v>11.66</v>
      </c>
      <c r="G91" s="166"/>
      <c r="H91" s="176" t="s">
        <v>14</v>
      </c>
      <c r="I91" s="207" t="str">
        <f>D91</f>
        <v>N/A</v>
      </c>
      <c r="J91" s="177" t="s">
        <v>68</v>
      </c>
      <c r="K91" s="226">
        <f>$K$23</f>
        <v>9.919303766434421</v>
      </c>
      <c r="L91" s="178"/>
      <c r="M91" s="583"/>
      <c r="N91" s="584"/>
    </row>
    <row r="92" spans="1:14" ht="29.25" customHeight="1" thickBot="1">
      <c r="A92" s="85"/>
      <c r="B92" s="30"/>
      <c r="C92" s="179" t="s">
        <v>69</v>
      </c>
      <c r="D92" s="180">
        <f>A90</f>
        <v>2000</v>
      </c>
      <c r="E92" s="181">
        <f>E80</f>
        <v>0.017263267453483316</v>
      </c>
      <c r="F92" s="338">
        <f>D92*E92</f>
        <v>34.52653490696663</v>
      </c>
      <c r="G92" s="166"/>
      <c r="H92" s="183" t="s">
        <v>69</v>
      </c>
      <c r="I92" s="184">
        <f>D92</f>
        <v>2000</v>
      </c>
      <c r="J92" s="227">
        <f>$J$24</f>
        <v>0.021767308827770195</v>
      </c>
      <c r="K92" s="185">
        <f>I92*J92</f>
        <v>43.53461765554039</v>
      </c>
      <c r="L92" s="178"/>
      <c r="M92" s="599"/>
      <c r="N92" s="600"/>
    </row>
    <row r="93" spans="1:14" ht="13.5" customHeight="1" thickBot="1">
      <c r="A93" s="85"/>
      <c r="B93" s="30"/>
      <c r="C93" s="601"/>
      <c r="D93" s="602"/>
      <c r="E93" s="186" t="s">
        <v>41</v>
      </c>
      <c r="F93" s="357">
        <f>SUM(F91:F92)</f>
        <v>46.18653490696663</v>
      </c>
      <c r="G93" s="166"/>
      <c r="H93" s="603"/>
      <c r="I93" s="604"/>
      <c r="J93" s="186" t="s">
        <v>70</v>
      </c>
      <c r="K93" s="188">
        <f>SUM(K91:K92)</f>
        <v>53.45392142197481</v>
      </c>
      <c r="L93" s="178"/>
      <c r="M93" s="189">
        <f>K93-F93</f>
        <v>7.267386515008184</v>
      </c>
      <c r="N93" s="190">
        <f>M93/F93</f>
        <v>0.15734859801989592</v>
      </c>
    </row>
    <row r="94" spans="1:14" ht="26.25">
      <c r="A94" s="85"/>
      <c r="B94" s="30"/>
      <c r="C94" s="179" t="s">
        <v>71</v>
      </c>
      <c r="D94" s="180">
        <f>A90</f>
        <v>2000</v>
      </c>
      <c r="E94" s="191">
        <v>0.0239</v>
      </c>
      <c r="F94" s="358">
        <f>D94*E94</f>
        <v>47.800000000000004</v>
      </c>
      <c r="G94" s="166"/>
      <c r="H94" s="183" t="s">
        <v>71</v>
      </c>
      <c r="I94" s="184">
        <f>D94</f>
        <v>2000</v>
      </c>
      <c r="J94" s="193">
        <f>E94</f>
        <v>0.0239</v>
      </c>
      <c r="K94" s="194">
        <f>F94</f>
        <v>47.800000000000004</v>
      </c>
      <c r="L94" s="178"/>
      <c r="M94" s="583"/>
      <c r="N94" s="584"/>
    </row>
    <row r="95" spans="1:14" ht="26.25">
      <c r="A95" s="85"/>
      <c r="B95" s="30"/>
      <c r="C95" s="195" t="s">
        <v>72</v>
      </c>
      <c r="D95" s="180">
        <v>750</v>
      </c>
      <c r="E95" s="196">
        <v>0.047</v>
      </c>
      <c r="F95" s="338">
        <f>D95*E95</f>
        <v>35.25</v>
      </c>
      <c r="G95" s="166"/>
      <c r="H95" s="195" t="s">
        <v>72</v>
      </c>
      <c r="I95" s="184">
        <f>D95</f>
        <v>750</v>
      </c>
      <c r="J95" s="196">
        <v>0.047</v>
      </c>
      <c r="K95" s="338">
        <f>I95*J95</f>
        <v>35.25</v>
      </c>
      <c r="L95" s="178"/>
      <c r="M95" s="585"/>
      <c r="N95" s="586"/>
    </row>
    <row r="96" spans="1:14" ht="27" thickBot="1">
      <c r="A96" s="85"/>
      <c r="B96" s="30"/>
      <c r="C96" s="195" t="s">
        <v>72</v>
      </c>
      <c r="D96" s="234">
        <f>A90-D95</f>
        <v>1250</v>
      </c>
      <c r="E96" s="196">
        <v>0.055</v>
      </c>
      <c r="F96" s="338">
        <f>D96*E96</f>
        <v>68.75</v>
      </c>
      <c r="G96" s="166"/>
      <c r="H96" s="339" t="s">
        <v>72</v>
      </c>
      <c r="I96" s="360">
        <f>D96</f>
        <v>1250</v>
      </c>
      <c r="J96" s="340">
        <v>0.055</v>
      </c>
      <c r="K96" s="341">
        <f>I96*J96</f>
        <v>68.75</v>
      </c>
      <c r="L96" s="178"/>
      <c r="M96" s="585"/>
      <c r="N96" s="586"/>
    </row>
    <row r="97" spans="1:14" ht="13.5" thickBot="1">
      <c r="A97" s="85"/>
      <c r="B97" s="30"/>
      <c r="C97" s="587"/>
      <c r="D97" s="588"/>
      <c r="E97" s="588"/>
      <c r="F97" s="589"/>
      <c r="G97" s="166"/>
      <c r="H97" s="588"/>
      <c r="I97" s="588"/>
      <c r="J97" s="588"/>
      <c r="K97" s="589"/>
      <c r="L97" s="30"/>
      <c r="M97" s="85"/>
      <c r="N97" s="201"/>
    </row>
    <row r="98" spans="1:14" ht="13.5" thickBot="1">
      <c r="A98" s="93"/>
      <c r="B98" s="147"/>
      <c r="C98" s="202" t="s">
        <v>73</v>
      </c>
      <c r="D98" s="203"/>
      <c r="E98" s="203"/>
      <c r="F98" s="188">
        <f>SUM(F94:F96,F93)</f>
        <v>197.98653490696665</v>
      </c>
      <c r="G98" s="205"/>
      <c r="H98" s="596" t="s">
        <v>74</v>
      </c>
      <c r="I98" s="596"/>
      <c r="J98" s="596"/>
      <c r="K98" s="188">
        <f>SUM(K93:K96)</f>
        <v>205.2539214219748</v>
      </c>
      <c r="L98" s="206"/>
      <c r="M98" s="189">
        <f>K98-F98</f>
        <v>7.267386515008155</v>
      </c>
      <c r="N98" s="190">
        <f>M98/F98</f>
        <v>0.03670646854051505</v>
      </c>
    </row>
    <row r="99" spans="3:14" ht="12.75">
      <c r="C99" s="31"/>
      <c r="D99" s="31"/>
      <c r="E99" s="31"/>
      <c r="F99" s="216"/>
      <c r="G99" s="30"/>
      <c r="H99" s="217"/>
      <c r="I99" s="217"/>
      <c r="J99" s="217"/>
      <c r="K99" s="216"/>
      <c r="L99" s="215"/>
      <c r="M99" s="216"/>
      <c r="N99" s="218"/>
    </row>
    <row r="100" spans="3:14" ht="12.75">
      <c r="C100" s="31"/>
      <c r="D100" s="31"/>
      <c r="E100" s="31"/>
      <c r="F100" s="216"/>
      <c r="G100" s="30"/>
      <c r="H100" s="217"/>
      <c r="I100" s="217"/>
      <c r="J100" s="217"/>
      <c r="K100" s="216"/>
      <c r="L100" s="215"/>
      <c r="M100" s="216"/>
      <c r="N100" s="218"/>
    </row>
    <row r="101" spans="1:13" ht="22.5">
      <c r="A101" s="219" t="s">
        <v>199</v>
      </c>
      <c r="B101" s="53"/>
      <c r="D101" s="30"/>
      <c r="F101" s="215"/>
      <c r="J101" s="220"/>
      <c r="K101" s="215"/>
      <c r="L101" s="215"/>
      <c r="M101" s="215"/>
    </row>
    <row r="102" spans="1:13" ht="15">
      <c r="A102" s="53"/>
      <c r="B102" s="53"/>
      <c r="D102" s="30"/>
      <c r="F102" s="215"/>
      <c r="J102" s="220"/>
      <c r="K102" s="215"/>
      <c r="L102" s="215"/>
      <c r="M102" s="215"/>
    </row>
    <row r="103" spans="1:14" s="142" customFormat="1" ht="15">
      <c r="A103" s="139" t="s">
        <v>80</v>
      </c>
      <c r="B103" s="221"/>
      <c r="D103" s="222"/>
      <c r="F103" s="223"/>
      <c r="J103" s="224"/>
      <c r="K103" s="223"/>
      <c r="L103" s="223"/>
      <c r="M103" s="223"/>
      <c r="N103" s="225"/>
    </row>
    <row r="104" spans="1:14" s="142" customFormat="1" ht="15">
      <c r="A104" s="139" t="s">
        <v>38</v>
      </c>
      <c r="B104" s="221"/>
      <c r="D104" s="222"/>
      <c r="F104" s="223"/>
      <c r="J104" s="224"/>
      <c r="K104" s="223"/>
      <c r="L104" s="223"/>
      <c r="M104" s="223"/>
      <c r="N104" s="225"/>
    </row>
    <row r="105" spans="1:14" s="142" customFormat="1" ht="15">
      <c r="A105" s="139" t="s">
        <v>39</v>
      </c>
      <c r="B105" s="221"/>
      <c r="D105" s="222"/>
      <c r="F105" s="223"/>
      <c r="J105" s="224"/>
      <c r="K105" s="223"/>
      <c r="L105" s="223"/>
      <c r="M105" s="223"/>
      <c r="N105" s="225"/>
    </row>
    <row r="106" spans="1:13" ht="15.75" thickBot="1">
      <c r="A106" s="10"/>
      <c r="B106" s="53"/>
      <c r="D106" s="30"/>
      <c r="F106" s="215"/>
      <c r="J106" s="220"/>
      <c r="K106" s="215"/>
      <c r="L106" s="215"/>
      <c r="M106" s="215"/>
    </row>
    <row r="107" spans="1:15" ht="14.25" customHeight="1">
      <c r="A107" s="10"/>
      <c r="C107" s="617" t="s">
        <v>82</v>
      </c>
      <c r="D107" s="618"/>
      <c r="E107" s="618"/>
      <c r="F107" s="619"/>
      <c r="G107" s="165"/>
      <c r="H107" s="617" t="s">
        <v>83</v>
      </c>
      <c r="I107" s="618"/>
      <c r="J107" s="618"/>
      <c r="K107" s="618"/>
      <c r="L107" s="618"/>
      <c r="M107" s="618"/>
      <c r="N107" s="619"/>
      <c r="O107" s="30"/>
    </row>
    <row r="108" spans="1:14" ht="13.5" customHeight="1" thickBot="1">
      <c r="A108"/>
      <c r="C108" s="620"/>
      <c r="D108" s="621"/>
      <c r="E108" s="621"/>
      <c r="F108" s="622"/>
      <c r="G108" s="166"/>
      <c r="H108" s="620"/>
      <c r="I108" s="621"/>
      <c r="J108" s="621"/>
      <c r="K108" s="621"/>
      <c r="L108" s="621"/>
      <c r="M108" s="621"/>
      <c r="N108" s="622"/>
    </row>
    <row r="109" spans="1:14" ht="66" customHeight="1" thickBot="1">
      <c r="A109" s="167" t="s">
        <v>65</v>
      </c>
      <c r="B109" s="168"/>
      <c r="C109" s="609"/>
      <c r="D109" s="590" t="s">
        <v>6</v>
      </c>
      <c r="E109" s="592" t="s">
        <v>66</v>
      </c>
      <c r="F109" s="594" t="s">
        <v>179</v>
      </c>
      <c r="G109" s="165"/>
      <c r="H109" s="169"/>
      <c r="I109" s="590" t="s">
        <v>6</v>
      </c>
      <c r="J109" s="592" t="s">
        <v>66</v>
      </c>
      <c r="K109" s="594" t="s">
        <v>179</v>
      </c>
      <c r="L109" s="168"/>
      <c r="M109" s="607" t="s">
        <v>178</v>
      </c>
      <c r="N109" s="597" t="s">
        <v>67</v>
      </c>
    </row>
    <row r="110" spans="1:14" ht="13.5" thickBot="1">
      <c r="A110" s="170">
        <v>1000</v>
      </c>
      <c r="B110" s="30"/>
      <c r="C110" s="610"/>
      <c r="D110" s="591"/>
      <c r="E110" s="593"/>
      <c r="F110" s="595"/>
      <c r="G110" s="166"/>
      <c r="H110" s="30"/>
      <c r="I110" s="605"/>
      <c r="J110" s="606"/>
      <c r="K110" s="595"/>
      <c r="L110" s="31"/>
      <c r="M110" s="608"/>
      <c r="N110" s="598"/>
    </row>
    <row r="111" spans="1:14" ht="27">
      <c r="A111" s="171"/>
      <c r="B111" s="30"/>
      <c r="C111" s="172" t="s">
        <v>14</v>
      </c>
      <c r="D111" s="173" t="s">
        <v>68</v>
      </c>
      <c r="E111" s="174" t="s">
        <v>68</v>
      </c>
      <c r="F111" s="233">
        <f>'12. Current Rates'!D28</f>
        <v>15.79</v>
      </c>
      <c r="G111" s="166"/>
      <c r="H111" s="176" t="s">
        <v>14</v>
      </c>
      <c r="I111" s="173" t="str">
        <f>D111</f>
        <v>N/A</v>
      </c>
      <c r="J111" s="173" t="s">
        <v>68</v>
      </c>
      <c r="K111" s="233">
        <f>'11. 2005 Final Rate Schedule '!F18</f>
        <v>13.425423752205502</v>
      </c>
      <c r="L111" s="178"/>
      <c r="M111" s="583"/>
      <c r="N111" s="584"/>
    </row>
    <row r="112" spans="1:14" ht="13.5" thickBot="1">
      <c r="A112" s="85"/>
      <c r="B112" s="30"/>
      <c r="C112" s="179" t="s">
        <v>69</v>
      </c>
      <c r="D112" s="180">
        <f>A110</f>
        <v>1000</v>
      </c>
      <c r="E112" s="424">
        <f>'12. Current Rates'!D26</f>
        <v>0.016787385493347646</v>
      </c>
      <c r="F112" s="338">
        <f>D112*E112</f>
        <v>16.787385493347646</v>
      </c>
      <c r="G112" s="166"/>
      <c r="H112" s="183" t="s">
        <v>69</v>
      </c>
      <c r="I112" s="180">
        <f>D112</f>
        <v>1000</v>
      </c>
      <c r="J112" s="430">
        <f>'11. 2005 Final Rate Schedule '!F19</f>
        <v>0.018297067080894885</v>
      </c>
      <c r="K112" s="236">
        <f>I112*J112</f>
        <v>18.297067080894884</v>
      </c>
      <c r="L112" s="178"/>
      <c r="M112" s="599"/>
      <c r="N112" s="600"/>
    </row>
    <row r="113" spans="1:14" ht="13.5" thickBot="1">
      <c r="A113" s="85"/>
      <c r="B113" s="30"/>
      <c r="C113" s="601"/>
      <c r="D113" s="602"/>
      <c r="E113" s="186" t="s">
        <v>41</v>
      </c>
      <c r="F113" s="357">
        <f>SUM(F111:F112)</f>
        <v>32.57738549334765</v>
      </c>
      <c r="G113" s="166"/>
      <c r="H113" s="603"/>
      <c r="I113" s="604"/>
      <c r="J113" s="186" t="s">
        <v>70</v>
      </c>
      <c r="K113" s="188">
        <f>SUM(K111:K112)</f>
        <v>31.722490833100387</v>
      </c>
      <c r="L113" s="178"/>
      <c r="M113" s="189">
        <f>K113-F113</f>
        <v>-0.8548946602472611</v>
      </c>
      <c r="N113" s="434">
        <f>M113/F113</f>
        <v>-0.02624196654522297</v>
      </c>
    </row>
    <row r="114" spans="1:14" ht="26.25">
      <c r="A114" s="85"/>
      <c r="B114" s="30"/>
      <c r="C114" s="179" t="s">
        <v>71</v>
      </c>
      <c r="D114" s="180">
        <f>A110</f>
        <v>1000</v>
      </c>
      <c r="E114" s="425">
        <v>0.0229</v>
      </c>
      <c r="F114" s="358">
        <f>D114*E114</f>
        <v>22.9</v>
      </c>
      <c r="G114" s="166"/>
      <c r="H114" s="183" t="s">
        <v>71</v>
      </c>
      <c r="I114" s="180">
        <f aca="true" t="shared" si="4" ref="I114:K115">D114</f>
        <v>1000</v>
      </c>
      <c r="J114" s="431">
        <f t="shared" si="4"/>
        <v>0.0229</v>
      </c>
      <c r="K114" s="238">
        <f t="shared" si="4"/>
        <v>22.9</v>
      </c>
      <c r="L114" s="178"/>
      <c r="M114" s="583"/>
      <c r="N114" s="584"/>
    </row>
    <row r="115" spans="1:14" ht="27" thickBot="1">
      <c r="A115" s="85"/>
      <c r="B115" s="30"/>
      <c r="C115" s="195" t="s">
        <v>72</v>
      </c>
      <c r="D115" s="180">
        <f>A110</f>
        <v>1000</v>
      </c>
      <c r="E115" s="426">
        <v>0.047</v>
      </c>
      <c r="F115" s="338">
        <f>D115*E115</f>
        <v>47</v>
      </c>
      <c r="G115" s="166"/>
      <c r="H115" s="197" t="s">
        <v>72</v>
      </c>
      <c r="I115" s="432">
        <f t="shared" si="4"/>
        <v>1000</v>
      </c>
      <c r="J115" s="433">
        <f t="shared" si="4"/>
        <v>0.047</v>
      </c>
      <c r="K115" s="242">
        <f t="shared" si="4"/>
        <v>47</v>
      </c>
      <c r="L115" s="178"/>
      <c r="M115" s="585"/>
      <c r="N115" s="586"/>
    </row>
    <row r="116" spans="1:14" ht="13.5" thickBot="1">
      <c r="A116" s="85"/>
      <c r="B116" s="30"/>
      <c r="C116" s="587"/>
      <c r="D116" s="588"/>
      <c r="E116" s="588"/>
      <c r="F116" s="589"/>
      <c r="G116" s="166"/>
      <c r="H116" s="588"/>
      <c r="I116" s="588"/>
      <c r="J116" s="588"/>
      <c r="K116" s="589"/>
      <c r="L116" s="30"/>
      <c r="M116" s="85"/>
      <c r="N116" s="201"/>
    </row>
    <row r="117" spans="1:14" ht="13.5" thickBot="1">
      <c r="A117" s="93"/>
      <c r="B117" s="147"/>
      <c r="C117" s="202" t="s">
        <v>73</v>
      </c>
      <c r="D117" s="203"/>
      <c r="E117" s="203"/>
      <c r="F117" s="188">
        <f>SUM(F114:F115,F113)</f>
        <v>102.47738549334765</v>
      </c>
      <c r="G117" s="205"/>
      <c r="H117" s="596" t="s">
        <v>74</v>
      </c>
      <c r="I117" s="596"/>
      <c r="J117" s="596"/>
      <c r="K117" s="188">
        <f>SUM(K113:K115)</f>
        <v>101.62249083310039</v>
      </c>
      <c r="L117" s="206"/>
      <c r="M117" s="189">
        <f>K117-F117</f>
        <v>-0.8548946602472682</v>
      </c>
      <c r="N117" s="434">
        <f>M117/F117</f>
        <v>-0.008342276260578135</v>
      </c>
    </row>
    <row r="118" ht="12.75">
      <c r="K118" s="160"/>
    </row>
    <row r="119" ht="13.5" thickBot="1">
      <c r="K119" s="160"/>
    </row>
    <row r="120" spans="1:14" ht="57.75" customHeight="1" thickBot="1">
      <c r="A120" s="167" t="s">
        <v>65</v>
      </c>
      <c r="B120" s="168"/>
      <c r="C120" s="609"/>
      <c r="D120" s="590" t="s">
        <v>6</v>
      </c>
      <c r="E120" s="592" t="s">
        <v>66</v>
      </c>
      <c r="F120" s="594" t="s">
        <v>179</v>
      </c>
      <c r="G120" s="165"/>
      <c r="H120" s="169"/>
      <c r="I120" s="590" t="s">
        <v>6</v>
      </c>
      <c r="J120" s="592" t="s">
        <v>66</v>
      </c>
      <c r="K120" s="594" t="s">
        <v>179</v>
      </c>
      <c r="L120" s="168"/>
      <c r="M120" s="607" t="s">
        <v>178</v>
      </c>
      <c r="N120" s="597" t="s">
        <v>67</v>
      </c>
    </row>
    <row r="121" spans="1:14" ht="13.5" thickBot="1">
      <c r="A121" s="170">
        <v>2000</v>
      </c>
      <c r="B121" s="30"/>
      <c r="C121" s="610"/>
      <c r="D121" s="591"/>
      <c r="E121" s="593"/>
      <c r="F121" s="595"/>
      <c r="G121" s="166"/>
      <c r="H121" s="30"/>
      <c r="I121" s="605"/>
      <c r="J121" s="606"/>
      <c r="K121" s="595"/>
      <c r="L121" s="31"/>
      <c r="M121" s="608"/>
      <c r="N121" s="598"/>
    </row>
    <row r="122" spans="1:14" ht="27">
      <c r="A122" s="171"/>
      <c r="B122" s="30"/>
      <c r="C122" s="172" t="s">
        <v>14</v>
      </c>
      <c r="D122" s="173" t="s">
        <v>68</v>
      </c>
      <c r="E122" s="174" t="s">
        <v>68</v>
      </c>
      <c r="F122" s="233">
        <f>F111</f>
        <v>15.79</v>
      </c>
      <c r="G122" s="166"/>
      <c r="H122" s="176" t="s">
        <v>14</v>
      </c>
      <c r="I122" s="177" t="str">
        <f>D122</f>
        <v>N/A</v>
      </c>
      <c r="J122" s="177" t="s">
        <v>68</v>
      </c>
      <c r="K122" s="226">
        <f>$K$111</f>
        <v>13.425423752205502</v>
      </c>
      <c r="L122" s="178"/>
      <c r="M122" s="583"/>
      <c r="N122" s="584"/>
    </row>
    <row r="123" spans="1:14" ht="13.5" thickBot="1">
      <c r="A123" s="85"/>
      <c r="B123" s="30"/>
      <c r="C123" s="179" t="s">
        <v>69</v>
      </c>
      <c r="D123" s="180">
        <f>A121</f>
        <v>2000</v>
      </c>
      <c r="E123" s="181">
        <f>E112</f>
        <v>0.016787385493347646</v>
      </c>
      <c r="F123" s="338">
        <f>D123*E123</f>
        <v>33.57477098669529</v>
      </c>
      <c r="G123" s="166"/>
      <c r="H123" s="183" t="s">
        <v>69</v>
      </c>
      <c r="I123" s="184">
        <f>D123</f>
        <v>2000</v>
      </c>
      <c r="J123" s="417">
        <f>$J$112</f>
        <v>0.018297067080894885</v>
      </c>
      <c r="K123" s="185">
        <f>I123*J123</f>
        <v>36.59413416178977</v>
      </c>
      <c r="L123" s="178"/>
      <c r="M123" s="599"/>
      <c r="N123" s="600"/>
    </row>
    <row r="124" spans="1:14" ht="13.5" thickBot="1">
      <c r="A124" s="85"/>
      <c r="B124" s="30"/>
      <c r="C124" s="601"/>
      <c r="D124" s="602"/>
      <c r="E124" s="186" t="s">
        <v>41</v>
      </c>
      <c r="F124" s="357">
        <f>SUM(F122:F123)</f>
        <v>49.36477098669529</v>
      </c>
      <c r="G124" s="166"/>
      <c r="H124" s="603"/>
      <c r="I124" s="604"/>
      <c r="J124" s="186" t="s">
        <v>70</v>
      </c>
      <c r="K124" s="188">
        <f>SUM(K122:K123)</f>
        <v>50.01955791399527</v>
      </c>
      <c r="L124" s="178"/>
      <c r="M124" s="189">
        <f>K124-F124</f>
        <v>0.6547869272999804</v>
      </c>
      <c r="N124" s="190">
        <f>M124/F124</f>
        <v>0.013264255342670535</v>
      </c>
    </row>
    <row r="125" spans="1:14" ht="26.25">
      <c r="A125" s="85"/>
      <c r="B125" s="30"/>
      <c r="C125" s="179" t="s">
        <v>71</v>
      </c>
      <c r="D125" s="180">
        <f>A121</f>
        <v>2000</v>
      </c>
      <c r="E125" s="414">
        <v>0.0229</v>
      </c>
      <c r="F125" s="358">
        <f>D125*E125</f>
        <v>45.8</v>
      </c>
      <c r="G125" s="166"/>
      <c r="H125" s="183" t="s">
        <v>71</v>
      </c>
      <c r="I125" s="234">
        <f>D125</f>
        <v>2000</v>
      </c>
      <c r="J125" s="416">
        <f>E125</f>
        <v>0.0229</v>
      </c>
      <c r="K125" s="194">
        <f>F125</f>
        <v>45.8</v>
      </c>
      <c r="L125" s="178"/>
      <c r="M125" s="583"/>
      <c r="N125" s="584"/>
    </row>
    <row r="126" spans="1:14" ht="26.25">
      <c r="A126" s="85"/>
      <c r="B126" s="30"/>
      <c r="C126" s="195" t="s">
        <v>72</v>
      </c>
      <c r="D126" s="180">
        <v>750</v>
      </c>
      <c r="E126" s="415">
        <v>0.047</v>
      </c>
      <c r="F126" s="338">
        <f>D126*E126</f>
        <v>35.25</v>
      </c>
      <c r="G126" s="166"/>
      <c r="H126" s="195" t="s">
        <v>72</v>
      </c>
      <c r="I126" s="234">
        <f>D126</f>
        <v>750</v>
      </c>
      <c r="J126" s="415">
        <v>0.047</v>
      </c>
      <c r="K126" s="338">
        <f>I126*J126</f>
        <v>35.25</v>
      </c>
      <c r="L126" s="178"/>
      <c r="M126" s="585"/>
      <c r="N126" s="586"/>
    </row>
    <row r="127" spans="1:14" ht="27" thickBot="1">
      <c r="A127" s="85"/>
      <c r="B127" s="30"/>
      <c r="C127" s="195" t="s">
        <v>72</v>
      </c>
      <c r="D127" s="234">
        <f>A121-D126</f>
        <v>1250</v>
      </c>
      <c r="E127" s="415">
        <v>0.055</v>
      </c>
      <c r="F127" s="338">
        <f>D127*E127</f>
        <v>68.75</v>
      </c>
      <c r="G127" s="166"/>
      <c r="H127" s="339" t="s">
        <v>72</v>
      </c>
      <c r="I127" s="240">
        <f>D127</f>
        <v>1250</v>
      </c>
      <c r="J127" s="418">
        <v>0.055</v>
      </c>
      <c r="K127" s="341">
        <f>I127*J127</f>
        <v>68.75</v>
      </c>
      <c r="L127" s="178"/>
      <c r="M127" s="585"/>
      <c r="N127" s="586"/>
    </row>
    <row r="128" spans="1:14" ht="13.5" thickBot="1">
      <c r="A128" s="85"/>
      <c r="B128" s="30"/>
      <c r="C128" s="587"/>
      <c r="D128" s="588"/>
      <c r="E128" s="588"/>
      <c r="F128" s="589"/>
      <c r="G128" s="166"/>
      <c r="H128" s="588"/>
      <c r="I128" s="588"/>
      <c r="J128" s="588"/>
      <c r="K128" s="589"/>
      <c r="L128" s="30"/>
      <c r="M128" s="85"/>
      <c r="N128" s="201"/>
    </row>
    <row r="129" spans="1:14" ht="13.5" thickBot="1">
      <c r="A129" s="93"/>
      <c r="B129" s="147"/>
      <c r="C129" s="202" t="s">
        <v>73</v>
      </c>
      <c r="D129" s="203"/>
      <c r="E129" s="203"/>
      <c r="F129" s="188">
        <f>SUM(F125:F127,F124)</f>
        <v>199.16477098669532</v>
      </c>
      <c r="G129" s="205"/>
      <c r="H129" s="596" t="s">
        <v>74</v>
      </c>
      <c r="I129" s="596"/>
      <c r="J129" s="596"/>
      <c r="K129" s="188">
        <f>SUM(K124:K127)</f>
        <v>199.81955791399525</v>
      </c>
      <c r="L129" s="206"/>
      <c r="M129" s="189">
        <f>K129-F129</f>
        <v>0.6547869272999378</v>
      </c>
      <c r="N129" s="190">
        <f>M129/F129</f>
        <v>0.0032876643999639834</v>
      </c>
    </row>
    <row r="130" ht="12.75">
      <c r="K130" s="160"/>
    </row>
    <row r="131" ht="13.5" thickBot="1">
      <c r="K131" s="160"/>
    </row>
    <row r="132" spans="1:14" ht="63" customHeight="1" thickBot="1">
      <c r="A132" s="167" t="s">
        <v>65</v>
      </c>
      <c r="B132" s="168"/>
      <c r="C132" s="609"/>
      <c r="D132" s="590" t="s">
        <v>6</v>
      </c>
      <c r="E132" s="592" t="s">
        <v>66</v>
      </c>
      <c r="F132" s="594" t="s">
        <v>179</v>
      </c>
      <c r="G132" s="165"/>
      <c r="H132" s="169"/>
      <c r="I132" s="590" t="s">
        <v>6</v>
      </c>
      <c r="J132" s="592" t="s">
        <v>66</v>
      </c>
      <c r="K132" s="594" t="s">
        <v>179</v>
      </c>
      <c r="L132" s="168"/>
      <c r="M132" s="607" t="s">
        <v>178</v>
      </c>
      <c r="N132" s="597" t="s">
        <v>67</v>
      </c>
    </row>
    <row r="133" spans="1:14" ht="13.5" thickBot="1">
      <c r="A133" s="170">
        <v>5000</v>
      </c>
      <c r="B133" s="30"/>
      <c r="C133" s="610"/>
      <c r="D133" s="591"/>
      <c r="E133" s="593"/>
      <c r="F133" s="595"/>
      <c r="G133" s="166"/>
      <c r="H133" s="30"/>
      <c r="I133" s="605"/>
      <c r="J133" s="606"/>
      <c r="K133" s="595"/>
      <c r="L133" s="31"/>
      <c r="M133" s="608"/>
      <c r="N133" s="598"/>
    </row>
    <row r="134" spans="1:14" ht="27">
      <c r="A134" s="171"/>
      <c r="B134" s="30"/>
      <c r="C134" s="172" t="s">
        <v>14</v>
      </c>
      <c r="D134" s="173" t="s">
        <v>68</v>
      </c>
      <c r="E134" s="174" t="s">
        <v>68</v>
      </c>
      <c r="F134" s="233">
        <f>F122</f>
        <v>15.79</v>
      </c>
      <c r="G134" s="166"/>
      <c r="H134" s="176" t="s">
        <v>14</v>
      </c>
      <c r="I134" s="177" t="str">
        <f>D134</f>
        <v>N/A</v>
      </c>
      <c r="J134" s="177" t="s">
        <v>68</v>
      </c>
      <c r="K134" s="226">
        <f>$K$111</f>
        <v>13.425423752205502</v>
      </c>
      <c r="L134" s="178"/>
      <c r="M134" s="583"/>
      <c r="N134" s="584"/>
    </row>
    <row r="135" spans="1:14" ht="13.5" thickBot="1">
      <c r="A135" s="85"/>
      <c r="B135" s="30"/>
      <c r="C135" s="179" t="s">
        <v>69</v>
      </c>
      <c r="D135" s="180">
        <f>A133</f>
        <v>5000</v>
      </c>
      <c r="E135" s="181">
        <f>E123</f>
        <v>0.016787385493347646</v>
      </c>
      <c r="F135" s="338">
        <f>D135*E135</f>
        <v>83.93692746673823</v>
      </c>
      <c r="G135" s="166"/>
      <c r="H135" s="183" t="s">
        <v>69</v>
      </c>
      <c r="I135" s="184">
        <f>D135</f>
        <v>5000</v>
      </c>
      <c r="J135" s="417">
        <f>$J$112</f>
        <v>0.018297067080894885</v>
      </c>
      <c r="K135" s="185">
        <f>I135*J135</f>
        <v>91.48533540447443</v>
      </c>
      <c r="L135" s="178"/>
      <c r="M135" s="599"/>
      <c r="N135" s="600"/>
    </row>
    <row r="136" spans="1:14" ht="13.5" thickBot="1">
      <c r="A136" s="85"/>
      <c r="B136" s="30"/>
      <c r="C136" s="601"/>
      <c r="D136" s="602"/>
      <c r="E136" s="186" t="s">
        <v>41</v>
      </c>
      <c r="F136" s="357">
        <f>SUM(F134:F135)</f>
        <v>99.72692746673823</v>
      </c>
      <c r="G136" s="166"/>
      <c r="H136" s="603"/>
      <c r="I136" s="604"/>
      <c r="J136" s="186" t="s">
        <v>70</v>
      </c>
      <c r="K136" s="188">
        <f>SUM(K134:K135)</f>
        <v>104.91075915667993</v>
      </c>
      <c r="L136" s="178"/>
      <c r="M136" s="189">
        <f>K136-F136</f>
        <v>5.183831689941698</v>
      </c>
      <c r="N136" s="190">
        <f>M136/F136</f>
        <v>0.05198026071414517</v>
      </c>
    </row>
    <row r="137" spans="1:14" ht="26.25">
      <c r="A137" s="85"/>
      <c r="B137" s="30"/>
      <c r="C137" s="179" t="s">
        <v>71</v>
      </c>
      <c r="D137" s="180">
        <f>A133</f>
        <v>5000</v>
      </c>
      <c r="E137" s="414">
        <v>0.0229</v>
      </c>
      <c r="F137" s="358">
        <f>D137*E137</f>
        <v>114.5</v>
      </c>
      <c r="G137" s="166"/>
      <c r="H137" s="183" t="s">
        <v>71</v>
      </c>
      <c r="I137" s="234">
        <f>D137</f>
        <v>5000</v>
      </c>
      <c r="J137" s="416">
        <f>E137</f>
        <v>0.0229</v>
      </c>
      <c r="K137" s="194">
        <f>F137</f>
        <v>114.5</v>
      </c>
      <c r="L137" s="178"/>
      <c r="M137" s="583"/>
      <c r="N137" s="584"/>
    </row>
    <row r="138" spans="1:14" ht="26.25">
      <c r="A138" s="85"/>
      <c r="B138" s="30"/>
      <c r="C138" s="195" t="s">
        <v>72</v>
      </c>
      <c r="D138" s="180">
        <v>750</v>
      </c>
      <c r="E138" s="415">
        <v>0.047</v>
      </c>
      <c r="F138" s="338">
        <f>D138*E138</f>
        <v>35.25</v>
      </c>
      <c r="G138" s="166"/>
      <c r="H138" s="195" t="s">
        <v>72</v>
      </c>
      <c r="I138" s="234">
        <f>D138</f>
        <v>750</v>
      </c>
      <c r="J138" s="415">
        <v>0.047</v>
      </c>
      <c r="K138" s="338">
        <f>I138*J138</f>
        <v>35.25</v>
      </c>
      <c r="L138" s="178"/>
      <c r="M138" s="585"/>
      <c r="N138" s="586"/>
    </row>
    <row r="139" spans="1:14" ht="27" thickBot="1">
      <c r="A139" s="85"/>
      <c r="B139" s="30"/>
      <c r="C139" s="195" t="s">
        <v>72</v>
      </c>
      <c r="D139" s="234">
        <f>A133-D138</f>
        <v>4250</v>
      </c>
      <c r="E139" s="415">
        <v>0.055</v>
      </c>
      <c r="F139" s="338">
        <f>D139*E139</f>
        <v>233.75</v>
      </c>
      <c r="G139" s="166"/>
      <c r="H139" s="339" t="s">
        <v>72</v>
      </c>
      <c r="I139" s="240">
        <f>D139</f>
        <v>4250</v>
      </c>
      <c r="J139" s="418">
        <v>0.055</v>
      </c>
      <c r="K139" s="341">
        <f>I139*J139</f>
        <v>233.75</v>
      </c>
      <c r="L139" s="178"/>
      <c r="M139" s="585"/>
      <c r="N139" s="586"/>
    </row>
    <row r="140" spans="1:14" ht="13.5" thickBot="1">
      <c r="A140" s="85"/>
      <c r="B140" s="30"/>
      <c r="C140" s="587"/>
      <c r="D140" s="588"/>
      <c r="E140" s="588"/>
      <c r="F140" s="589"/>
      <c r="G140" s="166"/>
      <c r="H140" s="588"/>
      <c r="I140" s="588"/>
      <c r="J140" s="588"/>
      <c r="K140" s="589"/>
      <c r="L140" s="30"/>
      <c r="M140" s="85"/>
      <c r="N140" s="201"/>
    </row>
    <row r="141" spans="1:14" ht="13.5" thickBot="1">
      <c r="A141" s="93"/>
      <c r="B141" s="147"/>
      <c r="C141" s="202" t="s">
        <v>73</v>
      </c>
      <c r="D141" s="203"/>
      <c r="E141" s="203"/>
      <c r="F141" s="188">
        <f>SUM(F137:F139,F136)</f>
        <v>483.22692746673823</v>
      </c>
      <c r="G141" s="205"/>
      <c r="H141" s="596" t="s">
        <v>74</v>
      </c>
      <c r="I141" s="596"/>
      <c r="J141" s="596"/>
      <c r="K141" s="188">
        <f>SUM(K136:K139)</f>
        <v>488.41075915667994</v>
      </c>
      <c r="L141" s="206"/>
      <c r="M141" s="189">
        <f>K141-F141</f>
        <v>5.183831689941712</v>
      </c>
      <c r="N141" s="190">
        <f>M141/F141</f>
        <v>0.010727530680290016</v>
      </c>
    </row>
    <row r="142" spans="6:14" ht="12.75">
      <c r="F142" s="178"/>
      <c r="K142" s="178"/>
      <c r="L142" s="215"/>
      <c r="M142" s="215"/>
      <c r="N142" s="228"/>
    </row>
    <row r="143" spans="6:14" ht="13.5" thickBot="1">
      <c r="F143" s="178"/>
      <c r="K143" s="178"/>
      <c r="L143" s="215"/>
      <c r="M143" s="215"/>
      <c r="N143" s="228"/>
    </row>
    <row r="144" spans="1:14" ht="58.5" customHeight="1" thickBot="1">
      <c r="A144" s="167" t="s">
        <v>65</v>
      </c>
      <c r="B144" s="168"/>
      <c r="C144" s="609"/>
      <c r="D144" s="590" t="s">
        <v>6</v>
      </c>
      <c r="E144" s="592" t="s">
        <v>66</v>
      </c>
      <c r="F144" s="594" t="s">
        <v>179</v>
      </c>
      <c r="G144" s="165"/>
      <c r="H144" s="169"/>
      <c r="I144" s="590" t="s">
        <v>6</v>
      </c>
      <c r="J144" s="592" t="s">
        <v>66</v>
      </c>
      <c r="K144" s="594" t="s">
        <v>179</v>
      </c>
      <c r="L144" s="168"/>
      <c r="M144" s="607" t="s">
        <v>178</v>
      </c>
      <c r="N144" s="597" t="s">
        <v>67</v>
      </c>
    </row>
    <row r="145" spans="1:14" ht="13.5" thickBot="1">
      <c r="A145" s="170">
        <v>10000</v>
      </c>
      <c r="B145" s="30"/>
      <c r="C145" s="610"/>
      <c r="D145" s="591"/>
      <c r="E145" s="593"/>
      <c r="F145" s="595"/>
      <c r="G145" s="166"/>
      <c r="H145" s="30"/>
      <c r="I145" s="605"/>
      <c r="J145" s="606"/>
      <c r="K145" s="595"/>
      <c r="L145" s="31"/>
      <c r="M145" s="608"/>
      <c r="N145" s="598"/>
    </row>
    <row r="146" spans="1:14" ht="27">
      <c r="A146" s="171"/>
      <c r="B146" s="30"/>
      <c r="C146" s="172" t="s">
        <v>14</v>
      </c>
      <c r="D146" s="173" t="s">
        <v>68</v>
      </c>
      <c r="E146" s="174" t="s">
        <v>68</v>
      </c>
      <c r="F146" s="233">
        <f>F134</f>
        <v>15.79</v>
      </c>
      <c r="G146" s="166"/>
      <c r="H146" s="176" t="s">
        <v>14</v>
      </c>
      <c r="I146" s="177" t="str">
        <f>D146</f>
        <v>N/A</v>
      </c>
      <c r="J146" s="177" t="s">
        <v>68</v>
      </c>
      <c r="K146" s="226">
        <f>$K$111</f>
        <v>13.425423752205502</v>
      </c>
      <c r="L146" s="178"/>
      <c r="M146" s="583"/>
      <c r="N146" s="584"/>
    </row>
    <row r="147" spans="1:14" ht="13.5" thickBot="1">
      <c r="A147" s="85"/>
      <c r="B147" s="30"/>
      <c r="C147" s="179" t="s">
        <v>69</v>
      </c>
      <c r="D147" s="180">
        <f>A145</f>
        <v>10000</v>
      </c>
      <c r="E147" s="181">
        <f>E135</f>
        <v>0.016787385493347646</v>
      </c>
      <c r="F147" s="338">
        <f>D147*E147</f>
        <v>167.87385493347645</v>
      </c>
      <c r="G147" s="166"/>
      <c r="H147" s="183" t="s">
        <v>69</v>
      </c>
      <c r="I147" s="184">
        <f>D147</f>
        <v>10000</v>
      </c>
      <c r="J147" s="417">
        <f>$J$112</f>
        <v>0.018297067080894885</v>
      </c>
      <c r="K147" s="185">
        <f>I147*J147</f>
        <v>182.97067080894885</v>
      </c>
      <c r="L147" s="178"/>
      <c r="M147" s="599"/>
      <c r="N147" s="600"/>
    </row>
    <row r="148" spans="1:14" ht="13.5" thickBot="1">
      <c r="A148" s="85"/>
      <c r="B148" s="30"/>
      <c r="C148" s="601"/>
      <c r="D148" s="602"/>
      <c r="E148" s="186" t="s">
        <v>41</v>
      </c>
      <c r="F148" s="357">
        <f>SUM(F146:F147)</f>
        <v>183.66385493347644</v>
      </c>
      <c r="G148" s="166"/>
      <c r="H148" s="603"/>
      <c r="I148" s="604"/>
      <c r="J148" s="186" t="s">
        <v>70</v>
      </c>
      <c r="K148" s="188">
        <f>SUM(K146:K147)</f>
        <v>196.39609456115434</v>
      </c>
      <c r="L148" s="178"/>
      <c r="M148" s="189">
        <f>K148-F148</f>
        <v>12.732239627677899</v>
      </c>
      <c r="N148" s="190">
        <f>M148/F148</f>
        <v>0.06932360007520016</v>
      </c>
    </row>
    <row r="149" spans="1:14" ht="26.25">
      <c r="A149" s="85"/>
      <c r="B149" s="30"/>
      <c r="C149" s="179" t="s">
        <v>71</v>
      </c>
      <c r="D149" s="180">
        <f>A145</f>
        <v>10000</v>
      </c>
      <c r="E149" s="414">
        <v>0.0229</v>
      </c>
      <c r="F149" s="358">
        <f>D149*E149</f>
        <v>229</v>
      </c>
      <c r="G149" s="166"/>
      <c r="H149" s="183" t="s">
        <v>71</v>
      </c>
      <c r="I149" s="234">
        <f>D149</f>
        <v>10000</v>
      </c>
      <c r="J149" s="416">
        <f>E149</f>
        <v>0.0229</v>
      </c>
      <c r="K149" s="194">
        <f>F149</f>
        <v>229</v>
      </c>
      <c r="L149" s="178"/>
      <c r="M149" s="583"/>
      <c r="N149" s="584"/>
    </row>
    <row r="150" spans="1:14" ht="26.25">
      <c r="A150" s="85"/>
      <c r="B150" s="30"/>
      <c r="C150" s="195" t="s">
        <v>72</v>
      </c>
      <c r="D150" s="180">
        <v>750</v>
      </c>
      <c r="E150" s="415">
        <v>0.047</v>
      </c>
      <c r="F150" s="338">
        <f>D150*E150</f>
        <v>35.25</v>
      </c>
      <c r="G150" s="166"/>
      <c r="H150" s="195" t="s">
        <v>72</v>
      </c>
      <c r="I150" s="234">
        <f>D150</f>
        <v>750</v>
      </c>
      <c r="J150" s="415">
        <v>0.047</v>
      </c>
      <c r="K150" s="338">
        <f>I150*J150</f>
        <v>35.25</v>
      </c>
      <c r="L150" s="178"/>
      <c r="M150" s="585"/>
      <c r="N150" s="586"/>
    </row>
    <row r="151" spans="1:14" ht="27" thickBot="1">
      <c r="A151" s="85"/>
      <c r="B151" s="30"/>
      <c r="C151" s="195" t="s">
        <v>72</v>
      </c>
      <c r="D151" s="234">
        <f>A145-D150</f>
        <v>9250</v>
      </c>
      <c r="E151" s="415">
        <v>0.055</v>
      </c>
      <c r="F151" s="338">
        <f>D151*E151</f>
        <v>508.75</v>
      </c>
      <c r="G151" s="166"/>
      <c r="H151" s="339" t="s">
        <v>72</v>
      </c>
      <c r="I151" s="240">
        <f>D151</f>
        <v>9250</v>
      </c>
      <c r="J151" s="418">
        <v>0.055</v>
      </c>
      <c r="K151" s="341">
        <f>I151*J151</f>
        <v>508.75</v>
      </c>
      <c r="L151" s="178"/>
      <c r="M151" s="585"/>
      <c r="N151" s="586"/>
    </row>
    <row r="152" spans="1:14" ht="13.5" thickBot="1">
      <c r="A152" s="85"/>
      <c r="B152" s="30"/>
      <c r="C152" s="587"/>
      <c r="D152" s="588"/>
      <c r="E152" s="588"/>
      <c r="F152" s="589"/>
      <c r="G152" s="166"/>
      <c r="H152" s="588"/>
      <c r="I152" s="588"/>
      <c r="J152" s="588"/>
      <c r="K152" s="589"/>
      <c r="L152" s="30"/>
      <c r="M152" s="85"/>
      <c r="N152" s="201"/>
    </row>
    <row r="153" spans="1:14" ht="13.5" thickBot="1">
      <c r="A153" s="93"/>
      <c r="B153" s="147"/>
      <c r="C153" s="202" t="s">
        <v>73</v>
      </c>
      <c r="D153" s="203"/>
      <c r="E153" s="203"/>
      <c r="F153" s="188">
        <f>SUM(F149:F151,F148)</f>
        <v>956.6638549334764</v>
      </c>
      <c r="G153" s="205"/>
      <c r="H153" s="596" t="s">
        <v>74</v>
      </c>
      <c r="I153" s="596"/>
      <c r="J153" s="596"/>
      <c r="K153" s="188">
        <f>SUM(K148:K151)</f>
        <v>969.3960945611543</v>
      </c>
      <c r="L153" s="206"/>
      <c r="M153" s="189">
        <f>K153-F153</f>
        <v>12.732239627677927</v>
      </c>
      <c r="N153" s="190">
        <f>M153/F153</f>
        <v>0.013309000399689283</v>
      </c>
    </row>
    <row r="154" spans="6:14" ht="12.75">
      <c r="F154" s="178"/>
      <c r="K154" s="178"/>
      <c r="L154" s="215"/>
      <c r="M154" s="215"/>
      <c r="N154" s="228"/>
    </row>
    <row r="155" spans="6:14" ht="13.5" thickBot="1">
      <c r="F155" s="178"/>
      <c r="K155" s="178"/>
      <c r="L155" s="215"/>
      <c r="M155" s="215"/>
      <c r="N155" s="228"/>
    </row>
    <row r="156" spans="1:14" ht="63.75" customHeight="1" thickBot="1">
      <c r="A156" s="167" t="s">
        <v>65</v>
      </c>
      <c r="B156" s="168"/>
      <c r="C156" s="609"/>
      <c r="D156" s="590" t="s">
        <v>6</v>
      </c>
      <c r="E156" s="592" t="s">
        <v>66</v>
      </c>
      <c r="F156" s="594" t="s">
        <v>179</v>
      </c>
      <c r="G156" s="165"/>
      <c r="H156" s="169"/>
      <c r="I156" s="590" t="s">
        <v>6</v>
      </c>
      <c r="J156" s="592" t="s">
        <v>66</v>
      </c>
      <c r="K156" s="594" t="s">
        <v>179</v>
      </c>
      <c r="L156" s="168"/>
      <c r="M156" s="607" t="s">
        <v>178</v>
      </c>
      <c r="N156" s="597" t="s">
        <v>67</v>
      </c>
    </row>
    <row r="157" spans="1:14" ht="13.5" thickBot="1">
      <c r="A157" s="170">
        <v>15000</v>
      </c>
      <c r="B157" s="30"/>
      <c r="C157" s="610"/>
      <c r="D157" s="591"/>
      <c r="E157" s="593"/>
      <c r="F157" s="595"/>
      <c r="G157" s="166"/>
      <c r="H157" s="30"/>
      <c r="I157" s="605"/>
      <c r="J157" s="606"/>
      <c r="K157" s="595"/>
      <c r="L157" s="31"/>
      <c r="M157" s="608"/>
      <c r="N157" s="598"/>
    </row>
    <row r="158" spans="1:14" ht="27">
      <c r="A158" s="171"/>
      <c r="B158" s="30"/>
      <c r="C158" s="172" t="s">
        <v>14</v>
      </c>
      <c r="D158" s="173" t="s">
        <v>68</v>
      </c>
      <c r="E158" s="174" t="s">
        <v>68</v>
      </c>
      <c r="F158" s="175">
        <f>F146</f>
        <v>15.79</v>
      </c>
      <c r="G158" s="166"/>
      <c r="H158" s="176" t="s">
        <v>14</v>
      </c>
      <c r="I158" s="177" t="str">
        <f>D158</f>
        <v>N/A</v>
      </c>
      <c r="J158" s="177" t="s">
        <v>68</v>
      </c>
      <c r="K158" s="226">
        <f>$K$111</f>
        <v>13.425423752205502</v>
      </c>
      <c r="L158" s="178"/>
      <c r="M158" s="583"/>
      <c r="N158" s="584"/>
    </row>
    <row r="159" spans="1:14" ht="13.5" thickBot="1">
      <c r="A159" s="85"/>
      <c r="B159" s="30"/>
      <c r="C159" s="179" t="s">
        <v>69</v>
      </c>
      <c r="D159" s="180">
        <f>A157</f>
        <v>15000</v>
      </c>
      <c r="E159" s="181">
        <f>E147</f>
        <v>0.016787385493347646</v>
      </c>
      <c r="F159" s="182">
        <f>D159*E159</f>
        <v>251.8107824002147</v>
      </c>
      <c r="G159" s="166"/>
      <c r="H159" s="183" t="s">
        <v>69</v>
      </c>
      <c r="I159" s="184">
        <f>D159</f>
        <v>15000</v>
      </c>
      <c r="J159" s="417">
        <f>$J$112</f>
        <v>0.018297067080894885</v>
      </c>
      <c r="K159" s="185">
        <f>I159*J159</f>
        <v>274.4560062134233</v>
      </c>
      <c r="L159" s="178"/>
      <c r="M159" s="599"/>
      <c r="N159" s="600"/>
    </row>
    <row r="160" spans="1:14" ht="13.5" thickBot="1">
      <c r="A160" s="85"/>
      <c r="B160" s="30"/>
      <c r="C160" s="601"/>
      <c r="D160" s="602"/>
      <c r="E160" s="186" t="s">
        <v>41</v>
      </c>
      <c r="F160" s="187">
        <f>SUM(F158:F159)</f>
        <v>267.6007824002147</v>
      </c>
      <c r="G160" s="166"/>
      <c r="H160" s="603"/>
      <c r="I160" s="604"/>
      <c r="J160" s="186" t="s">
        <v>70</v>
      </c>
      <c r="K160" s="188">
        <f>SUM(K158:K159)</f>
        <v>287.8814299656288</v>
      </c>
      <c r="L160" s="178"/>
      <c r="M160" s="189">
        <f>K160-F160</f>
        <v>20.280647565414085</v>
      </c>
      <c r="N160" s="190">
        <f>M160/F160</f>
        <v>0.07578695168044401</v>
      </c>
    </row>
    <row r="161" spans="1:14" ht="26.25">
      <c r="A161" s="85"/>
      <c r="B161" s="30"/>
      <c r="C161" s="179" t="s">
        <v>71</v>
      </c>
      <c r="D161" s="180">
        <f>A157</f>
        <v>15000</v>
      </c>
      <c r="E161" s="414">
        <v>0.0229</v>
      </c>
      <c r="F161" s="192">
        <f>D161*E161</f>
        <v>343.5</v>
      </c>
      <c r="G161" s="166"/>
      <c r="H161" s="183" t="s">
        <v>71</v>
      </c>
      <c r="I161" s="234">
        <f>D161</f>
        <v>15000</v>
      </c>
      <c r="J161" s="419">
        <f>E161</f>
        <v>0.0229</v>
      </c>
      <c r="K161" s="194">
        <f>F161</f>
        <v>343.5</v>
      </c>
      <c r="L161" s="178"/>
      <c r="M161" s="583"/>
      <c r="N161" s="584"/>
    </row>
    <row r="162" spans="1:14" ht="26.25">
      <c r="A162" s="85"/>
      <c r="B162" s="30"/>
      <c r="C162" s="195" t="s">
        <v>72</v>
      </c>
      <c r="D162" s="180">
        <v>750</v>
      </c>
      <c r="E162" s="415">
        <v>0.047</v>
      </c>
      <c r="F162" s="182">
        <f>D162*E162</f>
        <v>35.25</v>
      </c>
      <c r="G162" s="166"/>
      <c r="H162" s="195" t="s">
        <v>72</v>
      </c>
      <c r="I162" s="234">
        <f>D162</f>
        <v>750</v>
      </c>
      <c r="J162" s="420">
        <v>0.047</v>
      </c>
      <c r="K162" s="338">
        <f>I162*J162</f>
        <v>35.25</v>
      </c>
      <c r="L162" s="178"/>
      <c r="M162" s="585"/>
      <c r="N162" s="586"/>
    </row>
    <row r="163" spans="1:14" ht="27" thickBot="1">
      <c r="A163" s="85"/>
      <c r="B163" s="30"/>
      <c r="C163" s="195" t="s">
        <v>72</v>
      </c>
      <c r="D163" s="234">
        <f>A157-D162</f>
        <v>14250</v>
      </c>
      <c r="E163" s="415">
        <v>0.055</v>
      </c>
      <c r="F163" s="182">
        <f>D163*E163</f>
        <v>783.75</v>
      </c>
      <c r="G163" s="166"/>
      <c r="H163" s="339" t="s">
        <v>72</v>
      </c>
      <c r="I163" s="240">
        <f>D163</f>
        <v>14250</v>
      </c>
      <c r="J163" s="421">
        <v>0.055</v>
      </c>
      <c r="K163" s="341">
        <f>I163*J163</f>
        <v>783.75</v>
      </c>
      <c r="L163" s="178"/>
      <c r="M163" s="585"/>
      <c r="N163" s="586"/>
    </row>
    <row r="164" spans="1:14" ht="13.5" thickBot="1">
      <c r="A164" s="85"/>
      <c r="B164" s="30"/>
      <c r="C164" s="587"/>
      <c r="D164" s="588"/>
      <c r="E164" s="588"/>
      <c r="F164" s="588"/>
      <c r="G164" s="166"/>
      <c r="H164" s="588"/>
      <c r="I164" s="588"/>
      <c r="J164" s="588"/>
      <c r="K164" s="589"/>
      <c r="L164" s="30"/>
      <c r="M164" s="85"/>
      <c r="N164" s="201"/>
    </row>
    <row r="165" spans="1:14" ht="13.5" thickBot="1">
      <c r="A165" s="93"/>
      <c r="B165" s="147"/>
      <c r="C165" s="202" t="s">
        <v>73</v>
      </c>
      <c r="D165" s="203"/>
      <c r="E165" s="203"/>
      <c r="F165" s="204">
        <f>SUM(F161:F163,F160)</f>
        <v>1430.1007824002147</v>
      </c>
      <c r="G165" s="205"/>
      <c r="H165" s="596" t="s">
        <v>74</v>
      </c>
      <c r="I165" s="596"/>
      <c r="J165" s="596"/>
      <c r="K165" s="188">
        <f>SUM(K160:K163)</f>
        <v>1450.3814299656287</v>
      </c>
      <c r="L165" s="206"/>
      <c r="M165" s="189">
        <f>K165-F165</f>
        <v>20.28064756541403</v>
      </c>
      <c r="N165" s="190">
        <f>M165/F165</f>
        <v>0.014181271568410677</v>
      </c>
    </row>
    <row r="166" spans="6:14" ht="12.75">
      <c r="F166" s="178"/>
      <c r="K166" s="178"/>
      <c r="L166" s="215"/>
      <c r="M166" s="215"/>
      <c r="N166" s="228"/>
    </row>
    <row r="167" ht="12.75">
      <c r="K167" s="160"/>
    </row>
    <row r="168" spans="1:13" ht="22.5">
      <c r="A168" s="219" t="s">
        <v>222</v>
      </c>
      <c r="B168" s="129"/>
      <c r="F168" s="215"/>
      <c r="J168" s="220"/>
      <c r="K168" s="215"/>
      <c r="L168" s="215"/>
      <c r="M168" s="215"/>
    </row>
    <row r="169" spans="1:13" ht="15">
      <c r="A169" s="129"/>
      <c r="B169" s="129"/>
      <c r="D169" s="30"/>
      <c r="F169" s="215"/>
      <c r="J169" s="220"/>
      <c r="K169" s="215"/>
      <c r="L169" s="215"/>
      <c r="M169" s="215"/>
    </row>
    <row r="170" spans="1:14" s="142" customFormat="1" ht="15">
      <c r="A170" s="139" t="s">
        <v>81</v>
      </c>
      <c r="B170" s="231"/>
      <c r="D170" s="222"/>
      <c r="F170" s="223"/>
      <c r="J170" s="224"/>
      <c r="K170" s="223"/>
      <c r="L170" s="223"/>
      <c r="M170" s="223"/>
      <c r="N170" s="225"/>
    </row>
    <row r="171" spans="1:14" s="142" customFormat="1" ht="15">
      <c r="A171" s="139" t="s">
        <v>40</v>
      </c>
      <c r="B171" s="231"/>
      <c r="D171" s="222"/>
      <c r="F171" s="223"/>
      <c r="J171" s="224"/>
      <c r="K171" s="223"/>
      <c r="L171" s="223"/>
      <c r="M171" s="223"/>
      <c r="N171" s="225"/>
    </row>
    <row r="172" spans="1:14" s="142" customFormat="1" ht="15">
      <c r="A172" s="139" t="s">
        <v>141</v>
      </c>
      <c r="B172" s="231"/>
      <c r="D172" s="222"/>
      <c r="F172" s="223"/>
      <c r="J172" s="224"/>
      <c r="K172" s="223"/>
      <c r="L172" s="223"/>
      <c r="M172" s="223"/>
      <c r="N172" s="225"/>
    </row>
    <row r="173" spans="1:14" s="142" customFormat="1" ht="15">
      <c r="A173" s="139" t="s">
        <v>140</v>
      </c>
      <c r="B173" s="231"/>
      <c r="D173" s="222"/>
      <c r="F173" s="223"/>
      <c r="J173" s="224"/>
      <c r="K173" s="223"/>
      <c r="L173" s="223"/>
      <c r="M173" s="223"/>
      <c r="N173" s="225"/>
    </row>
    <row r="174" spans="1:13" ht="15.75" thickBot="1">
      <c r="A174" s="129"/>
      <c r="B174" s="129"/>
      <c r="D174" s="30"/>
      <c r="F174" s="215"/>
      <c r="J174" s="220"/>
      <c r="K174" s="215"/>
      <c r="L174" s="215"/>
      <c r="M174" s="215"/>
    </row>
    <row r="175" spans="1:15" ht="14.25" customHeight="1">
      <c r="A175" s="10"/>
      <c r="C175" s="617" t="s">
        <v>82</v>
      </c>
      <c r="D175" s="618"/>
      <c r="E175" s="618"/>
      <c r="F175" s="619"/>
      <c r="G175" s="165"/>
      <c r="H175" s="617" t="s">
        <v>83</v>
      </c>
      <c r="I175" s="618"/>
      <c r="J175" s="618"/>
      <c r="K175" s="618"/>
      <c r="L175" s="618"/>
      <c r="M175" s="618"/>
      <c r="N175" s="619"/>
      <c r="O175" s="30"/>
    </row>
    <row r="176" spans="1:14" ht="13.5" customHeight="1" thickBot="1">
      <c r="A176"/>
      <c r="C176" s="620"/>
      <c r="D176" s="621"/>
      <c r="E176" s="621"/>
      <c r="F176" s="622"/>
      <c r="G176" s="166"/>
      <c r="H176" s="620"/>
      <c r="I176" s="621"/>
      <c r="J176" s="621"/>
      <c r="K176" s="621"/>
      <c r="L176" s="621"/>
      <c r="M176" s="621"/>
      <c r="N176" s="622"/>
    </row>
    <row r="177" spans="1:14" ht="60" customHeight="1">
      <c r="A177" s="167" t="s">
        <v>10</v>
      </c>
      <c r="B177" s="168"/>
      <c r="C177" s="609"/>
      <c r="D177" s="590" t="s">
        <v>75</v>
      </c>
      <c r="E177" s="592" t="s">
        <v>76</v>
      </c>
      <c r="F177" s="594" t="s">
        <v>179</v>
      </c>
      <c r="G177" s="165"/>
      <c r="H177" s="169"/>
      <c r="I177" s="590" t="s">
        <v>75</v>
      </c>
      <c r="J177" s="592" t="s">
        <v>76</v>
      </c>
      <c r="K177" s="594" t="s">
        <v>179</v>
      </c>
      <c r="L177" s="168"/>
      <c r="M177" s="607" t="s">
        <v>178</v>
      </c>
      <c r="N177" s="597" t="s">
        <v>67</v>
      </c>
    </row>
    <row r="178" spans="1:14" ht="13.5" thickBot="1">
      <c r="A178" s="11" t="s">
        <v>5</v>
      </c>
      <c r="B178" s="30"/>
      <c r="C178" s="610"/>
      <c r="D178" s="591"/>
      <c r="E178" s="593"/>
      <c r="F178" s="595"/>
      <c r="G178" s="166"/>
      <c r="H178" s="30"/>
      <c r="I178" s="591"/>
      <c r="J178" s="593"/>
      <c r="K178" s="595"/>
      <c r="L178" s="31"/>
      <c r="M178" s="608"/>
      <c r="N178" s="598"/>
    </row>
    <row r="179" spans="1:14" ht="27" thickBot="1">
      <c r="A179" s="232">
        <v>60</v>
      </c>
      <c r="B179" s="30"/>
      <c r="C179" s="172" t="s">
        <v>14</v>
      </c>
      <c r="D179" s="173" t="s">
        <v>68</v>
      </c>
      <c r="E179" s="174" t="s">
        <v>68</v>
      </c>
      <c r="F179" s="175">
        <f>'12. Current Rates'!$D$35</f>
        <v>29.5</v>
      </c>
      <c r="G179" s="166"/>
      <c r="H179" s="176" t="s">
        <v>14</v>
      </c>
      <c r="I179" s="173" t="str">
        <f>D179</f>
        <v>N/A</v>
      </c>
      <c r="J179" s="173" t="s">
        <v>68</v>
      </c>
      <c r="K179" s="233">
        <f>'11. 2005 Final Rate Schedule '!$F$24</f>
        <v>25.52210788880356</v>
      </c>
      <c r="L179" s="178"/>
      <c r="M179" s="583"/>
      <c r="N179" s="584"/>
    </row>
    <row r="180" spans="1:14" ht="13.5" thickBot="1">
      <c r="A180" s="11" t="s">
        <v>6</v>
      </c>
      <c r="B180" s="30"/>
      <c r="C180" s="179" t="s">
        <v>77</v>
      </c>
      <c r="D180" s="234">
        <f>A179</f>
        <v>60</v>
      </c>
      <c r="E180" s="181">
        <f>'12. Current Rates'!$D$33</f>
        <v>5.35093295018654</v>
      </c>
      <c r="F180" s="182">
        <f>D180*E180</f>
        <v>321.0559770111924</v>
      </c>
      <c r="G180" s="166"/>
      <c r="H180" s="183" t="s">
        <v>77</v>
      </c>
      <c r="I180" s="184">
        <f>D180</f>
        <v>60</v>
      </c>
      <c r="J180" s="366">
        <f>'11. 2005 Final Rate Schedule '!$F$25</f>
        <v>5.15040930111312</v>
      </c>
      <c r="K180" s="236">
        <f>I180*J180</f>
        <v>309.0245580667872</v>
      </c>
      <c r="L180" s="178"/>
      <c r="M180" s="599"/>
      <c r="N180" s="600"/>
    </row>
    <row r="181" spans="1:14" ht="13.5" thickBot="1">
      <c r="A181" s="232">
        <v>15000</v>
      </c>
      <c r="B181" s="30"/>
      <c r="C181" s="601"/>
      <c r="D181" s="602"/>
      <c r="E181" s="186" t="s">
        <v>41</v>
      </c>
      <c r="F181" s="187">
        <f>SUM(F179:F180)</f>
        <v>350.5559770111924</v>
      </c>
      <c r="G181" s="166"/>
      <c r="H181" s="603"/>
      <c r="I181" s="604"/>
      <c r="J181" s="186" t="s">
        <v>70</v>
      </c>
      <c r="K181" s="188">
        <f>SUM(K179:K180)</f>
        <v>334.5466659555908</v>
      </c>
      <c r="L181" s="178"/>
      <c r="M181" s="189">
        <f>K181-F181</f>
        <v>-16.009311055601586</v>
      </c>
      <c r="N181" s="190">
        <f>M181/F181</f>
        <v>-0.04566834430294266</v>
      </c>
    </row>
    <row r="182" spans="1:14" ht="26.25">
      <c r="A182" s="85"/>
      <c r="B182" s="30"/>
      <c r="C182" s="179" t="s">
        <v>78</v>
      </c>
      <c r="D182" s="234">
        <f>A179</f>
        <v>60</v>
      </c>
      <c r="E182" s="414">
        <v>3.91</v>
      </c>
      <c r="F182" s="192">
        <f>D182*E182</f>
        <v>234.60000000000002</v>
      </c>
      <c r="G182" s="166"/>
      <c r="H182" s="183" t="s">
        <v>78</v>
      </c>
      <c r="I182" s="246">
        <f aca="true" t="shared" si="5" ref="I182:K183">D182</f>
        <v>60</v>
      </c>
      <c r="J182" s="422">
        <f t="shared" si="5"/>
        <v>3.91</v>
      </c>
      <c r="K182" s="238">
        <f t="shared" si="5"/>
        <v>234.60000000000002</v>
      </c>
      <c r="L182" s="178"/>
      <c r="M182" s="239"/>
      <c r="N182" s="245"/>
    </row>
    <row r="183" spans="1:14" ht="26.25">
      <c r="A183" s="85"/>
      <c r="B183" s="30"/>
      <c r="C183" s="179" t="s">
        <v>71</v>
      </c>
      <c r="D183" s="234">
        <f>A181</f>
        <v>15000</v>
      </c>
      <c r="E183" s="414">
        <v>0.0132</v>
      </c>
      <c r="F183" s="192">
        <f>D183*E183</f>
        <v>198</v>
      </c>
      <c r="G183" s="166"/>
      <c r="H183" s="183" t="s">
        <v>71</v>
      </c>
      <c r="I183" s="234">
        <f t="shared" si="5"/>
        <v>15000</v>
      </c>
      <c r="J183" s="422">
        <f t="shared" si="5"/>
        <v>0.0132</v>
      </c>
      <c r="K183" s="238">
        <f t="shared" si="5"/>
        <v>198</v>
      </c>
      <c r="L183" s="178"/>
      <c r="M183" s="585"/>
      <c r="N183" s="586"/>
    </row>
    <row r="184" spans="1:14" ht="27" thickBot="1">
      <c r="A184" s="85"/>
      <c r="B184" s="30"/>
      <c r="C184" s="195" t="s">
        <v>72</v>
      </c>
      <c r="D184" s="180">
        <v>750</v>
      </c>
      <c r="E184" s="415">
        <v>0.055</v>
      </c>
      <c r="F184" s="182">
        <f>D184*E184</f>
        <v>41.25</v>
      </c>
      <c r="G184" s="166"/>
      <c r="H184" s="195" t="s">
        <v>72</v>
      </c>
      <c r="I184" s="240">
        <f>D184</f>
        <v>750</v>
      </c>
      <c r="J184" s="415">
        <f>E184</f>
        <v>0.055</v>
      </c>
      <c r="K184" s="338">
        <f>I184*J184</f>
        <v>41.25</v>
      </c>
      <c r="L184" s="178"/>
      <c r="M184" s="585"/>
      <c r="N184" s="586"/>
    </row>
    <row r="185" spans="1:14" ht="8.25" customHeight="1" thickBot="1">
      <c r="A185" s="85"/>
      <c r="B185" s="30"/>
      <c r="C185" s="587"/>
      <c r="D185" s="588"/>
      <c r="E185" s="588"/>
      <c r="F185" s="588"/>
      <c r="G185" s="166"/>
      <c r="H185" s="588"/>
      <c r="I185" s="588"/>
      <c r="J185" s="588"/>
      <c r="K185" s="589"/>
      <c r="L185" s="30"/>
      <c r="M185" s="85"/>
      <c r="N185" s="201"/>
    </row>
    <row r="186" spans="1:14" ht="13.5" thickBot="1">
      <c r="A186" s="93"/>
      <c r="B186" s="147"/>
      <c r="C186" s="202" t="s">
        <v>73</v>
      </c>
      <c r="D186" s="203"/>
      <c r="E186" s="203"/>
      <c r="F186" s="204">
        <f>SUM(F182:F184)+F181</f>
        <v>824.4059770111924</v>
      </c>
      <c r="G186" s="205"/>
      <c r="H186" s="596" t="s">
        <v>74</v>
      </c>
      <c r="I186" s="596"/>
      <c r="J186" s="596"/>
      <c r="K186" s="188">
        <f>SUM(K182:K184)+K181</f>
        <v>808.3966659555908</v>
      </c>
      <c r="L186" s="206"/>
      <c r="M186" s="189">
        <f>K186-F186</f>
        <v>-16.00931105560153</v>
      </c>
      <c r="N186" s="190">
        <f>M186/F186</f>
        <v>-0.01941920789274455</v>
      </c>
    </row>
    <row r="187" spans="6:14" ht="12.75">
      <c r="F187" s="178"/>
      <c r="K187" s="178"/>
      <c r="L187" s="215"/>
      <c r="M187" s="215"/>
      <c r="N187" s="228"/>
    </row>
    <row r="188" spans="6:14" ht="13.5" thickBot="1">
      <c r="F188" s="178"/>
      <c r="K188" s="178"/>
      <c r="L188" s="215"/>
      <c r="M188" s="215"/>
      <c r="N188" s="228"/>
    </row>
    <row r="189" spans="1:14" ht="41.25">
      <c r="A189" s="167" t="s">
        <v>10</v>
      </c>
      <c r="B189" s="168"/>
      <c r="C189" s="609"/>
      <c r="D189" s="590" t="s">
        <v>75</v>
      </c>
      <c r="E189" s="592" t="s">
        <v>76</v>
      </c>
      <c r="F189" s="594" t="s">
        <v>179</v>
      </c>
      <c r="G189" s="165"/>
      <c r="H189" s="169"/>
      <c r="I189" s="590" t="s">
        <v>75</v>
      </c>
      <c r="J189" s="592" t="s">
        <v>76</v>
      </c>
      <c r="K189" s="594" t="s">
        <v>179</v>
      </c>
      <c r="L189" s="168"/>
      <c r="M189" s="607" t="s">
        <v>178</v>
      </c>
      <c r="N189" s="597" t="s">
        <v>67</v>
      </c>
    </row>
    <row r="190" spans="1:14" ht="27" customHeight="1" thickBot="1">
      <c r="A190" s="11" t="s">
        <v>5</v>
      </c>
      <c r="B190" s="30"/>
      <c r="C190" s="610"/>
      <c r="D190" s="591"/>
      <c r="E190" s="593"/>
      <c r="F190" s="595"/>
      <c r="G190" s="166"/>
      <c r="H190" s="30"/>
      <c r="I190" s="591"/>
      <c r="J190" s="593"/>
      <c r="K190" s="595"/>
      <c r="L190" s="31"/>
      <c r="M190" s="608"/>
      <c r="N190" s="598"/>
    </row>
    <row r="191" spans="1:14" ht="27" thickBot="1">
      <c r="A191" s="232">
        <v>100</v>
      </c>
      <c r="B191" s="30"/>
      <c r="C191" s="172" t="s">
        <v>14</v>
      </c>
      <c r="D191" s="173" t="s">
        <v>68</v>
      </c>
      <c r="E191" s="174" t="s">
        <v>68</v>
      </c>
      <c r="F191" s="175">
        <f>'12. Current Rates'!$D$35</f>
        <v>29.5</v>
      </c>
      <c r="G191" s="166"/>
      <c r="H191" s="176" t="s">
        <v>14</v>
      </c>
      <c r="I191" s="173" t="str">
        <f>D191</f>
        <v>N/A</v>
      </c>
      <c r="J191" s="173" t="s">
        <v>68</v>
      </c>
      <c r="K191" s="233">
        <f>'11. 2005 Final Rate Schedule '!$F$24</f>
        <v>25.52210788880356</v>
      </c>
      <c r="L191" s="178"/>
      <c r="M191" s="583"/>
      <c r="N191" s="584"/>
    </row>
    <row r="192" spans="1:14" ht="13.5" thickBot="1">
      <c r="A192" s="11" t="s">
        <v>6</v>
      </c>
      <c r="B192" s="30"/>
      <c r="C192" s="179" t="s">
        <v>77</v>
      </c>
      <c r="D192" s="234">
        <f>A191</f>
        <v>100</v>
      </c>
      <c r="E192" s="181">
        <f>'12. Current Rates'!$D$33</f>
        <v>5.35093295018654</v>
      </c>
      <c r="F192" s="182">
        <f>D192*E192</f>
        <v>535.0932950186541</v>
      </c>
      <c r="G192" s="166"/>
      <c r="H192" s="183" t="s">
        <v>77</v>
      </c>
      <c r="I192" s="184">
        <f>D192</f>
        <v>100</v>
      </c>
      <c r="J192" s="366">
        <f>'11. 2005 Final Rate Schedule '!$F$25</f>
        <v>5.15040930111312</v>
      </c>
      <c r="K192" s="236">
        <f>I192*J192</f>
        <v>515.040930111312</v>
      </c>
      <c r="L192" s="178"/>
      <c r="M192" s="599"/>
      <c r="N192" s="600"/>
    </row>
    <row r="193" spans="1:14" ht="13.5" thickBot="1">
      <c r="A193" s="232">
        <v>40000</v>
      </c>
      <c r="B193" s="30"/>
      <c r="C193" s="601"/>
      <c r="D193" s="602"/>
      <c r="E193" s="186" t="s">
        <v>41</v>
      </c>
      <c r="F193" s="187">
        <f>SUM(F191:F192)</f>
        <v>564.5932950186541</v>
      </c>
      <c r="G193" s="166"/>
      <c r="H193" s="603"/>
      <c r="I193" s="604"/>
      <c r="J193" s="186" t="s">
        <v>70</v>
      </c>
      <c r="K193" s="188">
        <f>SUM(K191:K192)</f>
        <v>540.5630380001156</v>
      </c>
      <c r="L193" s="178"/>
      <c r="M193" s="189">
        <f>K193-F193</f>
        <v>-24.030257018538464</v>
      </c>
      <c r="N193" s="190">
        <f>M193/F193</f>
        <v>-0.04256206588097102</v>
      </c>
    </row>
    <row r="194" spans="1:14" ht="26.25">
      <c r="A194" s="85"/>
      <c r="B194" s="30"/>
      <c r="C194" s="179" t="s">
        <v>78</v>
      </c>
      <c r="D194" s="234">
        <f>A191</f>
        <v>100</v>
      </c>
      <c r="E194" s="414">
        <v>3.91</v>
      </c>
      <c r="F194" s="192">
        <f>D194*E194</f>
        <v>391</v>
      </c>
      <c r="G194" s="166"/>
      <c r="H194" s="183" t="s">
        <v>78</v>
      </c>
      <c r="I194" s="246">
        <f>D194</f>
        <v>100</v>
      </c>
      <c r="J194" s="422">
        <f aca="true" t="shared" si="6" ref="J194:K196">E194</f>
        <v>3.91</v>
      </c>
      <c r="K194" s="238">
        <f t="shared" si="6"/>
        <v>391</v>
      </c>
      <c r="L194" s="178"/>
      <c r="M194" s="239"/>
      <c r="N194" s="245"/>
    </row>
    <row r="195" spans="1:14" ht="26.25">
      <c r="A195" s="85"/>
      <c r="B195" s="30"/>
      <c r="C195" s="179" t="s">
        <v>71</v>
      </c>
      <c r="D195" s="234">
        <f>A193</f>
        <v>40000</v>
      </c>
      <c r="E195" s="414">
        <v>0.0132</v>
      </c>
      <c r="F195" s="192">
        <f>D195*E195</f>
        <v>528</v>
      </c>
      <c r="G195" s="166"/>
      <c r="H195" s="183" t="s">
        <v>71</v>
      </c>
      <c r="I195" s="234">
        <f>D195</f>
        <v>40000</v>
      </c>
      <c r="J195" s="422">
        <f t="shared" si="6"/>
        <v>0.0132</v>
      </c>
      <c r="K195" s="238">
        <f t="shared" si="6"/>
        <v>528</v>
      </c>
      <c r="L195" s="178"/>
      <c r="M195" s="585"/>
      <c r="N195" s="586"/>
    </row>
    <row r="196" spans="1:14" ht="27" thickBot="1">
      <c r="A196" s="85"/>
      <c r="B196" s="30"/>
      <c r="C196" s="195" t="s">
        <v>72</v>
      </c>
      <c r="D196" s="234">
        <f>A193</f>
        <v>40000</v>
      </c>
      <c r="E196" s="415">
        <v>0.055</v>
      </c>
      <c r="F196" s="182">
        <f>D196*E196</f>
        <v>2200</v>
      </c>
      <c r="G196" s="166"/>
      <c r="H196" s="195" t="s">
        <v>72</v>
      </c>
      <c r="I196" s="240">
        <f>D196</f>
        <v>40000</v>
      </c>
      <c r="J196" s="423">
        <v>0.055</v>
      </c>
      <c r="K196" s="242">
        <f t="shared" si="6"/>
        <v>2200</v>
      </c>
      <c r="L196" s="178"/>
      <c r="M196" s="585"/>
      <c r="N196" s="586"/>
    </row>
    <row r="197" spans="1:14" ht="8.25" customHeight="1" thickBot="1">
      <c r="A197" s="85"/>
      <c r="B197" s="30"/>
      <c r="C197" s="587"/>
      <c r="D197" s="588"/>
      <c r="E197" s="588"/>
      <c r="F197" s="588"/>
      <c r="G197" s="166"/>
      <c r="H197" s="588"/>
      <c r="I197" s="588"/>
      <c r="J197" s="588"/>
      <c r="K197" s="589"/>
      <c r="L197" s="30"/>
      <c r="M197" s="85"/>
      <c r="N197" s="201"/>
    </row>
    <row r="198" spans="1:14" ht="13.5" thickBot="1">
      <c r="A198" s="93"/>
      <c r="B198" s="147"/>
      <c r="C198" s="202" t="s">
        <v>73</v>
      </c>
      <c r="D198" s="203"/>
      <c r="E198" s="203"/>
      <c r="F198" s="204">
        <f>SUM(F194:F196)+F193</f>
        <v>3683.5932950186543</v>
      </c>
      <c r="G198" s="205"/>
      <c r="H198" s="596" t="s">
        <v>74</v>
      </c>
      <c r="I198" s="596"/>
      <c r="J198" s="596"/>
      <c r="K198" s="188">
        <f>SUM(K194:K196)+K193</f>
        <v>3659.5630380001157</v>
      </c>
      <c r="L198" s="206"/>
      <c r="M198" s="189">
        <f>K198-F198</f>
        <v>-24.030257018538578</v>
      </c>
      <c r="N198" s="190">
        <f>M198/F198</f>
        <v>-0.006523591258306078</v>
      </c>
    </row>
    <row r="199" spans="1:13" ht="12" customHeight="1">
      <c r="A199" s="129"/>
      <c r="B199" s="129"/>
      <c r="F199" s="215"/>
      <c r="J199" s="220"/>
      <c r="K199" s="215"/>
      <c r="L199" s="215"/>
      <c r="M199" s="215"/>
    </row>
    <row r="200" spans="6:13" ht="13.5" thickBot="1">
      <c r="F200" s="215"/>
      <c r="J200" s="220"/>
      <c r="K200" s="215"/>
      <c r="L200" s="215"/>
      <c r="M200" s="215"/>
    </row>
    <row r="201" spans="1:14" ht="54.75" customHeight="1">
      <c r="A201" s="167" t="s">
        <v>10</v>
      </c>
      <c r="B201" s="168"/>
      <c r="C201" s="609"/>
      <c r="D201" s="590" t="s">
        <v>75</v>
      </c>
      <c r="E201" s="592" t="s">
        <v>76</v>
      </c>
      <c r="F201" s="594" t="s">
        <v>179</v>
      </c>
      <c r="G201" s="165"/>
      <c r="H201" s="169"/>
      <c r="I201" s="590" t="s">
        <v>75</v>
      </c>
      <c r="J201" s="592" t="s">
        <v>76</v>
      </c>
      <c r="K201" s="594" t="s">
        <v>179</v>
      </c>
      <c r="L201" s="168"/>
      <c r="M201" s="607" t="s">
        <v>178</v>
      </c>
      <c r="N201" s="597" t="s">
        <v>67</v>
      </c>
    </row>
    <row r="202" spans="1:14" ht="13.5" thickBot="1">
      <c r="A202" s="11" t="s">
        <v>5</v>
      </c>
      <c r="B202" s="30"/>
      <c r="C202" s="610"/>
      <c r="D202" s="591"/>
      <c r="E202" s="593"/>
      <c r="F202" s="595"/>
      <c r="G202" s="166"/>
      <c r="H202" s="30"/>
      <c r="I202" s="591"/>
      <c r="J202" s="593"/>
      <c r="K202" s="595"/>
      <c r="L202" s="31"/>
      <c r="M202" s="608"/>
      <c r="N202" s="598"/>
    </row>
    <row r="203" spans="1:14" ht="27" thickBot="1">
      <c r="A203" s="232">
        <v>500</v>
      </c>
      <c r="B203" s="30"/>
      <c r="C203" s="172" t="s">
        <v>14</v>
      </c>
      <c r="D203" s="173" t="s">
        <v>68</v>
      </c>
      <c r="E203" s="174" t="s">
        <v>68</v>
      </c>
      <c r="F203" s="175">
        <f>'12. Current Rates'!$D$35</f>
        <v>29.5</v>
      </c>
      <c r="G203" s="166"/>
      <c r="H203" s="176" t="s">
        <v>14</v>
      </c>
      <c r="I203" s="173" t="str">
        <f>D203</f>
        <v>N/A</v>
      </c>
      <c r="J203" s="173" t="s">
        <v>68</v>
      </c>
      <c r="K203" s="233">
        <f>'11. 2005 Final Rate Schedule '!$F$24</f>
        <v>25.52210788880356</v>
      </c>
      <c r="L203" s="178"/>
      <c r="M203" s="583"/>
      <c r="N203" s="584"/>
    </row>
    <row r="204" spans="1:14" ht="13.5" thickBot="1">
      <c r="A204" s="11" t="s">
        <v>6</v>
      </c>
      <c r="B204" s="30"/>
      <c r="C204" s="179" t="s">
        <v>77</v>
      </c>
      <c r="D204" s="234">
        <f>A203</f>
        <v>500</v>
      </c>
      <c r="E204" s="181">
        <f>'12. Current Rates'!$D$33</f>
        <v>5.35093295018654</v>
      </c>
      <c r="F204" s="182">
        <f>D204*E204</f>
        <v>2675.46647509327</v>
      </c>
      <c r="G204" s="166"/>
      <c r="H204" s="183" t="s">
        <v>77</v>
      </c>
      <c r="I204" s="184">
        <f>D204</f>
        <v>500</v>
      </c>
      <c r="J204" s="366">
        <f>'11. 2005 Final Rate Schedule '!$F$25</f>
        <v>5.15040930111312</v>
      </c>
      <c r="K204" s="236">
        <f>I204*J204</f>
        <v>2575.20465055656</v>
      </c>
      <c r="L204" s="178"/>
      <c r="M204" s="599"/>
      <c r="N204" s="600"/>
    </row>
    <row r="205" spans="1:14" ht="13.5" thickBot="1">
      <c r="A205" s="232">
        <v>100000</v>
      </c>
      <c r="B205" s="30"/>
      <c r="C205" s="601"/>
      <c r="D205" s="602"/>
      <c r="E205" s="186" t="s">
        <v>41</v>
      </c>
      <c r="F205" s="187">
        <f>SUM(F203:F204)</f>
        <v>2704.96647509327</v>
      </c>
      <c r="G205" s="166"/>
      <c r="H205" s="603"/>
      <c r="I205" s="604"/>
      <c r="J205" s="186" t="s">
        <v>70</v>
      </c>
      <c r="K205" s="188">
        <f>SUM(K203:K204)</f>
        <v>2600.7267584453634</v>
      </c>
      <c r="L205" s="178"/>
      <c r="M205" s="189">
        <f>K205-F205</f>
        <v>-104.23971664790679</v>
      </c>
      <c r="N205" s="190">
        <f>M205/F205</f>
        <v>-0.03853641721911266</v>
      </c>
    </row>
    <row r="206" spans="1:14" ht="26.25">
      <c r="A206" s="85"/>
      <c r="B206" s="30"/>
      <c r="C206" s="179" t="s">
        <v>78</v>
      </c>
      <c r="D206" s="234">
        <f>A203</f>
        <v>500</v>
      </c>
      <c r="E206" s="414">
        <v>3.91</v>
      </c>
      <c r="F206" s="192">
        <f>D206*E206</f>
        <v>1955</v>
      </c>
      <c r="G206" s="166"/>
      <c r="H206" s="183" t="s">
        <v>78</v>
      </c>
      <c r="I206" s="246">
        <f>D206</f>
        <v>500</v>
      </c>
      <c r="J206" s="422">
        <f aca="true" t="shared" si="7" ref="J206:K208">E206</f>
        <v>3.91</v>
      </c>
      <c r="K206" s="238">
        <f t="shared" si="7"/>
        <v>1955</v>
      </c>
      <c r="L206" s="178"/>
      <c r="M206" s="239"/>
      <c r="N206" s="245"/>
    </row>
    <row r="207" spans="1:14" ht="26.25">
      <c r="A207" s="85"/>
      <c r="B207" s="30"/>
      <c r="C207" s="179" t="s">
        <v>71</v>
      </c>
      <c r="D207" s="234">
        <f>A205</f>
        <v>100000</v>
      </c>
      <c r="E207" s="414">
        <v>0.0132</v>
      </c>
      <c r="F207" s="192">
        <f>D207*E207</f>
        <v>1320</v>
      </c>
      <c r="G207" s="166"/>
      <c r="H207" s="183" t="s">
        <v>71</v>
      </c>
      <c r="I207" s="234">
        <f>D207</f>
        <v>100000</v>
      </c>
      <c r="J207" s="422">
        <f t="shared" si="7"/>
        <v>0.0132</v>
      </c>
      <c r="K207" s="238">
        <f t="shared" si="7"/>
        <v>1320</v>
      </c>
      <c r="L207" s="178"/>
      <c r="M207" s="585"/>
      <c r="N207" s="586"/>
    </row>
    <row r="208" spans="1:14" ht="27" thickBot="1">
      <c r="A208" s="85"/>
      <c r="B208" s="30"/>
      <c r="C208" s="195" t="s">
        <v>72</v>
      </c>
      <c r="D208" s="234">
        <f>A205</f>
        <v>100000</v>
      </c>
      <c r="E208" s="415">
        <v>0.055</v>
      </c>
      <c r="F208" s="182">
        <f>D208*E208</f>
        <v>5500</v>
      </c>
      <c r="G208" s="166"/>
      <c r="H208" s="195" t="s">
        <v>72</v>
      </c>
      <c r="I208" s="240">
        <f>D208</f>
        <v>100000</v>
      </c>
      <c r="J208" s="423">
        <f t="shared" si="7"/>
        <v>0.055</v>
      </c>
      <c r="K208" s="242">
        <f t="shared" si="7"/>
        <v>5500</v>
      </c>
      <c r="L208" s="178"/>
      <c r="M208" s="585"/>
      <c r="N208" s="586"/>
    </row>
    <row r="209" spans="1:14" ht="8.25" customHeight="1" thickBot="1">
      <c r="A209" s="85"/>
      <c r="B209" s="30"/>
      <c r="C209" s="587"/>
      <c r="D209" s="588"/>
      <c r="E209" s="588"/>
      <c r="F209" s="588"/>
      <c r="G209" s="166"/>
      <c r="H209" s="588"/>
      <c r="I209" s="588"/>
      <c r="J209" s="588"/>
      <c r="K209" s="589"/>
      <c r="L209" s="30"/>
      <c r="M209" s="85"/>
      <c r="N209" s="201"/>
    </row>
    <row r="210" spans="1:14" ht="13.5" thickBot="1">
      <c r="A210" s="93"/>
      <c r="B210" s="147"/>
      <c r="C210" s="202" t="s">
        <v>73</v>
      </c>
      <c r="D210" s="203"/>
      <c r="E210" s="203"/>
      <c r="F210" s="204">
        <f>SUM(F206:F208)+F205</f>
        <v>11479.96647509327</v>
      </c>
      <c r="G210" s="205"/>
      <c r="H210" s="596" t="s">
        <v>74</v>
      </c>
      <c r="I210" s="596"/>
      <c r="J210" s="596"/>
      <c r="K210" s="188">
        <f>SUM(K206:K208)+K205</f>
        <v>11375.726758445364</v>
      </c>
      <c r="L210" s="206"/>
      <c r="M210" s="189">
        <f>K210-F210</f>
        <v>-104.23971664790588</v>
      </c>
      <c r="N210" s="190">
        <f>M210/F210</f>
        <v>-0.00908014120721193</v>
      </c>
    </row>
    <row r="211" ht="12.75">
      <c r="K211" s="160"/>
    </row>
    <row r="212" spans="6:13" ht="13.5" thickBot="1">
      <c r="F212" s="215"/>
      <c r="J212" s="220"/>
      <c r="K212" s="215"/>
      <c r="L212" s="215"/>
      <c r="M212" s="215"/>
    </row>
    <row r="213" spans="1:14" ht="60.75" customHeight="1">
      <c r="A213" s="167" t="s">
        <v>10</v>
      </c>
      <c r="B213" s="168"/>
      <c r="C213" s="609"/>
      <c r="D213" s="590" t="s">
        <v>75</v>
      </c>
      <c r="E213" s="592" t="s">
        <v>76</v>
      </c>
      <c r="F213" s="594" t="s">
        <v>179</v>
      </c>
      <c r="G213" s="165"/>
      <c r="H213" s="169"/>
      <c r="I213" s="590" t="s">
        <v>75</v>
      </c>
      <c r="J213" s="592" t="s">
        <v>76</v>
      </c>
      <c r="K213" s="594" t="s">
        <v>179</v>
      </c>
      <c r="L213" s="168"/>
      <c r="M213" s="607" t="s">
        <v>178</v>
      </c>
      <c r="N213" s="597" t="s">
        <v>67</v>
      </c>
    </row>
    <row r="214" spans="1:14" ht="27" customHeight="1" thickBot="1">
      <c r="A214" s="11" t="s">
        <v>5</v>
      </c>
      <c r="B214" s="30"/>
      <c r="C214" s="610"/>
      <c r="D214" s="591"/>
      <c r="E214" s="593"/>
      <c r="F214" s="595"/>
      <c r="G214" s="166"/>
      <c r="H214" s="30"/>
      <c r="I214" s="591"/>
      <c r="J214" s="593"/>
      <c r="K214" s="595"/>
      <c r="L214" s="31"/>
      <c r="M214" s="608"/>
      <c r="N214" s="598"/>
    </row>
    <row r="215" spans="1:14" ht="27" thickBot="1">
      <c r="A215" s="232">
        <v>1000</v>
      </c>
      <c r="B215" s="30"/>
      <c r="C215" s="172" t="s">
        <v>14</v>
      </c>
      <c r="D215" s="173" t="s">
        <v>68</v>
      </c>
      <c r="E215" s="174" t="s">
        <v>68</v>
      </c>
      <c r="F215" s="175">
        <f>'12. Current Rates'!$D$35</f>
        <v>29.5</v>
      </c>
      <c r="G215" s="166"/>
      <c r="H215" s="176" t="s">
        <v>14</v>
      </c>
      <c r="I215" s="173" t="str">
        <f>D215</f>
        <v>N/A</v>
      </c>
      <c r="J215" s="173" t="s">
        <v>68</v>
      </c>
      <c r="K215" s="233">
        <f>'11. 2005 Final Rate Schedule '!$F$24</f>
        <v>25.52210788880356</v>
      </c>
      <c r="L215" s="178"/>
      <c r="M215" s="583"/>
      <c r="N215" s="584"/>
    </row>
    <row r="216" spans="1:14" ht="13.5" thickBot="1">
      <c r="A216" s="11" t="s">
        <v>6</v>
      </c>
      <c r="B216" s="30"/>
      <c r="C216" s="179" t="s">
        <v>77</v>
      </c>
      <c r="D216" s="234">
        <f>A215</f>
        <v>1000</v>
      </c>
      <c r="E216" s="181">
        <f>'12. Current Rates'!$D$33</f>
        <v>5.35093295018654</v>
      </c>
      <c r="F216" s="182">
        <f>D216*E216</f>
        <v>5350.93295018654</v>
      </c>
      <c r="G216" s="166"/>
      <c r="H216" s="183" t="s">
        <v>77</v>
      </c>
      <c r="I216" s="184">
        <f>D216</f>
        <v>1000</v>
      </c>
      <c r="J216" s="235">
        <f>'11. 2005 Final Rate Schedule '!$F$25</f>
        <v>5.15040930111312</v>
      </c>
      <c r="K216" s="236">
        <f>I216*J216</f>
        <v>5150.40930111312</v>
      </c>
      <c r="L216" s="178"/>
      <c r="M216" s="599"/>
      <c r="N216" s="600"/>
    </row>
    <row r="217" spans="1:14" ht="13.5" thickBot="1">
      <c r="A217" s="232">
        <v>400000</v>
      </c>
      <c r="B217" s="30"/>
      <c r="C217" s="601"/>
      <c r="D217" s="602"/>
      <c r="E217" s="186" t="s">
        <v>41</v>
      </c>
      <c r="F217" s="187">
        <f>SUM(F215:F216)</f>
        <v>5380.43295018654</v>
      </c>
      <c r="G217" s="166"/>
      <c r="H217" s="603"/>
      <c r="I217" s="604"/>
      <c r="J217" s="186" t="s">
        <v>70</v>
      </c>
      <c r="K217" s="188">
        <f>SUM(K215:K216)</f>
        <v>5175.931409001923</v>
      </c>
      <c r="L217" s="178"/>
      <c r="M217" s="189">
        <f>K217-F217</f>
        <v>-204.50154118461705</v>
      </c>
      <c r="N217" s="190">
        <f>M217/F217</f>
        <v>-0.03800838019504117</v>
      </c>
    </row>
    <row r="218" spans="1:14" ht="26.25">
      <c r="A218" s="85"/>
      <c r="B218" s="30"/>
      <c r="C218" s="179" t="s">
        <v>78</v>
      </c>
      <c r="D218" s="234">
        <f>A215</f>
        <v>1000</v>
      </c>
      <c r="E218" s="191">
        <v>3.91</v>
      </c>
      <c r="F218" s="192">
        <f>D218*E218</f>
        <v>3910</v>
      </c>
      <c r="G218" s="166"/>
      <c r="H218" s="183" t="s">
        <v>78</v>
      </c>
      <c r="I218" s="246">
        <f>D218</f>
        <v>1000</v>
      </c>
      <c r="J218" s="237">
        <f aca="true" t="shared" si="8" ref="J218:K220">E218</f>
        <v>3.91</v>
      </c>
      <c r="K218" s="238">
        <f t="shared" si="8"/>
        <v>3910</v>
      </c>
      <c r="L218" s="178"/>
      <c r="M218" s="239"/>
      <c r="N218" s="245"/>
    </row>
    <row r="219" spans="1:14" ht="26.25">
      <c r="A219" s="85"/>
      <c r="B219" s="30"/>
      <c r="C219" s="179" t="s">
        <v>71</v>
      </c>
      <c r="D219" s="234">
        <f>A217</f>
        <v>400000</v>
      </c>
      <c r="E219" s="191">
        <v>0.0132</v>
      </c>
      <c r="F219" s="192">
        <f>D219*E219</f>
        <v>5280</v>
      </c>
      <c r="G219" s="166"/>
      <c r="H219" s="183" t="s">
        <v>71</v>
      </c>
      <c r="I219" s="234">
        <f>D219</f>
        <v>400000</v>
      </c>
      <c r="J219" s="237">
        <f t="shared" si="8"/>
        <v>0.0132</v>
      </c>
      <c r="K219" s="238">
        <f t="shared" si="8"/>
        <v>5280</v>
      </c>
      <c r="L219" s="178"/>
      <c r="M219" s="585"/>
      <c r="N219" s="586"/>
    </row>
    <row r="220" spans="1:14" ht="27" thickBot="1">
      <c r="A220" s="85"/>
      <c r="B220" s="30"/>
      <c r="C220" s="195" t="s">
        <v>72</v>
      </c>
      <c r="D220" s="234">
        <f>A217</f>
        <v>400000</v>
      </c>
      <c r="E220" s="196">
        <v>0.055</v>
      </c>
      <c r="F220" s="182">
        <f>D220*E220</f>
        <v>22000</v>
      </c>
      <c r="G220" s="166"/>
      <c r="H220" s="195" t="s">
        <v>72</v>
      </c>
      <c r="I220" s="240">
        <f>D220</f>
        <v>400000</v>
      </c>
      <c r="J220" s="241">
        <f t="shared" si="8"/>
        <v>0.055</v>
      </c>
      <c r="K220" s="242">
        <f t="shared" si="8"/>
        <v>22000</v>
      </c>
      <c r="L220" s="178"/>
      <c r="M220" s="585"/>
      <c r="N220" s="586"/>
    </row>
    <row r="221" spans="1:14" ht="8.25" customHeight="1" thickBot="1">
      <c r="A221" s="85"/>
      <c r="B221" s="30"/>
      <c r="C221" s="587"/>
      <c r="D221" s="588"/>
      <c r="E221" s="588"/>
      <c r="F221" s="588"/>
      <c r="G221" s="166"/>
      <c r="H221" s="588"/>
      <c r="I221" s="588"/>
      <c r="J221" s="588"/>
      <c r="K221" s="589"/>
      <c r="L221" s="30"/>
      <c r="M221" s="85"/>
      <c r="N221" s="201"/>
    </row>
    <row r="222" spans="1:14" ht="13.5" thickBot="1">
      <c r="A222" s="93"/>
      <c r="B222" s="147"/>
      <c r="C222" s="202" t="s">
        <v>73</v>
      </c>
      <c r="D222" s="203"/>
      <c r="E222" s="203"/>
      <c r="F222" s="204">
        <f>SUM(F218:F220)+F217</f>
        <v>36570.43295018654</v>
      </c>
      <c r="G222" s="205"/>
      <c r="H222" s="596" t="s">
        <v>74</v>
      </c>
      <c r="I222" s="596"/>
      <c r="J222" s="596"/>
      <c r="K222" s="188">
        <f>SUM(K218:K220)+K217</f>
        <v>36365.931409001925</v>
      </c>
      <c r="L222" s="206"/>
      <c r="M222" s="189">
        <f>K222-F222</f>
        <v>-204.50154118461796</v>
      </c>
      <c r="N222" s="190">
        <f>M222/F222</f>
        <v>-0.005591991253239314</v>
      </c>
    </row>
    <row r="223" spans="6:14" ht="12.75">
      <c r="F223" s="178"/>
      <c r="K223" s="178"/>
      <c r="L223" s="215"/>
      <c r="M223" s="215"/>
      <c r="N223" s="228"/>
    </row>
    <row r="224" spans="3:13" ht="13.5" thickBot="1">
      <c r="C224" s="52"/>
      <c r="E224" s="243"/>
      <c r="F224" s="215"/>
      <c r="J224" s="220"/>
      <c r="K224" s="215"/>
      <c r="L224" s="215"/>
      <c r="M224" s="215"/>
    </row>
    <row r="225" spans="1:14" ht="53.25" customHeight="1">
      <c r="A225" s="167" t="s">
        <v>10</v>
      </c>
      <c r="B225" s="168"/>
      <c r="C225" s="609"/>
      <c r="D225" s="590" t="s">
        <v>75</v>
      </c>
      <c r="E225" s="592" t="s">
        <v>76</v>
      </c>
      <c r="F225" s="594" t="s">
        <v>179</v>
      </c>
      <c r="G225" s="165"/>
      <c r="H225" s="169"/>
      <c r="I225" s="590" t="s">
        <v>75</v>
      </c>
      <c r="J225" s="592" t="s">
        <v>76</v>
      </c>
      <c r="K225" s="594" t="s">
        <v>179</v>
      </c>
      <c r="L225" s="168"/>
      <c r="M225" s="607" t="s">
        <v>178</v>
      </c>
      <c r="N225" s="597" t="s">
        <v>67</v>
      </c>
    </row>
    <row r="226" spans="1:14" ht="13.5" thickBot="1">
      <c r="A226" s="11" t="s">
        <v>5</v>
      </c>
      <c r="B226" s="30"/>
      <c r="C226" s="610"/>
      <c r="D226" s="591"/>
      <c r="E226" s="593"/>
      <c r="F226" s="595"/>
      <c r="G226" s="166"/>
      <c r="H226" s="30"/>
      <c r="I226" s="591"/>
      <c r="J226" s="593"/>
      <c r="K226" s="595"/>
      <c r="L226" s="31"/>
      <c r="M226" s="608"/>
      <c r="N226" s="598"/>
    </row>
    <row r="227" spans="1:14" ht="27" thickBot="1">
      <c r="A227" s="232">
        <v>3000</v>
      </c>
      <c r="B227" s="30"/>
      <c r="C227" s="172" t="s">
        <v>14</v>
      </c>
      <c r="D227" s="173" t="s">
        <v>68</v>
      </c>
      <c r="E227" s="174" t="s">
        <v>68</v>
      </c>
      <c r="F227" s="175">
        <f>'12. Current Rates'!$D$35</f>
        <v>29.5</v>
      </c>
      <c r="G227" s="166"/>
      <c r="H227" s="176" t="s">
        <v>14</v>
      </c>
      <c r="I227" s="173" t="str">
        <f>D227</f>
        <v>N/A</v>
      </c>
      <c r="J227" s="173" t="s">
        <v>68</v>
      </c>
      <c r="K227" s="233">
        <f>'11. 2005 Final Rate Schedule '!$F$24</f>
        <v>25.52210788880356</v>
      </c>
      <c r="L227" s="178"/>
      <c r="M227" s="583"/>
      <c r="N227" s="584"/>
    </row>
    <row r="228" spans="1:14" ht="13.5" thickBot="1">
      <c r="A228" s="11" t="s">
        <v>6</v>
      </c>
      <c r="B228" s="30"/>
      <c r="C228" s="179" t="s">
        <v>77</v>
      </c>
      <c r="D228" s="234">
        <f>A227</f>
        <v>3000</v>
      </c>
      <c r="E228" s="181">
        <f>'12. Current Rates'!$D$33</f>
        <v>5.35093295018654</v>
      </c>
      <c r="F228" s="182">
        <f>D228*E228</f>
        <v>16052.79885055962</v>
      </c>
      <c r="G228" s="166"/>
      <c r="H228" s="183" t="s">
        <v>77</v>
      </c>
      <c r="I228" s="184">
        <f>D228</f>
        <v>3000</v>
      </c>
      <c r="J228" s="235">
        <f>'11. 2005 Final Rate Schedule '!$F$25</f>
        <v>5.15040930111312</v>
      </c>
      <c r="K228" s="236">
        <f>I228*J228</f>
        <v>15451.22790333936</v>
      </c>
      <c r="L228" s="178"/>
      <c r="M228" s="599"/>
      <c r="N228" s="600"/>
    </row>
    <row r="229" spans="1:14" ht="13.5" thickBot="1">
      <c r="A229" s="232">
        <v>1000000</v>
      </c>
      <c r="B229" s="30"/>
      <c r="C229" s="601"/>
      <c r="D229" s="602"/>
      <c r="E229" s="186" t="s">
        <v>41</v>
      </c>
      <c r="F229" s="187">
        <f>SUM(F227:F228)</f>
        <v>16082.29885055962</v>
      </c>
      <c r="G229" s="166"/>
      <c r="H229" s="603"/>
      <c r="I229" s="604"/>
      <c r="J229" s="186" t="s">
        <v>70</v>
      </c>
      <c r="K229" s="188">
        <f>SUM(K227:K228)</f>
        <v>15476.750011228165</v>
      </c>
      <c r="L229" s="178"/>
      <c r="M229" s="189">
        <f>K229-F229</f>
        <v>-605.5488393314554</v>
      </c>
      <c r="N229" s="190">
        <f>M229/F229</f>
        <v>-0.03765312689176796</v>
      </c>
    </row>
    <row r="230" spans="1:14" ht="26.25">
      <c r="A230" s="85"/>
      <c r="B230" s="30"/>
      <c r="C230" s="179" t="s">
        <v>78</v>
      </c>
      <c r="D230" s="234">
        <f>A227</f>
        <v>3000</v>
      </c>
      <c r="E230" s="191">
        <v>3.91</v>
      </c>
      <c r="F230" s="192">
        <f>D230*E230</f>
        <v>11730</v>
      </c>
      <c r="G230" s="166"/>
      <c r="H230" s="183" t="s">
        <v>78</v>
      </c>
      <c r="I230" s="246">
        <f>D230</f>
        <v>3000</v>
      </c>
      <c r="J230" s="237">
        <f aca="true" t="shared" si="9" ref="J230:K232">E230</f>
        <v>3.91</v>
      </c>
      <c r="K230" s="238">
        <f t="shared" si="9"/>
        <v>11730</v>
      </c>
      <c r="L230" s="178"/>
      <c r="M230" s="239"/>
      <c r="N230" s="245"/>
    </row>
    <row r="231" spans="1:14" ht="26.25">
      <c r="A231" s="85"/>
      <c r="B231" s="30"/>
      <c r="C231" s="179" t="s">
        <v>71</v>
      </c>
      <c r="D231" s="234">
        <f>A229</f>
        <v>1000000</v>
      </c>
      <c r="E231" s="191">
        <v>0.0132</v>
      </c>
      <c r="F231" s="192">
        <f>D231*E231</f>
        <v>13200</v>
      </c>
      <c r="G231" s="166"/>
      <c r="H231" s="183" t="s">
        <v>71</v>
      </c>
      <c r="I231" s="234">
        <f>D231</f>
        <v>1000000</v>
      </c>
      <c r="J231" s="237">
        <f t="shared" si="9"/>
        <v>0.0132</v>
      </c>
      <c r="K231" s="238">
        <f t="shared" si="9"/>
        <v>13200</v>
      </c>
      <c r="L231" s="178"/>
      <c r="M231" s="585"/>
      <c r="N231" s="586"/>
    </row>
    <row r="232" spans="1:14" ht="27" thickBot="1">
      <c r="A232" s="85"/>
      <c r="B232" s="30"/>
      <c r="C232" s="195" t="s">
        <v>72</v>
      </c>
      <c r="D232" s="234">
        <f>A229</f>
        <v>1000000</v>
      </c>
      <c r="E232" s="196">
        <v>0.055</v>
      </c>
      <c r="F232" s="182">
        <f>D232*E232</f>
        <v>55000</v>
      </c>
      <c r="G232" s="166"/>
      <c r="H232" s="195" t="s">
        <v>72</v>
      </c>
      <c r="I232" s="240">
        <f>D232</f>
        <v>1000000</v>
      </c>
      <c r="J232" s="241">
        <f t="shared" si="9"/>
        <v>0.055</v>
      </c>
      <c r="K232" s="242">
        <f t="shared" si="9"/>
        <v>55000</v>
      </c>
      <c r="L232" s="178"/>
      <c r="M232" s="585"/>
      <c r="N232" s="586"/>
    </row>
    <row r="233" spans="1:14" ht="8.25" customHeight="1" thickBot="1">
      <c r="A233" s="85"/>
      <c r="B233" s="30"/>
      <c r="C233" s="587"/>
      <c r="D233" s="588"/>
      <c r="E233" s="588"/>
      <c r="F233" s="588"/>
      <c r="G233" s="166"/>
      <c r="H233" s="588"/>
      <c r="I233" s="588"/>
      <c r="J233" s="588"/>
      <c r="K233" s="589"/>
      <c r="L233" s="30"/>
      <c r="M233" s="85"/>
      <c r="N233" s="201"/>
    </row>
    <row r="234" spans="1:14" ht="13.5" thickBot="1">
      <c r="A234" s="93"/>
      <c r="B234" s="147"/>
      <c r="C234" s="202" t="s">
        <v>73</v>
      </c>
      <c r="D234" s="203"/>
      <c r="E234" s="203"/>
      <c r="F234" s="204">
        <f>SUM(F230:F232)+F229</f>
        <v>96012.29885055961</v>
      </c>
      <c r="G234" s="205"/>
      <c r="H234" s="596" t="s">
        <v>74</v>
      </c>
      <c r="I234" s="596"/>
      <c r="J234" s="596"/>
      <c r="K234" s="188">
        <f>SUM(K230:K232)+K229</f>
        <v>95406.75001122817</v>
      </c>
      <c r="L234" s="206"/>
      <c r="M234" s="189">
        <f>K234-F234</f>
        <v>-605.5488393314445</v>
      </c>
      <c r="N234" s="190">
        <f>M234/F234</f>
        <v>-0.006306992401816812</v>
      </c>
    </row>
    <row r="235" spans="6:14" ht="12.75">
      <c r="F235" s="178"/>
      <c r="K235" s="178"/>
      <c r="L235" s="215"/>
      <c r="M235" s="215"/>
      <c r="N235" s="228"/>
    </row>
    <row r="236" spans="3:13" ht="12.75">
      <c r="C236" s="52"/>
      <c r="E236" s="220"/>
      <c r="F236" s="215"/>
      <c r="H236" s="52"/>
      <c r="J236" s="220"/>
      <c r="K236" s="215"/>
      <c r="L236" s="215"/>
      <c r="M236" s="215"/>
    </row>
    <row r="237" spans="1:14" ht="22.5">
      <c r="A237" s="582" t="s">
        <v>223</v>
      </c>
      <c r="B237" s="582"/>
      <c r="C237" s="582"/>
      <c r="D237" s="582"/>
      <c r="E237" s="566"/>
      <c r="F237" s="161"/>
      <c r="G237" s="30"/>
      <c r="H237" s="161"/>
      <c r="I237" s="161"/>
      <c r="J237" s="161"/>
      <c r="K237" s="161"/>
      <c r="L237" s="161"/>
      <c r="M237" s="161"/>
      <c r="N237" s="161"/>
    </row>
    <row r="238" spans="1:11" ht="17.25">
      <c r="A238" s="54"/>
      <c r="B238" s="129"/>
      <c r="D238" s="30"/>
      <c r="E238" s="575"/>
      <c r="F238" s="575"/>
      <c r="K238" s="160"/>
    </row>
    <row r="239" spans="1:11" ht="15">
      <c r="A239" s="139" t="s">
        <v>79</v>
      </c>
      <c r="B239" s="162"/>
      <c r="C239" s="138"/>
      <c r="D239" s="68"/>
      <c r="E239" s="163"/>
      <c r="F239" s="163"/>
      <c r="G239" s="138"/>
      <c r="H239" s="138"/>
      <c r="I239" s="138"/>
      <c r="J239" s="138"/>
      <c r="K239" s="164"/>
    </row>
    <row r="240" spans="1:11" ht="15">
      <c r="A240" s="139" t="s">
        <v>37</v>
      </c>
      <c r="B240" s="162"/>
      <c r="C240" s="138"/>
      <c r="D240" s="68"/>
      <c r="E240" s="163"/>
      <c r="F240" s="163"/>
      <c r="G240" s="138"/>
      <c r="H240" s="138"/>
      <c r="I240" s="138"/>
      <c r="J240" s="138"/>
      <c r="K240" s="164"/>
    </row>
    <row r="241" spans="1:11" ht="15">
      <c r="A241" s="139" t="s">
        <v>39</v>
      </c>
      <c r="B241" s="162"/>
      <c r="C241" s="138"/>
      <c r="D241" s="68"/>
      <c r="E241" s="163"/>
      <c r="F241" s="163"/>
      <c r="G241" s="68"/>
      <c r="H241" s="138"/>
      <c r="I241" s="138"/>
      <c r="J241" s="138"/>
      <c r="K241" s="164"/>
    </row>
    <row r="242" spans="5:11" ht="15.75" thickBot="1">
      <c r="E242" s="575"/>
      <c r="F242" s="575"/>
      <c r="G242" s="30"/>
      <c r="K242" s="160"/>
    </row>
    <row r="243" spans="1:14" ht="13.5">
      <c r="A243" s="10"/>
      <c r="C243" s="617" t="s">
        <v>82</v>
      </c>
      <c r="D243" s="618"/>
      <c r="E243" s="618"/>
      <c r="F243" s="619"/>
      <c r="G243" s="165"/>
      <c r="H243" s="617" t="s">
        <v>83</v>
      </c>
      <c r="I243" s="618"/>
      <c r="J243" s="618"/>
      <c r="K243" s="618"/>
      <c r="L243" s="618"/>
      <c r="M243" s="618"/>
      <c r="N243" s="619"/>
    </row>
    <row r="244" spans="1:14" ht="13.5" thickBot="1">
      <c r="A244"/>
      <c r="C244" s="620"/>
      <c r="D244" s="621"/>
      <c r="E244" s="621"/>
      <c r="F244" s="622"/>
      <c r="G244" s="166"/>
      <c r="H244" s="620"/>
      <c r="I244" s="621"/>
      <c r="J244" s="621"/>
      <c r="K244" s="621"/>
      <c r="L244" s="621"/>
      <c r="M244" s="621"/>
      <c r="N244" s="622"/>
    </row>
    <row r="245" spans="1:14" ht="63.75" customHeight="1" thickBot="1">
      <c r="A245" s="167" t="s">
        <v>65</v>
      </c>
      <c r="B245" s="168"/>
      <c r="C245" s="609"/>
      <c r="D245" s="590" t="s">
        <v>6</v>
      </c>
      <c r="E245" s="592" t="s">
        <v>66</v>
      </c>
      <c r="F245" s="594" t="s">
        <v>179</v>
      </c>
      <c r="G245" s="165"/>
      <c r="H245" s="169"/>
      <c r="I245" s="590" t="s">
        <v>6</v>
      </c>
      <c r="J245" s="592" t="s">
        <v>66</v>
      </c>
      <c r="K245" s="594" t="s">
        <v>179</v>
      </c>
      <c r="L245" s="168"/>
      <c r="M245" s="607" t="s">
        <v>178</v>
      </c>
      <c r="N245" s="597" t="s">
        <v>67</v>
      </c>
    </row>
    <row r="246" spans="1:14" ht="13.5" thickBot="1">
      <c r="A246" s="170">
        <v>100</v>
      </c>
      <c r="B246" s="30"/>
      <c r="C246" s="610"/>
      <c r="D246" s="591"/>
      <c r="E246" s="593"/>
      <c r="F246" s="595"/>
      <c r="G246" s="166"/>
      <c r="H246" s="30"/>
      <c r="I246" s="605"/>
      <c r="J246" s="606"/>
      <c r="K246" s="595"/>
      <c r="L246" s="31"/>
      <c r="M246" s="608"/>
      <c r="N246" s="598"/>
    </row>
    <row r="247" spans="1:14" ht="26.25">
      <c r="A247" s="171"/>
      <c r="B247" s="30"/>
      <c r="C247" s="435" t="s">
        <v>14</v>
      </c>
      <c r="D247" s="173" t="s">
        <v>68</v>
      </c>
      <c r="E247" s="174" t="s">
        <v>68</v>
      </c>
      <c r="F247" s="488">
        <f>'12. Current Rates'!D63</f>
        <v>13.31</v>
      </c>
      <c r="G247" s="166"/>
      <c r="H247" s="438" t="s">
        <v>14</v>
      </c>
      <c r="I247" s="173" t="s">
        <v>68</v>
      </c>
      <c r="J247" s="173" t="s">
        <v>68</v>
      </c>
      <c r="K247" s="490">
        <f>'11. 2005 Final Rate Schedule '!F50</f>
        <v>11.391009552391258</v>
      </c>
      <c r="L247" s="178"/>
      <c r="M247" s="583"/>
      <c r="N247" s="584"/>
    </row>
    <row r="248" spans="1:14" ht="13.5" thickBot="1">
      <c r="A248" s="85"/>
      <c r="B248" s="30"/>
      <c r="C248" s="436" t="s">
        <v>69</v>
      </c>
      <c r="D248" s="234">
        <f>A246</f>
        <v>100</v>
      </c>
      <c r="E248" s="487">
        <f>'12. Current Rates'!D61</f>
        <v>0.01926605725942607</v>
      </c>
      <c r="F248" s="338">
        <f>D248*E248</f>
        <v>1.926605725942607</v>
      </c>
      <c r="G248" s="166"/>
      <c r="H248" s="439" t="s">
        <v>69</v>
      </c>
      <c r="I248" s="180">
        <f>D248</f>
        <v>100</v>
      </c>
      <c r="J248" s="489">
        <f>'11. 2005 Final Rate Schedule '!F51</f>
        <v>0.022034148231111744</v>
      </c>
      <c r="K248" s="236">
        <f>I248*J248</f>
        <v>2.2034148231111743</v>
      </c>
      <c r="L248" s="178"/>
      <c r="M248" s="599"/>
      <c r="N248" s="600"/>
    </row>
    <row r="249" spans="1:14" ht="13.5" thickBot="1">
      <c r="A249" s="85"/>
      <c r="B249" s="30"/>
      <c r="C249" s="615"/>
      <c r="D249" s="616"/>
      <c r="E249" s="186" t="s">
        <v>41</v>
      </c>
      <c r="F249" s="357">
        <f>SUM(F247:F248)</f>
        <v>15.236605725942608</v>
      </c>
      <c r="G249" s="166"/>
      <c r="H249" s="603"/>
      <c r="I249" s="604"/>
      <c r="J249" s="186" t="s">
        <v>70</v>
      </c>
      <c r="K249" s="188">
        <f>SUM(K247:K248)</f>
        <v>13.594424375502433</v>
      </c>
      <c r="L249" s="178"/>
      <c r="M249" s="189">
        <f>K249-F249</f>
        <v>-1.6421813504401754</v>
      </c>
      <c r="N249" s="190">
        <f>M249/F249</f>
        <v>-0.10777868640678384</v>
      </c>
    </row>
    <row r="250" spans="1:14" ht="26.25">
      <c r="A250" s="85"/>
      <c r="B250" s="30"/>
      <c r="C250" s="436" t="s">
        <v>71</v>
      </c>
      <c r="D250" s="180">
        <f>A246</f>
        <v>100</v>
      </c>
      <c r="E250" s="425">
        <v>0.0239</v>
      </c>
      <c r="F250" s="358">
        <f>D250*E250</f>
        <v>2.39</v>
      </c>
      <c r="G250" s="166"/>
      <c r="H250" s="439" t="s">
        <v>71</v>
      </c>
      <c r="I250" s="180">
        <f aca="true" t="shared" si="10" ref="I250:K251">D250</f>
        <v>100</v>
      </c>
      <c r="J250" s="431">
        <f t="shared" si="10"/>
        <v>0.0239</v>
      </c>
      <c r="K250" s="238">
        <f t="shared" si="10"/>
        <v>2.39</v>
      </c>
      <c r="L250" s="178"/>
      <c r="M250" s="583"/>
      <c r="N250" s="584"/>
    </row>
    <row r="251" spans="1:14" ht="27" thickBot="1">
      <c r="A251" s="85"/>
      <c r="B251" s="30"/>
      <c r="C251" s="437" t="s">
        <v>72</v>
      </c>
      <c r="D251" s="180">
        <f>A246</f>
        <v>100</v>
      </c>
      <c r="E251" s="426">
        <v>0.047</v>
      </c>
      <c r="F251" s="338">
        <f>D251*E251</f>
        <v>4.7</v>
      </c>
      <c r="G251" s="166"/>
      <c r="H251" s="440" t="s">
        <v>72</v>
      </c>
      <c r="I251" s="432">
        <f t="shared" si="10"/>
        <v>100</v>
      </c>
      <c r="J251" s="433">
        <f t="shared" si="10"/>
        <v>0.047</v>
      </c>
      <c r="K251" s="242">
        <f t="shared" si="10"/>
        <v>4.7</v>
      </c>
      <c r="L251" s="178"/>
      <c r="M251" s="585"/>
      <c r="N251" s="586"/>
    </row>
    <row r="252" spans="1:14" ht="13.5" thickBot="1">
      <c r="A252" s="85"/>
      <c r="B252" s="30"/>
      <c r="C252" s="587"/>
      <c r="D252" s="588"/>
      <c r="E252" s="588"/>
      <c r="F252" s="589"/>
      <c r="G252" s="166"/>
      <c r="H252" s="588"/>
      <c r="I252" s="588"/>
      <c r="J252" s="588"/>
      <c r="K252" s="589"/>
      <c r="L252" s="30"/>
      <c r="M252" s="85"/>
      <c r="N252" s="201"/>
    </row>
    <row r="253" spans="1:14" ht="13.5" thickBot="1">
      <c r="A253" s="93"/>
      <c r="B253" s="147"/>
      <c r="C253" s="202" t="s">
        <v>73</v>
      </c>
      <c r="D253" s="203"/>
      <c r="E253" s="203"/>
      <c r="F253" s="188">
        <f>SUM(F250:F251,F249)</f>
        <v>22.326605725942606</v>
      </c>
      <c r="G253" s="205"/>
      <c r="H253" s="596" t="s">
        <v>74</v>
      </c>
      <c r="I253" s="596"/>
      <c r="J253" s="596"/>
      <c r="K253" s="188">
        <f>SUM(K249:K251)</f>
        <v>20.684424375502434</v>
      </c>
      <c r="L253" s="206"/>
      <c r="M253" s="189">
        <f>K253-F253</f>
        <v>-1.6421813504401719</v>
      </c>
      <c r="N253" s="190">
        <f>M253/F253</f>
        <v>-0.07355266495041045</v>
      </c>
    </row>
    <row r="254" ht="12.75">
      <c r="K254" s="160"/>
    </row>
    <row r="255" spans="6:11" ht="13.5" thickBot="1">
      <c r="F255" s="160"/>
      <c r="K255" s="160"/>
    </row>
    <row r="256" spans="1:14" ht="63.75" customHeight="1" thickBot="1">
      <c r="A256" s="167" t="s">
        <v>65</v>
      </c>
      <c r="B256" s="168"/>
      <c r="C256" s="609"/>
      <c r="D256" s="590" t="s">
        <v>6</v>
      </c>
      <c r="E256" s="592" t="s">
        <v>66</v>
      </c>
      <c r="F256" s="594" t="s">
        <v>179</v>
      </c>
      <c r="G256" s="165"/>
      <c r="H256" s="169"/>
      <c r="I256" s="590" t="s">
        <v>6</v>
      </c>
      <c r="J256" s="592" t="s">
        <v>66</v>
      </c>
      <c r="K256" s="594" t="s">
        <v>179</v>
      </c>
      <c r="L256" s="168"/>
      <c r="M256" s="607" t="s">
        <v>178</v>
      </c>
      <c r="N256" s="597" t="s">
        <v>67</v>
      </c>
    </row>
    <row r="257" spans="1:14" ht="13.5" thickBot="1">
      <c r="A257" s="170">
        <v>250</v>
      </c>
      <c r="B257" s="30"/>
      <c r="C257" s="610"/>
      <c r="D257" s="591"/>
      <c r="E257" s="593"/>
      <c r="F257" s="595"/>
      <c r="G257" s="166"/>
      <c r="H257" s="30"/>
      <c r="I257" s="605"/>
      <c r="J257" s="606"/>
      <c r="K257" s="595"/>
      <c r="L257" s="31"/>
      <c r="M257" s="608"/>
      <c r="N257" s="598"/>
    </row>
    <row r="258" spans="1:14" ht="27">
      <c r="A258" s="171"/>
      <c r="B258" s="30"/>
      <c r="C258" s="172" t="s">
        <v>14</v>
      </c>
      <c r="D258" s="173" t="s">
        <v>68</v>
      </c>
      <c r="E258" s="174" t="s">
        <v>68</v>
      </c>
      <c r="F258" s="233">
        <f>F247</f>
        <v>13.31</v>
      </c>
      <c r="G258" s="166"/>
      <c r="H258" s="176" t="s">
        <v>14</v>
      </c>
      <c r="I258" s="207" t="str">
        <f>D258</f>
        <v>N/A</v>
      </c>
      <c r="J258" s="177" t="s">
        <v>68</v>
      </c>
      <c r="K258" s="492">
        <f>K247</f>
        <v>11.391009552391258</v>
      </c>
      <c r="L258" s="178"/>
      <c r="M258" s="583"/>
      <c r="N258" s="584"/>
    </row>
    <row r="259" spans="1:14" ht="13.5" thickBot="1">
      <c r="A259" s="85"/>
      <c r="B259" s="30"/>
      <c r="C259" s="179" t="s">
        <v>69</v>
      </c>
      <c r="D259" s="234">
        <f>A257</f>
        <v>250</v>
      </c>
      <c r="E259" s="181">
        <f>E248</f>
        <v>0.01926605725942607</v>
      </c>
      <c r="F259" s="338">
        <f>D259*E259</f>
        <v>4.8165143148565175</v>
      </c>
      <c r="G259" s="166"/>
      <c r="H259" s="183" t="s">
        <v>69</v>
      </c>
      <c r="I259" s="184">
        <f>D259</f>
        <v>250</v>
      </c>
      <c r="J259" s="493">
        <f>J248</f>
        <v>0.022034148231111744</v>
      </c>
      <c r="K259" s="185">
        <f>I259*J259</f>
        <v>5.508537057777936</v>
      </c>
      <c r="L259" s="178"/>
      <c r="M259" s="599"/>
      <c r="N259" s="600"/>
    </row>
    <row r="260" spans="1:14" ht="13.5" thickBot="1">
      <c r="A260" s="85"/>
      <c r="B260" s="30"/>
      <c r="C260" s="601"/>
      <c r="D260" s="602"/>
      <c r="E260" s="186" t="s">
        <v>41</v>
      </c>
      <c r="F260" s="357">
        <f>SUM(F258:F259)</f>
        <v>18.126514314856518</v>
      </c>
      <c r="G260" s="166"/>
      <c r="H260" s="603"/>
      <c r="I260" s="604"/>
      <c r="J260" s="186" t="s">
        <v>70</v>
      </c>
      <c r="K260" s="188">
        <f>SUM(K258:K259)</f>
        <v>16.899546610169196</v>
      </c>
      <c r="L260" s="178"/>
      <c r="M260" s="189">
        <f>K260-F260</f>
        <v>-1.226967704687322</v>
      </c>
      <c r="N260" s="190">
        <f>M260/F260</f>
        <v>-0.06768911459616356</v>
      </c>
    </row>
    <row r="261" spans="1:14" ht="26.25">
      <c r="A261" s="85"/>
      <c r="B261" s="30"/>
      <c r="C261" s="179" t="s">
        <v>71</v>
      </c>
      <c r="D261" s="180">
        <f>A257</f>
        <v>250</v>
      </c>
      <c r="E261" s="425">
        <v>0.0239</v>
      </c>
      <c r="F261" s="358">
        <f>D261*E261</f>
        <v>5.9750000000000005</v>
      </c>
      <c r="G261" s="166"/>
      <c r="H261" s="183" t="s">
        <v>71</v>
      </c>
      <c r="I261" s="184">
        <f aca="true" t="shared" si="11" ref="I261:K262">D261</f>
        <v>250</v>
      </c>
      <c r="J261" s="427">
        <f t="shared" si="11"/>
        <v>0.0239</v>
      </c>
      <c r="K261" s="194">
        <f t="shared" si="11"/>
        <v>5.9750000000000005</v>
      </c>
      <c r="L261" s="178"/>
      <c r="M261" s="583"/>
      <c r="N261" s="584"/>
    </row>
    <row r="262" spans="1:14" ht="27" thickBot="1">
      <c r="A262" s="85"/>
      <c r="B262" s="30"/>
      <c r="C262" s="195" t="s">
        <v>72</v>
      </c>
      <c r="D262" s="180">
        <f>A257</f>
        <v>250</v>
      </c>
      <c r="E262" s="426">
        <v>0.047</v>
      </c>
      <c r="F262" s="338">
        <f>D262*E262</f>
        <v>11.75</v>
      </c>
      <c r="G262" s="166"/>
      <c r="H262" s="197" t="s">
        <v>72</v>
      </c>
      <c r="I262" s="198">
        <f t="shared" si="11"/>
        <v>250</v>
      </c>
      <c r="J262" s="428">
        <f t="shared" si="11"/>
        <v>0.047</v>
      </c>
      <c r="K262" s="200">
        <f t="shared" si="11"/>
        <v>11.75</v>
      </c>
      <c r="L262" s="178"/>
      <c r="M262" s="585"/>
      <c r="N262" s="586"/>
    </row>
    <row r="263" spans="1:14" ht="13.5" thickBot="1">
      <c r="A263" s="85"/>
      <c r="B263" s="30"/>
      <c r="C263" s="587"/>
      <c r="D263" s="588"/>
      <c r="E263" s="588"/>
      <c r="F263" s="589"/>
      <c r="G263" s="166"/>
      <c r="H263" s="588"/>
      <c r="I263" s="588"/>
      <c r="J263" s="588"/>
      <c r="K263" s="589"/>
      <c r="L263" s="30"/>
      <c r="M263" s="85"/>
      <c r="N263" s="201"/>
    </row>
    <row r="264" spans="1:14" ht="13.5" thickBot="1">
      <c r="A264" s="93"/>
      <c r="B264" s="147"/>
      <c r="C264" s="202" t="s">
        <v>73</v>
      </c>
      <c r="D264" s="203"/>
      <c r="E264" s="203"/>
      <c r="F264" s="188">
        <f>SUM(F261:F262,F260)</f>
        <v>35.851514314856516</v>
      </c>
      <c r="G264" s="205"/>
      <c r="H264" s="596" t="s">
        <v>74</v>
      </c>
      <c r="I264" s="596"/>
      <c r="J264" s="596"/>
      <c r="K264" s="188">
        <f>SUM(K260:K262)</f>
        <v>34.6245466101692</v>
      </c>
      <c r="L264" s="206"/>
      <c r="M264" s="189">
        <f>K264-F264</f>
        <v>-1.2269677046873184</v>
      </c>
      <c r="N264" s="190">
        <f>M264/F264</f>
        <v>-0.03422359496203693</v>
      </c>
    </row>
    <row r="265" ht="12.75">
      <c r="K265" s="160"/>
    </row>
    <row r="266" spans="1:14" ht="14.25" thickBot="1">
      <c r="A266" s="46"/>
      <c r="B266" s="11"/>
      <c r="D266" s="9"/>
      <c r="E266" s="9"/>
      <c r="F266" s="208"/>
      <c r="I266" s="9"/>
      <c r="J266" s="9"/>
      <c r="K266" s="209"/>
      <c r="L266" s="11"/>
      <c r="M266" s="11"/>
      <c r="N266" s="210"/>
    </row>
    <row r="267" spans="1:14" ht="60.75" customHeight="1" thickBot="1">
      <c r="A267" s="167" t="s">
        <v>65</v>
      </c>
      <c r="B267" s="168"/>
      <c r="C267" s="613"/>
      <c r="D267" s="590" t="s">
        <v>6</v>
      </c>
      <c r="E267" s="592" t="s">
        <v>66</v>
      </c>
      <c r="F267" s="594" t="s">
        <v>179</v>
      </c>
      <c r="G267" s="165"/>
      <c r="H267" s="169"/>
      <c r="I267" s="590" t="s">
        <v>6</v>
      </c>
      <c r="J267" s="592" t="s">
        <v>66</v>
      </c>
      <c r="K267" s="594" t="s">
        <v>179</v>
      </c>
      <c r="L267" s="168"/>
      <c r="M267" s="607" t="s">
        <v>178</v>
      </c>
      <c r="N267" s="597" t="s">
        <v>67</v>
      </c>
    </row>
    <row r="268" spans="1:14" ht="13.5" thickBot="1">
      <c r="A268" s="170">
        <v>500</v>
      </c>
      <c r="B268" s="30"/>
      <c r="C268" s="614"/>
      <c r="D268" s="591"/>
      <c r="E268" s="593"/>
      <c r="F268" s="595"/>
      <c r="G268" s="166"/>
      <c r="H268" s="30"/>
      <c r="I268" s="605"/>
      <c r="J268" s="606"/>
      <c r="K268" s="595"/>
      <c r="L268" s="31"/>
      <c r="M268" s="608"/>
      <c r="N268" s="598"/>
    </row>
    <row r="269" spans="1:14" ht="27">
      <c r="A269" s="171"/>
      <c r="B269" s="30"/>
      <c r="C269" s="172" t="s">
        <v>14</v>
      </c>
      <c r="D269" s="173" t="s">
        <v>68</v>
      </c>
      <c r="E269" s="174" t="s">
        <v>68</v>
      </c>
      <c r="F269" s="233">
        <f>F258</f>
        <v>13.31</v>
      </c>
      <c r="G269" s="166"/>
      <c r="H269" s="176" t="s">
        <v>14</v>
      </c>
      <c r="I269" s="207" t="str">
        <f>D269</f>
        <v>N/A</v>
      </c>
      <c r="J269" s="177" t="s">
        <v>68</v>
      </c>
      <c r="K269" s="492">
        <f>K258</f>
        <v>11.391009552391258</v>
      </c>
      <c r="L269" s="178"/>
      <c r="M269" s="583"/>
      <c r="N269" s="584"/>
    </row>
    <row r="270" spans="1:14" ht="13.5" thickBot="1">
      <c r="A270" s="85"/>
      <c r="B270" s="30"/>
      <c r="C270" s="179" t="s">
        <v>69</v>
      </c>
      <c r="D270" s="234">
        <f>A268</f>
        <v>500</v>
      </c>
      <c r="E270" s="181">
        <f>E259</f>
        <v>0.01926605725942607</v>
      </c>
      <c r="F270" s="338">
        <f>D270*E270</f>
        <v>9.633028629713035</v>
      </c>
      <c r="G270" s="166"/>
      <c r="H270" s="183" t="s">
        <v>69</v>
      </c>
      <c r="I270" s="359">
        <f>D270</f>
        <v>500</v>
      </c>
      <c r="J270" s="493">
        <f>J259</f>
        <v>0.022034148231111744</v>
      </c>
      <c r="K270" s="185">
        <f>I270*J270</f>
        <v>11.017074115555872</v>
      </c>
      <c r="L270" s="178"/>
      <c r="M270" s="599"/>
      <c r="N270" s="600"/>
    </row>
    <row r="271" spans="1:14" ht="13.5" thickBot="1">
      <c r="A271" s="85"/>
      <c r="B271" s="30"/>
      <c r="C271" s="601"/>
      <c r="D271" s="612"/>
      <c r="E271" s="186" t="s">
        <v>41</v>
      </c>
      <c r="F271" s="357">
        <f>SUM(F269:F270)</f>
        <v>22.943028629713034</v>
      </c>
      <c r="G271" s="166"/>
      <c r="H271" s="603"/>
      <c r="I271" s="604"/>
      <c r="J271" s="186" t="s">
        <v>70</v>
      </c>
      <c r="K271" s="188">
        <f>SUM(K269:K270)</f>
        <v>22.408083667947132</v>
      </c>
      <c r="L271" s="178"/>
      <c r="M271" s="189">
        <f>K271-F271</f>
        <v>-0.5349449617659019</v>
      </c>
      <c r="N271" s="190">
        <f>M271/F271</f>
        <v>-0.023316231278773105</v>
      </c>
    </row>
    <row r="272" spans="1:14" ht="26.25">
      <c r="A272" s="85"/>
      <c r="B272" s="30"/>
      <c r="C272" s="179" t="s">
        <v>71</v>
      </c>
      <c r="D272" s="180">
        <f>A268</f>
        <v>500</v>
      </c>
      <c r="E272" s="425">
        <v>0.0239</v>
      </c>
      <c r="F272" s="358">
        <f>D272*E272</f>
        <v>11.950000000000001</v>
      </c>
      <c r="G272" s="166"/>
      <c r="H272" s="183" t="s">
        <v>71</v>
      </c>
      <c r="I272" s="184">
        <f aca="true" t="shared" si="12" ref="I272:K273">D272</f>
        <v>500</v>
      </c>
      <c r="J272" s="427">
        <f t="shared" si="12"/>
        <v>0.0239</v>
      </c>
      <c r="K272" s="194">
        <f t="shared" si="12"/>
        <v>11.950000000000001</v>
      </c>
      <c r="L272" s="178"/>
      <c r="M272" s="583"/>
      <c r="N272" s="584"/>
    </row>
    <row r="273" spans="1:14" ht="27" thickBot="1">
      <c r="A273" s="85"/>
      <c r="B273" s="30"/>
      <c r="C273" s="195" t="s">
        <v>72</v>
      </c>
      <c r="D273" s="180">
        <f>A268</f>
        <v>500</v>
      </c>
      <c r="E273" s="426">
        <v>0.047</v>
      </c>
      <c r="F273" s="338">
        <f>D273*E273</f>
        <v>23.5</v>
      </c>
      <c r="G273" s="166"/>
      <c r="H273" s="197" t="s">
        <v>72</v>
      </c>
      <c r="I273" s="198">
        <f t="shared" si="12"/>
        <v>500</v>
      </c>
      <c r="J273" s="428">
        <f t="shared" si="12"/>
        <v>0.047</v>
      </c>
      <c r="K273" s="200">
        <f t="shared" si="12"/>
        <v>23.5</v>
      </c>
      <c r="L273" s="178"/>
      <c r="M273" s="585"/>
      <c r="N273" s="586"/>
    </row>
    <row r="274" spans="1:14" ht="13.5" thickBot="1">
      <c r="A274" s="85"/>
      <c r="B274" s="30"/>
      <c r="C274" s="587"/>
      <c r="D274" s="588"/>
      <c r="E274" s="588"/>
      <c r="F274" s="589"/>
      <c r="G274" s="166"/>
      <c r="H274" s="588"/>
      <c r="I274" s="588"/>
      <c r="J274" s="588"/>
      <c r="K274" s="589"/>
      <c r="L274" s="30"/>
      <c r="M274" s="85"/>
      <c r="N274" s="201"/>
    </row>
    <row r="275" spans="1:14" ht="13.5" thickBot="1">
      <c r="A275" s="93"/>
      <c r="B275" s="147"/>
      <c r="C275" s="202" t="s">
        <v>73</v>
      </c>
      <c r="D275" s="203"/>
      <c r="E275" s="203"/>
      <c r="F275" s="188">
        <f>SUM(F272:F273,F271)</f>
        <v>58.39302862971304</v>
      </c>
      <c r="G275" s="205"/>
      <c r="H275" s="596" t="s">
        <v>74</v>
      </c>
      <c r="I275" s="596"/>
      <c r="J275" s="596"/>
      <c r="K275" s="188">
        <f>SUM(K271:K273)</f>
        <v>57.858083667947135</v>
      </c>
      <c r="L275" s="206"/>
      <c r="M275" s="189">
        <f>K275-F275</f>
        <v>-0.5349449617659019</v>
      </c>
      <c r="N275" s="190">
        <f>M275/F275</f>
        <v>-0.00916111005575925</v>
      </c>
    </row>
    <row r="276" spans="1:14" ht="13.5">
      <c r="A276" s="46"/>
      <c r="B276" s="11"/>
      <c r="D276" s="9"/>
      <c r="E276" s="9"/>
      <c r="F276" s="208"/>
      <c r="I276" s="9"/>
      <c r="J276" s="9"/>
      <c r="K276" s="209"/>
      <c r="L276" s="11"/>
      <c r="M276" s="11"/>
      <c r="N276" s="210"/>
    </row>
    <row r="277" spans="1:14" ht="13.5" thickBot="1">
      <c r="A277" s="11"/>
      <c r="D277" s="211"/>
      <c r="E277" s="9"/>
      <c r="F277" s="208"/>
      <c r="I277" s="9"/>
      <c r="J277" s="9"/>
      <c r="K277" s="209"/>
      <c r="L277" s="11"/>
      <c r="M277" s="11"/>
      <c r="N277" s="212"/>
    </row>
    <row r="278" spans="1:14" ht="57" customHeight="1" thickBot="1">
      <c r="A278" s="167" t="s">
        <v>65</v>
      </c>
      <c r="B278" s="168"/>
      <c r="C278" s="609"/>
      <c r="D278" s="590" t="s">
        <v>6</v>
      </c>
      <c r="E278" s="592" t="s">
        <v>66</v>
      </c>
      <c r="F278" s="594" t="s">
        <v>179</v>
      </c>
      <c r="G278" s="165"/>
      <c r="H278" s="169"/>
      <c r="I278" s="590" t="s">
        <v>6</v>
      </c>
      <c r="J278" s="592" t="s">
        <v>66</v>
      </c>
      <c r="K278" s="594" t="s">
        <v>179</v>
      </c>
      <c r="L278" s="168"/>
      <c r="M278" s="607" t="s">
        <v>178</v>
      </c>
      <c r="N278" s="597" t="s">
        <v>67</v>
      </c>
    </row>
    <row r="279" spans="1:14" ht="13.5" thickBot="1">
      <c r="A279" s="170">
        <v>750</v>
      </c>
      <c r="B279" s="30"/>
      <c r="C279" s="610"/>
      <c r="D279" s="591"/>
      <c r="E279" s="593"/>
      <c r="F279" s="595"/>
      <c r="G279" s="166"/>
      <c r="H279" s="30"/>
      <c r="I279" s="605"/>
      <c r="J279" s="606"/>
      <c r="K279" s="595"/>
      <c r="L279" s="31"/>
      <c r="M279" s="608"/>
      <c r="N279" s="598"/>
    </row>
    <row r="280" spans="1:14" ht="27">
      <c r="A280" s="171"/>
      <c r="B280" s="30"/>
      <c r="C280" s="172" t="s">
        <v>14</v>
      </c>
      <c r="D280" s="173" t="s">
        <v>68</v>
      </c>
      <c r="E280" s="174" t="s">
        <v>68</v>
      </c>
      <c r="F280" s="233">
        <f>F269</f>
        <v>13.31</v>
      </c>
      <c r="G280" s="166"/>
      <c r="H280" s="176" t="s">
        <v>14</v>
      </c>
      <c r="I280" s="207" t="str">
        <f>D280</f>
        <v>N/A</v>
      </c>
      <c r="J280" s="177" t="s">
        <v>68</v>
      </c>
      <c r="K280" s="492">
        <f>K269</f>
        <v>11.391009552391258</v>
      </c>
      <c r="L280" s="178"/>
      <c r="M280" s="583"/>
      <c r="N280" s="584"/>
    </row>
    <row r="281" spans="1:14" ht="13.5" thickBot="1">
      <c r="A281" s="85"/>
      <c r="B281" s="30"/>
      <c r="C281" s="179" t="s">
        <v>69</v>
      </c>
      <c r="D281" s="234">
        <f>A279</f>
        <v>750</v>
      </c>
      <c r="E281" s="181">
        <f>E270</f>
        <v>0.01926605725942607</v>
      </c>
      <c r="F281" s="338">
        <f>D281*E281</f>
        <v>14.449542944569552</v>
      </c>
      <c r="G281" s="166"/>
      <c r="H281" s="183" t="s">
        <v>69</v>
      </c>
      <c r="I281" s="359">
        <f>D281</f>
        <v>750</v>
      </c>
      <c r="J281" s="493">
        <f>J270</f>
        <v>0.022034148231111744</v>
      </c>
      <c r="K281" s="185">
        <f>I281*J281</f>
        <v>16.525611173333807</v>
      </c>
      <c r="L281" s="178"/>
      <c r="M281" s="599"/>
      <c r="N281" s="600"/>
    </row>
    <row r="282" spans="1:14" ht="13.5" thickBot="1">
      <c r="A282" s="85"/>
      <c r="B282" s="30"/>
      <c r="C282" s="601"/>
      <c r="D282" s="602"/>
      <c r="E282" s="186" t="s">
        <v>41</v>
      </c>
      <c r="F282" s="357">
        <f>SUM(F280:F281)</f>
        <v>27.759542944569553</v>
      </c>
      <c r="G282" s="166"/>
      <c r="H282" s="603"/>
      <c r="I282" s="604"/>
      <c r="J282" s="186" t="s">
        <v>70</v>
      </c>
      <c r="K282" s="188">
        <f>SUM(K280:K281)</f>
        <v>27.916620725725068</v>
      </c>
      <c r="L282" s="178"/>
      <c r="M282" s="189">
        <f>K282-F282</f>
        <v>0.15707778115551463</v>
      </c>
      <c r="N282" s="190">
        <f>M282/F282</f>
        <v>0.00565851467616627</v>
      </c>
    </row>
    <row r="283" spans="1:14" ht="26.25">
      <c r="A283" s="85"/>
      <c r="B283" s="30"/>
      <c r="C283" s="179" t="s">
        <v>71</v>
      </c>
      <c r="D283" s="180">
        <f>A279</f>
        <v>750</v>
      </c>
      <c r="E283" s="191">
        <v>0.0239</v>
      </c>
      <c r="F283" s="358">
        <f>D283*E283</f>
        <v>17.925</v>
      </c>
      <c r="G283" s="166"/>
      <c r="H283" s="183" t="s">
        <v>71</v>
      </c>
      <c r="I283" s="184">
        <f aca="true" t="shared" si="13" ref="I283:K284">D283</f>
        <v>750</v>
      </c>
      <c r="J283" s="193">
        <f t="shared" si="13"/>
        <v>0.0239</v>
      </c>
      <c r="K283" s="194">
        <f t="shared" si="13"/>
        <v>17.925</v>
      </c>
      <c r="L283" s="178"/>
      <c r="M283" s="583"/>
      <c r="N283" s="584"/>
    </row>
    <row r="284" spans="1:14" ht="27" thickBot="1">
      <c r="A284" s="85"/>
      <c r="B284" s="30"/>
      <c r="C284" s="195" t="s">
        <v>72</v>
      </c>
      <c r="D284" s="180">
        <f>A279</f>
        <v>750</v>
      </c>
      <c r="E284" s="196">
        <v>0.047</v>
      </c>
      <c r="F284" s="338">
        <f>D284*E284</f>
        <v>35.25</v>
      </c>
      <c r="G284" s="166"/>
      <c r="H284" s="197" t="s">
        <v>72</v>
      </c>
      <c r="I284" s="198">
        <f t="shared" si="13"/>
        <v>750</v>
      </c>
      <c r="J284" s="199">
        <f t="shared" si="13"/>
        <v>0.047</v>
      </c>
      <c r="K284" s="200">
        <f t="shared" si="13"/>
        <v>35.25</v>
      </c>
      <c r="L284" s="178"/>
      <c r="M284" s="585"/>
      <c r="N284" s="586"/>
    </row>
    <row r="285" spans="1:14" ht="13.5" thickBot="1">
      <c r="A285" s="85"/>
      <c r="B285" s="30"/>
      <c r="C285" s="587"/>
      <c r="D285" s="588"/>
      <c r="E285" s="588"/>
      <c r="F285" s="589"/>
      <c r="G285" s="166"/>
      <c r="H285" s="588"/>
      <c r="I285" s="588"/>
      <c r="J285" s="588"/>
      <c r="K285" s="589"/>
      <c r="L285" s="30"/>
      <c r="M285" s="85"/>
      <c r="N285" s="201"/>
    </row>
    <row r="286" spans="1:14" ht="13.5" thickBot="1">
      <c r="A286" s="93"/>
      <c r="B286" s="147"/>
      <c r="C286" s="202" t="s">
        <v>73</v>
      </c>
      <c r="D286" s="203"/>
      <c r="E286" s="203"/>
      <c r="F286" s="188">
        <f>SUM(F283:F284,F282)</f>
        <v>80.93454294456956</v>
      </c>
      <c r="G286" s="205"/>
      <c r="H286" s="596" t="s">
        <v>74</v>
      </c>
      <c r="I286" s="596"/>
      <c r="J286" s="596"/>
      <c r="K286" s="188">
        <f>SUM(K282:K284)</f>
        <v>81.09162072572506</v>
      </c>
      <c r="L286" s="206"/>
      <c r="M286" s="189">
        <f>K286-F286</f>
        <v>0.15707778115550752</v>
      </c>
      <c r="N286" s="190">
        <f>M286/F286</f>
        <v>0.001940800249691741</v>
      </c>
    </row>
    <row r="287" spans="1:14" ht="12.75">
      <c r="A287" s="11"/>
      <c r="D287" s="211"/>
      <c r="E287" s="9"/>
      <c r="F287" s="208"/>
      <c r="I287" s="9"/>
      <c r="J287" s="9"/>
      <c r="K287" s="209"/>
      <c r="L287" s="11"/>
      <c r="M287" s="11"/>
      <c r="N287" s="212"/>
    </row>
    <row r="288" spans="1:13" ht="15.75" thickBot="1">
      <c r="A288" s="213"/>
      <c r="B288" s="30"/>
      <c r="C288" s="131"/>
      <c r="D288" s="29"/>
      <c r="E288" s="29"/>
      <c r="F288" s="214"/>
      <c r="H288" s="131"/>
      <c r="I288" s="29"/>
      <c r="J288" s="29"/>
      <c r="K288" s="215"/>
      <c r="L288" s="215"/>
      <c r="M288" s="215"/>
    </row>
    <row r="289" spans="1:14" ht="55.5" customHeight="1" thickBot="1">
      <c r="A289" s="167" t="s">
        <v>65</v>
      </c>
      <c r="B289" s="168"/>
      <c r="C289" s="609"/>
      <c r="D289" s="590" t="s">
        <v>6</v>
      </c>
      <c r="E289" s="592" t="s">
        <v>66</v>
      </c>
      <c r="F289" s="594" t="s">
        <v>179</v>
      </c>
      <c r="G289" s="165"/>
      <c r="H289" s="169"/>
      <c r="I289" s="590" t="s">
        <v>6</v>
      </c>
      <c r="J289" s="592" t="s">
        <v>66</v>
      </c>
      <c r="K289" s="594" t="s">
        <v>179</v>
      </c>
      <c r="L289" s="168"/>
      <c r="M289" s="607" t="s">
        <v>178</v>
      </c>
      <c r="N289" s="597" t="s">
        <v>67</v>
      </c>
    </row>
    <row r="290" spans="1:14" ht="13.5" thickBot="1">
      <c r="A290" s="170">
        <v>1000</v>
      </c>
      <c r="B290" s="30"/>
      <c r="C290" s="610"/>
      <c r="D290" s="591"/>
      <c r="E290" s="593"/>
      <c r="F290" s="595"/>
      <c r="G290" s="166"/>
      <c r="H290" s="30"/>
      <c r="I290" s="605"/>
      <c r="J290" s="606"/>
      <c r="K290" s="595"/>
      <c r="L290" s="31"/>
      <c r="M290" s="608"/>
      <c r="N290" s="598"/>
    </row>
    <row r="291" spans="1:14" ht="27">
      <c r="A291" s="171"/>
      <c r="B291" s="30"/>
      <c r="C291" s="172" t="s">
        <v>14</v>
      </c>
      <c r="D291" s="173" t="s">
        <v>68</v>
      </c>
      <c r="E291" s="174" t="s">
        <v>68</v>
      </c>
      <c r="F291" s="233">
        <f>F280</f>
        <v>13.31</v>
      </c>
      <c r="G291" s="166"/>
      <c r="H291" s="172" t="s">
        <v>14</v>
      </c>
      <c r="I291" s="207" t="str">
        <f>D291</f>
        <v>N/A</v>
      </c>
      <c r="J291" s="177" t="s">
        <v>68</v>
      </c>
      <c r="K291" s="492">
        <f>K280</f>
        <v>11.391009552391258</v>
      </c>
      <c r="L291" s="178"/>
      <c r="M291" s="583"/>
      <c r="N291" s="584"/>
    </row>
    <row r="292" spans="1:14" ht="13.5" thickBot="1">
      <c r="A292" s="85"/>
      <c r="B292" s="30"/>
      <c r="C292" s="179" t="s">
        <v>69</v>
      </c>
      <c r="D292" s="180">
        <f>A290</f>
        <v>1000</v>
      </c>
      <c r="E292" s="181">
        <f>E281</f>
        <v>0.01926605725942607</v>
      </c>
      <c r="F292" s="338">
        <f>D292*E292</f>
        <v>19.26605725942607</v>
      </c>
      <c r="G292" s="166"/>
      <c r="H292" s="179" t="s">
        <v>69</v>
      </c>
      <c r="I292" s="184">
        <f>D292</f>
        <v>1000</v>
      </c>
      <c r="J292" s="493">
        <f>J281</f>
        <v>0.022034148231111744</v>
      </c>
      <c r="K292" s="185">
        <f>I292*J292</f>
        <v>22.034148231111743</v>
      </c>
      <c r="L292" s="178"/>
      <c r="M292" s="599"/>
      <c r="N292" s="600"/>
    </row>
    <row r="293" spans="1:14" ht="13.5" thickBot="1">
      <c r="A293" s="85"/>
      <c r="B293" s="30"/>
      <c r="C293" s="601"/>
      <c r="D293" s="602"/>
      <c r="E293" s="186" t="s">
        <v>41</v>
      </c>
      <c r="F293" s="357">
        <f>SUM(F291:F292)</f>
        <v>32.57605725942607</v>
      </c>
      <c r="G293" s="166"/>
      <c r="H293" s="611"/>
      <c r="I293" s="604"/>
      <c r="J293" s="186" t="s">
        <v>70</v>
      </c>
      <c r="K293" s="188">
        <f>SUM(K291:K292)</f>
        <v>33.425157783503</v>
      </c>
      <c r="L293" s="178"/>
      <c r="M293" s="189">
        <f>K293-F293</f>
        <v>0.8491005240769312</v>
      </c>
      <c r="N293" s="190">
        <f>M293/F293</f>
        <v>0.026065171647843877</v>
      </c>
    </row>
    <row r="294" spans="1:14" ht="26.25">
      <c r="A294" s="85"/>
      <c r="B294" s="30"/>
      <c r="C294" s="179" t="s">
        <v>71</v>
      </c>
      <c r="D294" s="180">
        <f>A290</f>
        <v>1000</v>
      </c>
      <c r="E294" s="191">
        <v>0.0239</v>
      </c>
      <c r="F294" s="358">
        <f>D294*E294</f>
        <v>23.900000000000002</v>
      </c>
      <c r="G294" s="166"/>
      <c r="H294" s="179" t="s">
        <v>71</v>
      </c>
      <c r="I294" s="184">
        <f>D294</f>
        <v>1000</v>
      </c>
      <c r="J294" s="193">
        <f>E294</f>
        <v>0.0239</v>
      </c>
      <c r="K294" s="194">
        <f>F294</f>
        <v>23.900000000000002</v>
      </c>
      <c r="L294" s="178"/>
      <c r="M294" s="583"/>
      <c r="N294" s="584"/>
    </row>
    <row r="295" spans="1:14" ht="26.25">
      <c r="A295" s="85"/>
      <c r="B295" s="30"/>
      <c r="C295" s="195" t="s">
        <v>72</v>
      </c>
      <c r="D295" s="180">
        <v>750</v>
      </c>
      <c r="E295" s="196">
        <v>0.047</v>
      </c>
      <c r="F295" s="338">
        <f>D295*E295</f>
        <v>35.25</v>
      </c>
      <c r="G295" s="166"/>
      <c r="H295" s="195" t="s">
        <v>72</v>
      </c>
      <c r="I295" s="180">
        <f>D295</f>
        <v>750</v>
      </c>
      <c r="J295" s="196">
        <v>0.047</v>
      </c>
      <c r="K295" s="338">
        <f>I295*J295</f>
        <v>35.25</v>
      </c>
      <c r="L295" s="178"/>
      <c r="M295" s="585"/>
      <c r="N295" s="586"/>
    </row>
    <row r="296" spans="1:14" ht="27" thickBot="1">
      <c r="A296" s="85"/>
      <c r="B296" s="30"/>
      <c r="C296" s="195" t="s">
        <v>72</v>
      </c>
      <c r="D296" s="234">
        <f>A290-D295</f>
        <v>250</v>
      </c>
      <c r="E296" s="196">
        <v>0.055</v>
      </c>
      <c r="F296" s="338">
        <f>D296*E296</f>
        <v>13.75</v>
      </c>
      <c r="G296" s="166"/>
      <c r="H296" s="339" t="s">
        <v>72</v>
      </c>
      <c r="I296" s="360">
        <f>D296</f>
        <v>250</v>
      </c>
      <c r="J296" s="340">
        <v>0.055</v>
      </c>
      <c r="K296" s="341">
        <f>I296*J296</f>
        <v>13.75</v>
      </c>
      <c r="L296" s="178"/>
      <c r="M296" s="585"/>
      <c r="N296" s="586"/>
    </row>
    <row r="297" spans="1:14" ht="13.5" thickBot="1">
      <c r="A297" s="85"/>
      <c r="B297" s="30"/>
      <c r="C297" s="587"/>
      <c r="D297" s="588"/>
      <c r="E297" s="588"/>
      <c r="F297" s="589"/>
      <c r="G297" s="166"/>
      <c r="H297" s="588"/>
      <c r="I297" s="588"/>
      <c r="J297" s="588"/>
      <c r="K297" s="589"/>
      <c r="L297" s="30"/>
      <c r="M297" s="85"/>
      <c r="N297" s="201"/>
    </row>
    <row r="298" spans="1:14" ht="13.5" thickBot="1">
      <c r="A298" s="93"/>
      <c r="B298" s="147"/>
      <c r="C298" s="202" t="s">
        <v>73</v>
      </c>
      <c r="D298" s="203"/>
      <c r="E298" s="203"/>
      <c r="F298" s="188">
        <f>SUM(F294:F296,F293)</f>
        <v>105.47605725942609</v>
      </c>
      <c r="G298" s="205"/>
      <c r="H298" s="596" t="s">
        <v>74</v>
      </c>
      <c r="I298" s="596"/>
      <c r="J298" s="596"/>
      <c r="K298" s="188">
        <f>SUM(K293:K296)</f>
        <v>106.325157783503</v>
      </c>
      <c r="L298" s="206"/>
      <c r="M298" s="189">
        <f>K298-F298</f>
        <v>0.8491005240769169</v>
      </c>
      <c r="N298" s="190">
        <f>M298/F298</f>
        <v>0.008050173149613395</v>
      </c>
    </row>
    <row r="299" spans="1:14" ht="12.75">
      <c r="A299" s="11"/>
      <c r="D299" s="211"/>
      <c r="E299" s="9"/>
      <c r="F299" s="208"/>
      <c r="I299" s="9"/>
      <c r="J299" s="9"/>
      <c r="K299" s="209"/>
      <c r="L299" s="11"/>
      <c r="M299" s="11"/>
      <c r="N299" s="212"/>
    </row>
    <row r="300" spans="1:13" ht="15.75" thickBot="1">
      <c r="A300" s="213"/>
      <c r="B300" s="30"/>
      <c r="C300" s="131"/>
      <c r="D300" s="29"/>
      <c r="E300" s="29"/>
      <c r="F300" s="214"/>
      <c r="H300" s="131"/>
      <c r="I300" s="29"/>
      <c r="J300" s="29"/>
      <c r="K300" s="215"/>
      <c r="L300" s="215"/>
      <c r="M300" s="215"/>
    </row>
    <row r="301" spans="1:14" ht="67.5" customHeight="1" thickBot="1">
      <c r="A301" s="167" t="s">
        <v>65</v>
      </c>
      <c r="B301" s="168"/>
      <c r="C301" s="609"/>
      <c r="D301" s="590" t="s">
        <v>6</v>
      </c>
      <c r="E301" s="592" t="s">
        <v>66</v>
      </c>
      <c r="F301" s="594" t="s">
        <v>179</v>
      </c>
      <c r="G301" s="165"/>
      <c r="H301" s="169"/>
      <c r="I301" s="590" t="s">
        <v>6</v>
      </c>
      <c r="J301" s="592" t="s">
        <v>66</v>
      </c>
      <c r="K301" s="594" t="s">
        <v>179</v>
      </c>
      <c r="L301" s="168"/>
      <c r="M301" s="607" t="s">
        <v>178</v>
      </c>
      <c r="N301" s="597" t="s">
        <v>67</v>
      </c>
    </row>
    <row r="302" spans="1:14" ht="13.5" thickBot="1">
      <c r="A302" s="170">
        <v>1500</v>
      </c>
      <c r="B302" s="30"/>
      <c r="C302" s="610"/>
      <c r="D302" s="591"/>
      <c r="E302" s="593"/>
      <c r="F302" s="595"/>
      <c r="G302" s="166"/>
      <c r="H302" s="30"/>
      <c r="I302" s="605"/>
      <c r="J302" s="606"/>
      <c r="K302" s="595"/>
      <c r="L302" s="31"/>
      <c r="M302" s="608"/>
      <c r="N302" s="598"/>
    </row>
    <row r="303" spans="1:14" ht="27">
      <c r="A303" s="171"/>
      <c r="B303" s="30"/>
      <c r="C303" s="172" t="s">
        <v>14</v>
      </c>
      <c r="D303" s="173" t="s">
        <v>68</v>
      </c>
      <c r="E303" s="174" t="s">
        <v>68</v>
      </c>
      <c r="F303" s="233">
        <f>F291</f>
        <v>13.31</v>
      </c>
      <c r="G303" s="166"/>
      <c r="H303" s="176" t="s">
        <v>14</v>
      </c>
      <c r="I303" s="207" t="str">
        <f>D303</f>
        <v>N/A</v>
      </c>
      <c r="J303" s="177" t="s">
        <v>68</v>
      </c>
      <c r="K303" s="492">
        <f>K291</f>
        <v>11.391009552391258</v>
      </c>
      <c r="L303" s="178"/>
      <c r="M303" s="583"/>
      <c r="N303" s="584"/>
    </row>
    <row r="304" spans="1:14" ht="13.5" thickBot="1">
      <c r="A304" s="85"/>
      <c r="B304" s="30"/>
      <c r="C304" s="179" t="s">
        <v>69</v>
      </c>
      <c r="D304" s="180">
        <f>A302</f>
        <v>1500</v>
      </c>
      <c r="E304" s="181">
        <f>E292</f>
        <v>0.01926605725942607</v>
      </c>
      <c r="F304" s="338">
        <f>D304*E304</f>
        <v>28.899085889139105</v>
      </c>
      <c r="G304" s="166"/>
      <c r="H304" s="183" t="s">
        <v>69</v>
      </c>
      <c r="I304" s="184">
        <f>D304</f>
        <v>1500</v>
      </c>
      <c r="J304" s="491">
        <f>J292</f>
        <v>0.022034148231111744</v>
      </c>
      <c r="K304" s="185">
        <f>I304*J304</f>
        <v>33.051222346667615</v>
      </c>
      <c r="L304" s="178"/>
      <c r="M304" s="599"/>
      <c r="N304" s="600"/>
    </row>
    <row r="305" spans="1:14" ht="13.5" thickBot="1">
      <c r="A305" s="85"/>
      <c r="B305" s="30"/>
      <c r="C305" s="601"/>
      <c r="D305" s="602"/>
      <c r="E305" s="186" t="s">
        <v>41</v>
      </c>
      <c r="F305" s="357">
        <f>SUM(F303:F304)</f>
        <v>42.209085889139104</v>
      </c>
      <c r="G305" s="166"/>
      <c r="H305" s="603"/>
      <c r="I305" s="604"/>
      <c r="J305" s="186" t="s">
        <v>70</v>
      </c>
      <c r="K305" s="188">
        <f>SUM(K303:K304)</f>
        <v>44.442231899058875</v>
      </c>
      <c r="L305" s="178"/>
      <c r="M305" s="189">
        <f>K305-F305</f>
        <v>2.2331460099197713</v>
      </c>
      <c r="N305" s="190">
        <f>M305/F305</f>
        <v>0.052906760780962236</v>
      </c>
    </row>
    <row r="306" spans="1:14" ht="26.25">
      <c r="A306" s="85"/>
      <c r="B306" s="30"/>
      <c r="C306" s="179" t="s">
        <v>71</v>
      </c>
      <c r="D306" s="180">
        <f>A302</f>
        <v>1500</v>
      </c>
      <c r="E306" s="191">
        <v>0.0239</v>
      </c>
      <c r="F306" s="358">
        <f>D306*E306</f>
        <v>35.85</v>
      </c>
      <c r="G306" s="166"/>
      <c r="H306" s="183" t="s">
        <v>71</v>
      </c>
      <c r="I306" s="184">
        <f>D306</f>
        <v>1500</v>
      </c>
      <c r="J306" s="193">
        <f>E306</f>
        <v>0.0239</v>
      </c>
      <c r="K306" s="194">
        <f>F306</f>
        <v>35.85</v>
      </c>
      <c r="L306" s="178"/>
      <c r="M306" s="583"/>
      <c r="N306" s="584"/>
    </row>
    <row r="307" spans="1:14" ht="26.25">
      <c r="A307" s="85"/>
      <c r="B307" s="30"/>
      <c r="C307" s="195" t="s">
        <v>72</v>
      </c>
      <c r="D307" s="180">
        <v>750</v>
      </c>
      <c r="E307" s="196">
        <v>0.047</v>
      </c>
      <c r="F307" s="338">
        <f>D307*E307</f>
        <v>35.25</v>
      </c>
      <c r="G307" s="166"/>
      <c r="H307" s="195" t="s">
        <v>72</v>
      </c>
      <c r="I307" s="184">
        <f>D307</f>
        <v>750</v>
      </c>
      <c r="J307" s="196">
        <v>0.047</v>
      </c>
      <c r="K307" s="338">
        <f>I307*J307</f>
        <v>35.25</v>
      </c>
      <c r="L307" s="178"/>
      <c r="M307" s="585"/>
      <c r="N307" s="586"/>
    </row>
    <row r="308" spans="1:14" ht="27" thickBot="1">
      <c r="A308" s="85"/>
      <c r="B308" s="30"/>
      <c r="C308" s="195" t="s">
        <v>72</v>
      </c>
      <c r="D308" s="234">
        <f>A302-D307</f>
        <v>750</v>
      </c>
      <c r="E308" s="196">
        <v>0.055</v>
      </c>
      <c r="F308" s="338">
        <f>D308*E308</f>
        <v>41.25</v>
      </c>
      <c r="G308" s="166"/>
      <c r="H308" s="339" t="s">
        <v>72</v>
      </c>
      <c r="I308" s="360">
        <f>D308</f>
        <v>750</v>
      </c>
      <c r="J308" s="340">
        <v>0.055</v>
      </c>
      <c r="K308" s="341">
        <f>I308*J308</f>
        <v>41.25</v>
      </c>
      <c r="L308" s="178"/>
      <c r="M308" s="585"/>
      <c r="N308" s="586"/>
    </row>
    <row r="309" spans="1:14" ht="13.5" thickBot="1">
      <c r="A309" s="85"/>
      <c r="B309" s="30"/>
      <c r="C309" s="587"/>
      <c r="D309" s="588"/>
      <c r="E309" s="588"/>
      <c r="F309" s="589"/>
      <c r="G309" s="166"/>
      <c r="H309" s="588"/>
      <c r="I309" s="588"/>
      <c r="J309" s="588"/>
      <c r="K309" s="589"/>
      <c r="L309" s="30"/>
      <c r="M309" s="85"/>
      <c r="N309" s="201"/>
    </row>
    <row r="310" spans="1:14" ht="13.5" thickBot="1">
      <c r="A310" s="93"/>
      <c r="B310" s="147"/>
      <c r="C310" s="202" t="s">
        <v>73</v>
      </c>
      <c r="D310" s="203"/>
      <c r="E310" s="203"/>
      <c r="F310" s="188">
        <f>SUM(F306:F308,F305)</f>
        <v>154.5590858891391</v>
      </c>
      <c r="G310" s="205"/>
      <c r="H310" s="596" t="s">
        <v>74</v>
      </c>
      <c r="I310" s="596"/>
      <c r="J310" s="596"/>
      <c r="K310" s="188">
        <f>SUM(K305:K308)</f>
        <v>156.7922318990589</v>
      </c>
      <c r="L310" s="206"/>
      <c r="M310" s="189">
        <f>K310-F310</f>
        <v>2.2331460099197784</v>
      </c>
      <c r="N310" s="190">
        <f>M310/F310</f>
        <v>0.014448493901688519</v>
      </c>
    </row>
    <row r="311" spans="1:14" ht="12.75">
      <c r="A311" s="11"/>
      <c r="D311" s="211"/>
      <c r="E311" s="9"/>
      <c r="F311" s="208"/>
      <c r="I311" s="9"/>
      <c r="J311" s="9"/>
      <c r="K311" s="209"/>
      <c r="L311" s="11"/>
      <c r="M311" s="11"/>
      <c r="N311" s="212"/>
    </row>
    <row r="312" spans="1:13" ht="15.75" thickBot="1">
      <c r="A312" s="213"/>
      <c r="B312" s="30"/>
      <c r="C312" s="131"/>
      <c r="D312" s="29"/>
      <c r="E312" s="29"/>
      <c r="F312" s="214"/>
      <c r="H312" s="131"/>
      <c r="I312" s="29"/>
      <c r="J312" s="29"/>
      <c r="K312" s="215"/>
      <c r="L312" s="215"/>
      <c r="M312" s="215"/>
    </row>
    <row r="313" spans="1:14" ht="58.5" customHeight="1" thickBot="1">
      <c r="A313" s="167" t="s">
        <v>65</v>
      </c>
      <c r="B313" s="168"/>
      <c r="C313" s="609"/>
      <c r="D313" s="590" t="s">
        <v>6</v>
      </c>
      <c r="E313" s="592" t="s">
        <v>66</v>
      </c>
      <c r="F313" s="594" t="s">
        <v>179</v>
      </c>
      <c r="G313" s="165"/>
      <c r="H313" s="169"/>
      <c r="I313" s="590" t="s">
        <v>6</v>
      </c>
      <c r="J313" s="592" t="s">
        <v>66</v>
      </c>
      <c r="K313" s="594" t="s">
        <v>179</v>
      </c>
      <c r="L313" s="168"/>
      <c r="M313" s="607" t="s">
        <v>178</v>
      </c>
      <c r="N313" s="597" t="s">
        <v>67</v>
      </c>
    </row>
    <row r="314" spans="1:14" ht="13.5" thickBot="1">
      <c r="A314" s="170">
        <v>2000</v>
      </c>
      <c r="B314" s="30"/>
      <c r="C314" s="610"/>
      <c r="D314" s="591"/>
      <c r="E314" s="593"/>
      <c r="F314" s="595"/>
      <c r="G314" s="166"/>
      <c r="H314" s="30"/>
      <c r="I314" s="605"/>
      <c r="J314" s="606"/>
      <c r="K314" s="595"/>
      <c r="L314" s="31"/>
      <c r="M314" s="608"/>
      <c r="N314" s="598"/>
    </row>
    <row r="315" spans="1:14" ht="27">
      <c r="A315" s="171"/>
      <c r="B315" s="30"/>
      <c r="C315" s="172" t="s">
        <v>14</v>
      </c>
      <c r="D315" s="173" t="s">
        <v>68</v>
      </c>
      <c r="E315" s="174" t="s">
        <v>68</v>
      </c>
      <c r="F315" s="233">
        <f>F303</f>
        <v>13.31</v>
      </c>
      <c r="G315" s="166"/>
      <c r="H315" s="176" t="s">
        <v>14</v>
      </c>
      <c r="I315" s="207" t="str">
        <f>D315</f>
        <v>N/A</v>
      </c>
      <c r="J315" s="177" t="s">
        <v>68</v>
      </c>
      <c r="K315" s="492">
        <f>K303</f>
        <v>11.391009552391258</v>
      </c>
      <c r="L315" s="178"/>
      <c r="M315" s="583"/>
      <c r="N315" s="584"/>
    </row>
    <row r="316" spans="1:14" ht="13.5" thickBot="1">
      <c r="A316" s="85"/>
      <c r="B316" s="30"/>
      <c r="C316" s="179" t="s">
        <v>69</v>
      </c>
      <c r="D316" s="180">
        <f>A314</f>
        <v>2000</v>
      </c>
      <c r="E316" s="181">
        <f>E304</f>
        <v>0.01926605725942607</v>
      </c>
      <c r="F316" s="338">
        <f>D316*E316</f>
        <v>38.53211451885214</v>
      </c>
      <c r="G316" s="166"/>
      <c r="H316" s="183" t="s">
        <v>69</v>
      </c>
      <c r="I316" s="184">
        <f>D316</f>
        <v>2000</v>
      </c>
      <c r="J316" s="491">
        <f>J304</f>
        <v>0.022034148231111744</v>
      </c>
      <c r="K316" s="185">
        <f>I316*J316</f>
        <v>44.068296462223486</v>
      </c>
      <c r="L316" s="178"/>
      <c r="M316" s="599"/>
      <c r="N316" s="600"/>
    </row>
    <row r="317" spans="1:14" ht="13.5" thickBot="1">
      <c r="A317" s="85"/>
      <c r="B317" s="30"/>
      <c r="C317" s="601"/>
      <c r="D317" s="602"/>
      <c r="E317" s="186" t="s">
        <v>41</v>
      </c>
      <c r="F317" s="357">
        <f>SUM(F315:F316)</f>
        <v>51.84211451885214</v>
      </c>
      <c r="G317" s="166"/>
      <c r="H317" s="603"/>
      <c r="I317" s="604"/>
      <c r="J317" s="186" t="s">
        <v>70</v>
      </c>
      <c r="K317" s="188">
        <f>SUM(K315:K316)</f>
        <v>55.45930601461475</v>
      </c>
      <c r="L317" s="178"/>
      <c r="M317" s="189">
        <f>K317-F317</f>
        <v>3.6171914957626043</v>
      </c>
      <c r="N317" s="190">
        <f>M317/F317</f>
        <v>0.06977322451705224</v>
      </c>
    </row>
    <row r="318" spans="1:14" ht="26.25">
      <c r="A318" s="85"/>
      <c r="B318" s="30"/>
      <c r="C318" s="179" t="s">
        <v>71</v>
      </c>
      <c r="D318" s="180">
        <f>A314</f>
        <v>2000</v>
      </c>
      <c r="E318" s="191">
        <v>0.0239</v>
      </c>
      <c r="F318" s="358">
        <f>D318*E318</f>
        <v>47.800000000000004</v>
      </c>
      <c r="G318" s="166"/>
      <c r="H318" s="183" t="s">
        <v>71</v>
      </c>
      <c r="I318" s="184">
        <f>D318</f>
        <v>2000</v>
      </c>
      <c r="J318" s="193">
        <f>E318</f>
        <v>0.0239</v>
      </c>
      <c r="K318" s="194">
        <f>F318</f>
        <v>47.800000000000004</v>
      </c>
      <c r="L318" s="178"/>
      <c r="M318" s="583"/>
      <c r="N318" s="584"/>
    </row>
    <row r="319" spans="1:14" ht="26.25">
      <c r="A319" s="85"/>
      <c r="B319" s="30"/>
      <c r="C319" s="195" t="s">
        <v>72</v>
      </c>
      <c r="D319" s="180">
        <v>750</v>
      </c>
      <c r="E319" s="196">
        <v>0.047</v>
      </c>
      <c r="F319" s="338">
        <f>D319*E319</f>
        <v>35.25</v>
      </c>
      <c r="G319" s="166"/>
      <c r="H319" s="195" t="s">
        <v>72</v>
      </c>
      <c r="I319" s="184">
        <f>D319</f>
        <v>750</v>
      </c>
      <c r="J319" s="196">
        <v>0.047</v>
      </c>
      <c r="K319" s="338">
        <f>I319*J319</f>
        <v>35.25</v>
      </c>
      <c r="L319" s="178"/>
      <c r="M319" s="585"/>
      <c r="N319" s="586"/>
    </row>
    <row r="320" spans="1:14" ht="27" thickBot="1">
      <c r="A320" s="85"/>
      <c r="B320" s="30"/>
      <c r="C320" s="195" t="s">
        <v>72</v>
      </c>
      <c r="D320" s="234">
        <f>A314-D319</f>
        <v>1250</v>
      </c>
      <c r="E320" s="196">
        <v>0.055</v>
      </c>
      <c r="F320" s="338">
        <f>D320*E320</f>
        <v>68.75</v>
      </c>
      <c r="G320" s="166"/>
      <c r="H320" s="339" t="s">
        <v>72</v>
      </c>
      <c r="I320" s="360">
        <f>D320</f>
        <v>1250</v>
      </c>
      <c r="J320" s="340">
        <v>0.055</v>
      </c>
      <c r="K320" s="341">
        <f>I320*J320</f>
        <v>68.75</v>
      </c>
      <c r="L320" s="178"/>
      <c r="M320" s="585"/>
      <c r="N320" s="586"/>
    </row>
    <row r="321" spans="1:14" ht="13.5" thickBot="1">
      <c r="A321" s="85"/>
      <c r="B321" s="30"/>
      <c r="C321" s="587"/>
      <c r="D321" s="588"/>
      <c r="E321" s="588"/>
      <c r="F321" s="589"/>
      <c r="G321" s="166"/>
      <c r="H321" s="588"/>
      <c r="I321" s="588"/>
      <c r="J321" s="588"/>
      <c r="K321" s="589"/>
      <c r="L321" s="30"/>
      <c r="M321" s="85"/>
      <c r="N321" s="201"/>
    </row>
    <row r="322" spans="1:14" ht="13.5" thickBot="1">
      <c r="A322" s="93"/>
      <c r="B322" s="147"/>
      <c r="C322" s="202" t="s">
        <v>73</v>
      </c>
      <c r="D322" s="203"/>
      <c r="E322" s="203"/>
      <c r="F322" s="188">
        <f>SUM(F318:F320,F317)</f>
        <v>203.64211451885217</v>
      </c>
      <c r="G322" s="205"/>
      <c r="H322" s="596" t="s">
        <v>74</v>
      </c>
      <c r="I322" s="596"/>
      <c r="J322" s="596"/>
      <c r="K322" s="188">
        <f>SUM(K317:K320)</f>
        <v>207.25930601461476</v>
      </c>
      <c r="L322" s="206"/>
      <c r="M322" s="189">
        <f>K322-F322</f>
        <v>3.6171914957625972</v>
      </c>
      <c r="N322" s="190">
        <f>M322/F322</f>
        <v>0.017762492322911605</v>
      </c>
    </row>
    <row r="323" spans="3:14" ht="12.75">
      <c r="C323" s="31"/>
      <c r="D323" s="31"/>
      <c r="E323" s="31"/>
      <c r="F323" s="216"/>
      <c r="G323" s="30"/>
      <c r="H323" s="217"/>
      <c r="I323" s="217"/>
      <c r="J323" s="217"/>
      <c r="K323" s="216"/>
      <c r="L323" s="215"/>
      <c r="M323" s="216"/>
      <c r="N323" s="218"/>
    </row>
    <row r="324" spans="3:14" ht="12.75">
      <c r="C324" s="31"/>
      <c r="D324" s="31"/>
      <c r="E324" s="31"/>
      <c r="F324" s="216"/>
      <c r="G324" s="30"/>
      <c r="H324" s="217"/>
      <c r="I324" s="217"/>
      <c r="J324" s="217"/>
      <c r="K324" s="216"/>
      <c r="L324" s="215"/>
      <c r="M324" s="216"/>
      <c r="N324" s="218"/>
    </row>
    <row r="325" spans="1:13" ht="22.5">
      <c r="A325" s="219" t="s">
        <v>197</v>
      </c>
      <c r="B325" s="53"/>
      <c r="D325" s="30"/>
      <c r="F325" s="215"/>
      <c r="J325" s="220"/>
      <c r="K325" s="215"/>
      <c r="L325" s="215"/>
      <c r="M325" s="215"/>
    </row>
    <row r="326" spans="1:13" ht="15">
      <c r="A326" s="53"/>
      <c r="B326" s="53"/>
      <c r="D326" s="30"/>
      <c r="F326" s="215"/>
      <c r="J326" s="220"/>
      <c r="K326" s="215"/>
      <c r="L326" s="215"/>
      <c r="M326" s="215"/>
    </row>
    <row r="327" spans="1:14" ht="15">
      <c r="A327" s="139" t="s">
        <v>80</v>
      </c>
      <c r="B327" s="221"/>
      <c r="C327" s="142"/>
      <c r="D327" s="222"/>
      <c r="E327" s="142"/>
      <c r="F327" s="223"/>
      <c r="G327" s="142"/>
      <c r="H327" s="142"/>
      <c r="I327" s="142"/>
      <c r="J327" s="224"/>
      <c r="K327" s="223"/>
      <c r="L327" s="223"/>
      <c r="M327" s="223"/>
      <c r="N327" s="225"/>
    </row>
    <row r="328" spans="1:14" ht="15">
      <c r="A328" s="139" t="s">
        <v>38</v>
      </c>
      <c r="B328" s="221"/>
      <c r="C328" s="142"/>
      <c r="D328" s="222"/>
      <c r="E328" s="142"/>
      <c r="F328" s="223"/>
      <c r="G328" s="142"/>
      <c r="H328" s="142"/>
      <c r="I328" s="142"/>
      <c r="J328" s="224"/>
      <c r="K328" s="223"/>
      <c r="L328" s="223"/>
      <c r="M328" s="223"/>
      <c r="N328" s="225"/>
    </row>
    <row r="329" spans="1:14" ht="15">
      <c r="A329" s="139" t="s">
        <v>39</v>
      </c>
      <c r="B329" s="221"/>
      <c r="C329" s="142"/>
      <c r="D329" s="222"/>
      <c r="E329" s="142"/>
      <c r="F329" s="223"/>
      <c r="G329" s="142"/>
      <c r="H329" s="142"/>
      <c r="I329" s="142"/>
      <c r="J329" s="224"/>
      <c r="K329" s="223"/>
      <c r="L329" s="223"/>
      <c r="M329" s="223"/>
      <c r="N329" s="225"/>
    </row>
    <row r="330" spans="1:13" ht="15.75" thickBot="1">
      <c r="A330" s="10"/>
      <c r="B330" s="53"/>
      <c r="D330" s="30"/>
      <c r="F330" s="215"/>
      <c r="J330" s="220"/>
      <c r="K330" s="215"/>
      <c r="L330" s="215"/>
      <c r="M330" s="215"/>
    </row>
    <row r="331" spans="1:14" ht="13.5">
      <c r="A331" s="10"/>
      <c r="C331" s="617" t="s">
        <v>82</v>
      </c>
      <c r="D331" s="618"/>
      <c r="E331" s="618"/>
      <c r="F331" s="619"/>
      <c r="G331" s="165"/>
      <c r="H331" s="617" t="s">
        <v>83</v>
      </c>
      <c r="I331" s="618"/>
      <c r="J331" s="618"/>
      <c r="K331" s="618"/>
      <c r="L331" s="618"/>
      <c r="M331" s="618"/>
      <c r="N331" s="619"/>
    </row>
    <row r="332" spans="1:14" ht="13.5" thickBot="1">
      <c r="A332"/>
      <c r="C332" s="620"/>
      <c r="D332" s="621"/>
      <c r="E332" s="621"/>
      <c r="F332" s="622"/>
      <c r="G332" s="166"/>
      <c r="H332" s="620"/>
      <c r="I332" s="621"/>
      <c r="J332" s="621"/>
      <c r="K332" s="621"/>
      <c r="L332" s="621"/>
      <c r="M332" s="621"/>
      <c r="N332" s="622"/>
    </row>
    <row r="333" spans="1:14" ht="58.5" customHeight="1" thickBot="1">
      <c r="A333" s="167" t="s">
        <v>65</v>
      </c>
      <c r="B333" s="168"/>
      <c r="C333" s="609"/>
      <c r="D333" s="590" t="s">
        <v>6</v>
      </c>
      <c r="E333" s="592" t="s">
        <v>66</v>
      </c>
      <c r="F333" s="594" t="s">
        <v>179</v>
      </c>
      <c r="G333" s="165"/>
      <c r="H333" s="169"/>
      <c r="I333" s="590" t="s">
        <v>6</v>
      </c>
      <c r="J333" s="592" t="s">
        <v>66</v>
      </c>
      <c r="K333" s="594" t="s">
        <v>179</v>
      </c>
      <c r="L333" s="168"/>
      <c r="M333" s="607" t="s">
        <v>178</v>
      </c>
      <c r="N333" s="597" t="s">
        <v>67</v>
      </c>
    </row>
    <row r="334" spans="1:14" ht="13.5" thickBot="1">
      <c r="A334" s="170">
        <v>1000</v>
      </c>
      <c r="B334" s="30"/>
      <c r="C334" s="610"/>
      <c r="D334" s="591"/>
      <c r="E334" s="593"/>
      <c r="F334" s="595"/>
      <c r="G334" s="166"/>
      <c r="H334" s="30"/>
      <c r="I334" s="605"/>
      <c r="J334" s="606"/>
      <c r="K334" s="595"/>
      <c r="L334" s="31"/>
      <c r="M334" s="608"/>
      <c r="N334" s="598"/>
    </row>
    <row r="335" spans="1:14" ht="27">
      <c r="A335" s="171"/>
      <c r="B335" s="30"/>
      <c r="C335" s="172" t="s">
        <v>14</v>
      </c>
      <c r="D335" s="173" t="s">
        <v>68</v>
      </c>
      <c r="E335" s="174" t="s">
        <v>68</v>
      </c>
      <c r="F335" s="488">
        <f>'12. Current Rates'!D70</f>
        <v>17.02</v>
      </c>
      <c r="G335" s="166"/>
      <c r="H335" s="176" t="s">
        <v>14</v>
      </c>
      <c r="I335" s="173" t="str">
        <f>D335</f>
        <v>N/A</v>
      </c>
      <c r="J335" s="173" t="s">
        <v>68</v>
      </c>
      <c r="K335" s="488">
        <f>'11. 2005 Final Rate Schedule '!F56</f>
        <v>13.789027515748941</v>
      </c>
      <c r="L335" s="178"/>
      <c r="M335" s="583"/>
      <c r="N335" s="584"/>
    </row>
    <row r="336" spans="1:14" ht="13.5" thickBot="1">
      <c r="A336" s="85"/>
      <c r="B336" s="30"/>
      <c r="C336" s="179" t="s">
        <v>69</v>
      </c>
      <c r="D336" s="180">
        <f>A334</f>
        <v>1000</v>
      </c>
      <c r="E336" s="487">
        <f>'12. Current Rates'!D68</f>
        <v>0.01516938307993379</v>
      </c>
      <c r="F336" s="338">
        <f>D336*E336</f>
        <v>15.169383079933791</v>
      </c>
      <c r="G336" s="166"/>
      <c r="H336" s="183" t="s">
        <v>69</v>
      </c>
      <c r="I336" s="180">
        <f>D336</f>
        <v>1000</v>
      </c>
      <c r="J336" s="489">
        <f>'11. 2005 Final Rate Schedule '!F57</f>
        <v>0.017601640770202712</v>
      </c>
      <c r="K336" s="236">
        <f>I336*J336</f>
        <v>17.601640770202714</v>
      </c>
      <c r="L336" s="178"/>
      <c r="M336" s="599"/>
      <c r="N336" s="600"/>
    </row>
    <row r="337" spans="1:14" ht="13.5" thickBot="1">
      <c r="A337" s="85"/>
      <c r="B337" s="30"/>
      <c r="C337" s="601"/>
      <c r="D337" s="602"/>
      <c r="E337" s="186" t="s">
        <v>41</v>
      </c>
      <c r="F337" s="357">
        <f>SUM(F335:F336)</f>
        <v>32.18938307993379</v>
      </c>
      <c r="G337" s="166"/>
      <c r="H337" s="603"/>
      <c r="I337" s="604"/>
      <c r="J337" s="186" t="s">
        <v>70</v>
      </c>
      <c r="K337" s="188">
        <f>SUM(K335:K336)</f>
        <v>31.390668285951655</v>
      </c>
      <c r="L337" s="178"/>
      <c r="M337" s="189">
        <f>K337-F337</f>
        <v>-0.7987147939821355</v>
      </c>
      <c r="N337" s="434">
        <f>M337/F337</f>
        <v>-0.02481298855584586</v>
      </c>
    </row>
    <row r="338" spans="1:14" ht="26.25">
      <c r="A338" s="85"/>
      <c r="B338" s="30"/>
      <c r="C338" s="179" t="s">
        <v>71</v>
      </c>
      <c r="D338" s="180">
        <f>A334</f>
        <v>1000</v>
      </c>
      <c r="E338" s="425">
        <v>0.0229</v>
      </c>
      <c r="F338" s="358">
        <f>D338*E338</f>
        <v>22.9</v>
      </c>
      <c r="G338" s="166"/>
      <c r="H338" s="183" t="s">
        <v>71</v>
      </c>
      <c r="I338" s="180">
        <f aca="true" t="shared" si="14" ref="I338:K339">D338</f>
        <v>1000</v>
      </c>
      <c r="J338" s="431">
        <f t="shared" si="14"/>
        <v>0.0229</v>
      </c>
      <c r="K338" s="238">
        <f t="shared" si="14"/>
        <v>22.9</v>
      </c>
      <c r="L338" s="178"/>
      <c r="M338" s="583"/>
      <c r="N338" s="584"/>
    </row>
    <row r="339" spans="1:14" ht="27" thickBot="1">
      <c r="A339" s="85"/>
      <c r="B339" s="30"/>
      <c r="C339" s="195" t="s">
        <v>72</v>
      </c>
      <c r="D339" s="180">
        <f>A334</f>
        <v>1000</v>
      </c>
      <c r="E339" s="426">
        <v>0.047</v>
      </c>
      <c r="F339" s="338">
        <f>D339*E339</f>
        <v>47</v>
      </c>
      <c r="G339" s="166"/>
      <c r="H339" s="197" t="s">
        <v>72</v>
      </c>
      <c r="I339" s="432">
        <f t="shared" si="14"/>
        <v>1000</v>
      </c>
      <c r="J339" s="433">
        <f t="shared" si="14"/>
        <v>0.047</v>
      </c>
      <c r="K339" s="242">
        <f t="shared" si="14"/>
        <v>47</v>
      </c>
      <c r="L339" s="178"/>
      <c r="M339" s="585"/>
      <c r="N339" s="586"/>
    </row>
    <row r="340" spans="1:14" ht="13.5" thickBot="1">
      <c r="A340" s="85"/>
      <c r="B340" s="30"/>
      <c r="C340" s="587"/>
      <c r="D340" s="588"/>
      <c r="E340" s="588"/>
      <c r="F340" s="589"/>
      <c r="G340" s="166"/>
      <c r="H340" s="588"/>
      <c r="I340" s="588"/>
      <c r="J340" s="588"/>
      <c r="K340" s="589"/>
      <c r="L340" s="30"/>
      <c r="M340" s="85"/>
      <c r="N340" s="201"/>
    </row>
    <row r="341" spans="1:14" ht="13.5" thickBot="1">
      <c r="A341" s="93"/>
      <c r="B341" s="147"/>
      <c r="C341" s="202" t="s">
        <v>73</v>
      </c>
      <c r="D341" s="203"/>
      <c r="E341" s="203"/>
      <c r="F341" s="188">
        <f>SUM(F338:F339,F337)</f>
        <v>102.0893830799338</v>
      </c>
      <c r="G341" s="205"/>
      <c r="H341" s="596" t="s">
        <v>74</v>
      </c>
      <c r="I341" s="596"/>
      <c r="J341" s="596"/>
      <c r="K341" s="188">
        <f>SUM(K337:K339)</f>
        <v>101.29066828595165</v>
      </c>
      <c r="L341" s="206"/>
      <c r="M341" s="189">
        <f>K341-F341</f>
        <v>-0.7987147939821426</v>
      </c>
      <c r="N341" s="434">
        <f>M341/F341</f>
        <v>-0.007823681267196668</v>
      </c>
    </row>
    <row r="342" ht="12.75">
      <c r="K342" s="160"/>
    </row>
    <row r="343" ht="13.5" thickBot="1">
      <c r="K343" s="160"/>
    </row>
    <row r="344" spans="1:14" ht="61.5" customHeight="1" thickBot="1">
      <c r="A344" s="167" t="s">
        <v>65</v>
      </c>
      <c r="B344" s="168"/>
      <c r="C344" s="609"/>
      <c r="D344" s="590" t="s">
        <v>6</v>
      </c>
      <c r="E344" s="592" t="s">
        <v>66</v>
      </c>
      <c r="F344" s="594" t="s">
        <v>179</v>
      </c>
      <c r="G344" s="165"/>
      <c r="H344" s="169"/>
      <c r="I344" s="590" t="s">
        <v>6</v>
      </c>
      <c r="J344" s="592" t="s">
        <v>66</v>
      </c>
      <c r="K344" s="594" t="s">
        <v>179</v>
      </c>
      <c r="L344" s="168"/>
      <c r="M344" s="607" t="s">
        <v>178</v>
      </c>
      <c r="N344" s="597" t="s">
        <v>67</v>
      </c>
    </row>
    <row r="345" spans="1:14" ht="13.5" thickBot="1">
      <c r="A345" s="170">
        <v>2000</v>
      </c>
      <c r="B345" s="30"/>
      <c r="C345" s="610"/>
      <c r="D345" s="591"/>
      <c r="E345" s="593"/>
      <c r="F345" s="595"/>
      <c r="G345" s="166"/>
      <c r="H345" s="30"/>
      <c r="I345" s="605"/>
      <c r="J345" s="606"/>
      <c r="K345" s="595"/>
      <c r="L345" s="31"/>
      <c r="M345" s="608"/>
      <c r="N345" s="598"/>
    </row>
    <row r="346" spans="1:14" ht="27">
      <c r="A346" s="171"/>
      <c r="B346" s="30"/>
      <c r="C346" s="172" t="s">
        <v>14</v>
      </c>
      <c r="D346" s="173" t="s">
        <v>68</v>
      </c>
      <c r="E346" s="174" t="s">
        <v>68</v>
      </c>
      <c r="F346" s="233">
        <f>F335</f>
        <v>17.02</v>
      </c>
      <c r="G346" s="166"/>
      <c r="H346" s="176" t="s">
        <v>14</v>
      </c>
      <c r="I346" s="177" t="str">
        <f>D346</f>
        <v>N/A</v>
      </c>
      <c r="J346" s="177" t="s">
        <v>68</v>
      </c>
      <c r="K346" s="492">
        <f>K335</f>
        <v>13.789027515748941</v>
      </c>
      <c r="L346" s="178"/>
      <c r="M346" s="583"/>
      <c r="N346" s="584"/>
    </row>
    <row r="347" spans="1:14" ht="13.5" thickBot="1">
      <c r="A347" s="85"/>
      <c r="B347" s="30"/>
      <c r="C347" s="179" t="s">
        <v>69</v>
      </c>
      <c r="D347" s="180">
        <f>A345</f>
        <v>2000</v>
      </c>
      <c r="E347" s="181">
        <f>E336</f>
        <v>0.01516938307993379</v>
      </c>
      <c r="F347" s="338">
        <f>D347*E347</f>
        <v>30.338766159867582</v>
      </c>
      <c r="G347" s="166"/>
      <c r="H347" s="183" t="s">
        <v>69</v>
      </c>
      <c r="I347" s="184">
        <f>D347</f>
        <v>2000</v>
      </c>
      <c r="J347" s="494">
        <f>J336</f>
        <v>0.017601640770202712</v>
      </c>
      <c r="K347" s="185">
        <f>I347*J347</f>
        <v>35.20328154040543</v>
      </c>
      <c r="L347" s="178"/>
      <c r="M347" s="599"/>
      <c r="N347" s="600"/>
    </row>
    <row r="348" spans="1:14" ht="13.5" thickBot="1">
      <c r="A348" s="85"/>
      <c r="B348" s="30"/>
      <c r="C348" s="601"/>
      <c r="D348" s="602"/>
      <c r="E348" s="186" t="s">
        <v>41</v>
      </c>
      <c r="F348" s="357">
        <f>SUM(F346:F347)</f>
        <v>47.358766159867585</v>
      </c>
      <c r="G348" s="166"/>
      <c r="H348" s="603"/>
      <c r="I348" s="604"/>
      <c r="J348" s="186" t="s">
        <v>70</v>
      </c>
      <c r="K348" s="188">
        <f>SUM(K346:K347)</f>
        <v>48.99230905615437</v>
      </c>
      <c r="L348" s="178"/>
      <c r="M348" s="189">
        <f>K348-F348</f>
        <v>1.6335428962867837</v>
      </c>
      <c r="N348" s="190">
        <f>M348/F348</f>
        <v>0.03449293612870912</v>
      </c>
    </row>
    <row r="349" spans="1:14" ht="26.25">
      <c r="A349" s="85"/>
      <c r="B349" s="30"/>
      <c r="C349" s="179" t="s">
        <v>71</v>
      </c>
      <c r="D349" s="180">
        <f>A345</f>
        <v>2000</v>
      </c>
      <c r="E349" s="414">
        <v>0.0229</v>
      </c>
      <c r="F349" s="358">
        <f>D349*E349</f>
        <v>45.8</v>
      </c>
      <c r="G349" s="166"/>
      <c r="H349" s="183" t="s">
        <v>71</v>
      </c>
      <c r="I349" s="234">
        <f>D349</f>
        <v>2000</v>
      </c>
      <c r="J349" s="416">
        <f>E349</f>
        <v>0.0229</v>
      </c>
      <c r="K349" s="194">
        <f>F349</f>
        <v>45.8</v>
      </c>
      <c r="L349" s="178"/>
      <c r="M349" s="583"/>
      <c r="N349" s="584"/>
    </row>
    <row r="350" spans="1:14" ht="26.25">
      <c r="A350" s="85"/>
      <c r="B350" s="30"/>
      <c r="C350" s="195" t="s">
        <v>72</v>
      </c>
      <c r="D350" s="180">
        <v>750</v>
      </c>
      <c r="E350" s="415">
        <v>0.047</v>
      </c>
      <c r="F350" s="338">
        <f>D350*E350</f>
        <v>35.25</v>
      </c>
      <c r="G350" s="166"/>
      <c r="H350" s="195" t="s">
        <v>72</v>
      </c>
      <c r="I350" s="234">
        <f>D350</f>
        <v>750</v>
      </c>
      <c r="J350" s="415">
        <v>0.047</v>
      </c>
      <c r="K350" s="338">
        <f>I350*J350</f>
        <v>35.25</v>
      </c>
      <c r="L350" s="178"/>
      <c r="M350" s="585"/>
      <c r="N350" s="586"/>
    </row>
    <row r="351" spans="1:14" ht="27" thickBot="1">
      <c r="A351" s="85"/>
      <c r="B351" s="30"/>
      <c r="C351" s="195" t="s">
        <v>72</v>
      </c>
      <c r="D351" s="234">
        <f>A345-D350</f>
        <v>1250</v>
      </c>
      <c r="E351" s="415">
        <v>0.055</v>
      </c>
      <c r="F351" s="338">
        <f>D351*E351</f>
        <v>68.75</v>
      </c>
      <c r="G351" s="166"/>
      <c r="H351" s="339" t="s">
        <v>72</v>
      </c>
      <c r="I351" s="240">
        <f>D351</f>
        <v>1250</v>
      </c>
      <c r="J351" s="418">
        <v>0.055</v>
      </c>
      <c r="K351" s="341">
        <f>I351*J351</f>
        <v>68.75</v>
      </c>
      <c r="L351" s="178"/>
      <c r="M351" s="585"/>
      <c r="N351" s="586"/>
    </row>
    <row r="352" spans="1:14" ht="13.5" thickBot="1">
      <c r="A352" s="85"/>
      <c r="B352" s="30"/>
      <c r="C352" s="587"/>
      <c r="D352" s="588"/>
      <c r="E352" s="588"/>
      <c r="F352" s="589"/>
      <c r="G352" s="166"/>
      <c r="H352" s="588"/>
      <c r="I352" s="588"/>
      <c r="J352" s="588"/>
      <c r="K352" s="589"/>
      <c r="L352" s="30"/>
      <c r="M352" s="85"/>
      <c r="N352" s="201"/>
    </row>
    <row r="353" spans="1:14" ht="13.5" thickBot="1">
      <c r="A353" s="93"/>
      <c r="B353" s="147"/>
      <c r="C353" s="202" t="s">
        <v>73</v>
      </c>
      <c r="D353" s="203"/>
      <c r="E353" s="203"/>
      <c r="F353" s="188">
        <f>SUM(F349:F351,F348)</f>
        <v>197.15876615986758</v>
      </c>
      <c r="G353" s="205"/>
      <c r="H353" s="596" t="s">
        <v>74</v>
      </c>
      <c r="I353" s="596"/>
      <c r="J353" s="596"/>
      <c r="K353" s="188">
        <f>SUM(K348:K351)</f>
        <v>198.79230905615435</v>
      </c>
      <c r="L353" s="206"/>
      <c r="M353" s="189">
        <f>K353-F353</f>
        <v>1.6335428962867695</v>
      </c>
      <c r="N353" s="190">
        <f>M353/F353</f>
        <v>0.008285418539098584</v>
      </c>
    </row>
    <row r="354" ht="12.75">
      <c r="K354" s="160"/>
    </row>
    <row r="355" ht="13.5" thickBot="1">
      <c r="K355" s="160"/>
    </row>
    <row r="356" spans="1:14" ht="57.75" customHeight="1" thickBot="1">
      <c r="A356" s="167" t="s">
        <v>65</v>
      </c>
      <c r="B356" s="168"/>
      <c r="C356" s="609"/>
      <c r="D356" s="590" t="s">
        <v>6</v>
      </c>
      <c r="E356" s="592" t="s">
        <v>66</v>
      </c>
      <c r="F356" s="594" t="s">
        <v>179</v>
      </c>
      <c r="G356" s="165"/>
      <c r="H356" s="169"/>
      <c r="I356" s="590" t="s">
        <v>6</v>
      </c>
      <c r="J356" s="592" t="s">
        <v>66</v>
      </c>
      <c r="K356" s="594" t="s">
        <v>179</v>
      </c>
      <c r="L356" s="168"/>
      <c r="M356" s="607" t="s">
        <v>178</v>
      </c>
      <c r="N356" s="597" t="s">
        <v>67</v>
      </c>
    </row>
    <row r="357" spans="1:14" ht="13.5" thickBot="1">
      <c r="A357" s="170">
        <v>5000</v>
      </c>
      <c r="B357" s="30"/>
      <c r="C357" s="610"/>
      <c r="D357" s="591"/>
      <c r="E357" s="593"/>
      <c r="F357" s="595"/>
      <c r="G357" s="166"/>
      <c r="H357" s="30"/>
      <c r="I357" s="605"/>
      <c r="J357" s="606"/>
      <c r="K357" s="595"/>
      <c r="L357" s="31"/>
      <c r="M357" s="608"/>
      <c r="N357" s="598"/>
    </row>
    <row r="358" spans="1:14" ht="27">
      <c r="A358" s="171"/>
      <c r="B358" s="30"/>
      <c r="C358" s="172" t="s">
        <v>14</v>
      </c>
      <c r="D358" s="173" t="s">
        <v>68</v>
      </c>
      <c r="E358" s="174" t="s">
        <v>68</v>
      </c>
      <c r="F358" s="233">
        <f>F346</f>
        <v>17.02</v>
      </c>
      <c r="G358" s="166"/>
      <c r="H358" s="176" t="s">
        <v>14</v>
      </c>
      <c r="I358" s="177" t="str">
        <f>D358</f>
        <v>N/A</v>
      </c>
      <c r="J358" s="177" t="s">
        <v>68</v>
      </c>
      <c r="K358" s="492">
        <f>K346</f>
        <v>13.789027515748941</v>
      </c>
      <c r="L358" s="178"/>
      <c r="M358" s="583"/>
      <c r="N358" s="584"/>
    </row>
    <row r="359" spans="1:14" ht="13.5" thickBot="1">
      <c r="A359" s="85"/>
      <c r="B359" s="30"/>
      <c r="C359" s="179" t="s">
        <v>69</v>
      </c>
      <c r="D359" s="180">
        <f>A357</f>
        <v>5000</v>
      </c>
      <c r="E359" s="181">
        <f>E347</f>
        <v>0.01516938307993379</v>
      </c>
      <c r="F359" s="338">
        <f>D359*E359</f>
        <v>75.84691539966896</v>
      </c>
      <c r="G359" s="166"/>
      <c r="H359" s="183" t="s">
        <v>69</v>
      </c>
      <c r="I359" s="184">
        <f>D359</f>
        <v>5000</v>
      </c>
      <c r="J359" s="494">
        <f>J347</f>
        <v>0.017601640770202712</v>
      </c>
      <c r="K359" s="185">
        <f>I359*J359</f>
        <v>88.00820385101356</v>
      </c>
      <c r="L359" s="178"/>
      <c r="M359" s="599"/>
      <c r="N359" s="600"/>
    </row>
    <row r="360" spans="1:14" ht="13.5" thickBot="1">
      <c r="A360" s="85"/>
      <c r="B360" s="30"/>
      <c r="C360" s="601"/>
      <c r="D360" s="602"/>
      <c r="E360" s="186" t="s">
        <v>41</v>
      </c>
      <c r="F360" s="357">
        <f>SUM(F358:F359)</f>
        <v>92.86691539966895</v>
      </c>
      <c r="G360" s="166"/>
      <c r="H360" s="603"/>
      <c r="I360" s="604"/>
      <c r="J360" s="186" t="s">
        <v>70</v>
      </c>
      <c r="K360" s="188">
        <f>SUM(K358:K359)</f>
        <v>101.7972313667625</v>
      </c>
      <c r="L360" s="178"/>
      <c r="M360" s="189">
        <f>K360-F360</f>
        <v>8.930315967093549</v>
      </c>
      <c r="N360" s="190">
        <f>M360/F360</f>
        <v>0.09616251308294646</v>
      </c>
    </row>
    <row r="361" spans="1:14" ht="26.25">
      <c r="A361" s="85"/>
      <c r="B361" s="30"/>
      <c r="C361" s="179" t="s">
        <v>71</v>
      </c>
      <c r="D361" s="180">
        <f>A357</f>
        <v>5000</v>
      </c>
      <c r="E361" s="414">
        <v>0.0229</v>
      </c>
      <c r="F361" s="358">
        <f>D361*E361</f>
        <v>114.5</v>
      </c>
      <c r="G361" s="166"/>
      <c r="H361" s="183" t="s">
        <v>71</v>
      </c>
      <c r="I361" s="234">
        <f>D361</f>
        <v>5000</v>
      </c>
      <c r="J361" s="416">
        <f>E361</f>
        <v>0.0229</v>
      </c>
      <c r="K361" s="194">
        <f>F361</f>
        <v>114.5</v>
      </c>
      <c r="L361" s="178"/>
      <c r="M361" s="583"/>
      <c r="N361" s="584"/>
    </row>
    <row r="362" spans="1:14" ht="26.25">
      <c r="A362" s="85"/>
      <c r="B362" s="30"/>
      <c r="C362" s="195" t="s">
        <v>72</v>
      </c>
      <c r="D362" s="180">
        <v>750</v>
      </c>
      <c r="E362" s="415">
        <v>0.047</v>
      </c>
      <c r="F362" s="338">
        <f>D362*E362</f>
        <v>35.25</v>
      </c>
      <c r="G362" s="166"/>
      <c r="H362" s="195" t="s">
        <v>72</v>
      </c>
      <c r="I362" s="234">
        <f>D362</f>
        <v>750</v>
      </c>
      <c r="J362" s="415">
        <v>0.047</v>
      </c>
      <c r="K362" s="338">
        <f>I362*J362</f>
        <v>35.25</v>
      </c>
      <c r="L362" s="178"/>
      <c r="M362" s="585"/>
      <c r="N362" s="586"/>
    </row>
    <row r="363" spans="1:14" ht="27" thickBot="1">
      <c r="A363" s="85"/>
      <c r="B363" s="30"/>
      <c r="C363" s="195" t="s">
        <v>72</v>
      </c>
      <c r="D363" s="234">
        <f>A357-D362</f>
        <v>4250</v>
      </c>
      <c r="E363" s="415">
        <v>0.055</v>
      </c>
      <c r="F363" s="338">
        <f>D363*E363</f>
        <v>233.75</v>
      </c>
      <c r="G363" s="166"/>
      <c r="H363" s="339" t="s">
        <v>72</v>
      </c>
      <c r="I363" s="240">
        <f>D363</f>
        <v>4250</v>
      </c>
      <c r="J363" s="418">
        <v>0.055</v>
      </c>
      <c r="K363" s="341">
        <f>I363*J363</f>
        <v>233.75</v>
      </c>
      <c r="L363" s="178"/>
      <c r="M363" s="585"/>
      <c r="N363" s="586"/>
    </row>
    <row r="364" spans="1:14" ht="13.5" thickBot="1">
      <c r="A364" s="85"/>
      <c r="B364" s="30"/>
      <c r="C364" s="587"/>
      <c r="D364" s="588"/>
      <c r="E364" s="588"/>
      <c r="F364" s="589"/>
      <c r="G364" s="166"/>
      <c r="H364" s="588"/>
      <c r="I364" s="588"/>
      <c r="J364" s="588"/>
      <c r="K364" s="589"/>
      <c r="L364" s="30"/>
      <c r="M364" s="85"/>
      <c r="N364" s="201"/>
    </row>
    <row r="365" spans="1:14" ht="13.5" thickBot="1">
      <c r="A365" s="93"/>
      <c r="B365" s="147"/>
      <c r="C365" s="202" t="s">
        <v>73</v>
      </c>
      <c r="D365" s="203"/>
      <c r="E365" s="203"/>
      <c r="F365" s="188">
        <f>SUM(F361:F363,F360)</f>
        <v>476.366915399669</v>
      </c>
      <c r="G365" s="205"/>
      <c r="H365" s="596" t="s">
        <v>74</v>
      </c>
      <c r="I365" s="596"/>
      <c r="J365" s="596"/>
      <c r="K365" s="188">
        <f>SUM(K360:K363)</f>
        <v>485.2972313667625</v>
      </c>
      <c r="L365" s="206"/>
      <c r="M365" s="189">
        <f>K365-F365</f>
        <v>8.93031596709352</v>
      </c>
      <c r="N365" s="190">
        <f>M365/F365</f>
        <v>0.01874671745329131</v>
      </c>
    </row>
    <row r="366" spans="6:14" ht="12.75">
      <c r="F366" s="178"/>
      <c r="K366" s="178"/>
      <c r="L366" s="215"/>
      <c r="M366" s="215"/>
      <c r="N366" s="228"/>
    </row>
    <row r="367" spans="6:14" ht="13.5" thickBot="1">
      <c r="F367" s="178"/>
      <c r="K367" s="178"/>
      <c r="L367" s="215"/>
      <c r="M367" s="215"/>
      <c r="N367" s="228"/>
    </row>
    <row r="368" spans="1:14" ht="58.5" customHeight="1" thickBot="1">
      <c r="A368" s="167" t="s">
        <v>65</v>
      </c>
      <c r="B368" s="168"/>
      <c r="C368" s="609"/>
      <c r="D368" s="590" t="s">
        <v>6</v>
      </c>
      <c r="E368" s="592" t="s">
        <v>66</v>
      </c>
      <c r="F368" s="594" t="s">
        <v>179</v>
      </c>
      <c r="G368" s="165"/>
      <c r="H368" s="169"/>
      <c r="I368" s="590" t="s">
        <v>6</v>
      </c>
      <c r="J368" s="592" t="s">
        <v>66</v>
      </c>
      <c r="K368" s="594" t="s">
        <v>179</v>
      </c>
      <c r="L368" s="168"/>
      <c r="M368" s="607" t="s">
        <v>178</v>
      </c>
      <c r="N368" s="597" t="s">
        <v>67</v>
      </c>
    </row>
    <row r="369" spans="1:14" ht="13.5" thickBot="1">
      <c r="A369" s="170">
        <v>10000</v>
      </c>
      <c r="B369" s="30"/>
      <c r="C369" s="610"/>
      <c r="D369" s="591"/>
      <c r="E369" s="593"/>
      <c r="F369" s="595"/>
      <c r="G369" s="166"/>
      <c r="H369" s="30"/>
      <c r="I369" s="605"/>
      <c r="J369" s="606"/>
      <c r="K369" s="595"/>
      <c r="L369" s="31"/>
      <c r="M369" s="608"/>
      <c r="N369" s="598"/>
    </row>
    <row r="370" spans="1:14" ht="27">
      <c r="A370" s="171"/>
      <c r="B370" s="30"/>
      <c r="C370" s="172" t="s">
        <v>14</v>
      </c>
      <c r="D370" s="173" t="s">
        <v>68</v>
      </c>
      <c r="E370" s="174" t="s">
        <v>68</v>
      </c>
      <c r="F370" s="233">
        <f>F358</f>
        <v>17.02</v>
      </c>
      <c r="G370" s="166"/>
      <c r="H370" s="176" t="s">
        <v>14</v>
      </c>
      <c r="I370" s="177" t="str">
        <f>D370</f>
        <v>N/A</v>
      </c>
      <c r="J370" s="177" t="s">
        <v>68</v>
      </c>
      <c r="K370" s="492">
        <f>K358</f>
        <v>13.789027515748941</v>
      </c>
      <c r="L370" s="178"/>
      <c r="M370" s="583"/>
      <c r="N370" s="584"/>
    </row>
    <row r="371" spans="1:14" ht="13.5" thickBot="1">
      <c r="A371" s="85"/>
      <c r="B371" s="30"/>
      <c r="C371" s="179" t="s">
        <v>69</v>
      </c>
      <c r="D371" s="180">
        <f>A369</f>
        <v>10000</v>
      </c>
      <c r="E371" s="181">
        <f>E359</f>
        <v>0.01516938307993379</v>
      </c>
      <c r="F371" s="338">
        <f>D371*E371</f>
        <v>151.69383079933792</v>
      </c>
      <c r="G371" s="166"/>
      <c r="H371" s="183" t="s">
        <v>69</v>
      </c>
      <c r="I371" s="184">
        <f>D371</f>
        <v>10000</v>
      </c>
      <c r="J371" s="494">
        <f>J359</f>
        <v>0.017601640770202712</v>
      </c>
      <c r="K371" s="185">
        <f>I371*J371</f>
        <v>176.01640770202712</v>
      </c>
      <c r="L371" s="178"/>
      <c r="M371" s="599"/>
      <c r="N371" s="600"/>
    </row>
    <row r="372" spans="1:14" ht="13.5" thickBot="1">
      <c r="A372" s="85"/>
      <c r="B372" s="30"/>
      <c r="C372" s="601"/>
      <c r="D372" s="602"/>
      <c r="E372" s="186" t="s">
        <v>41</v>
      </c>
      <c r="F372" s="357">
        <f>SUM(F370:F371)</f>
        <v>168.71383079933793</v>
      </c>
      <c r="G372" s="166"/>
      <c r="H372" s="603"/>
      <c r="I372" s="604"/>
      <c r="J372" s="186" t="s">
        <v>70</v>
      </c>
      <c r="K372" s="188">
        <f>SUM(K370:K371)</f>
        <v>189.80543521777605</v>
      </c>
      <c r="L372" s="178"/>
      <c r="M372" s="189">
        <f>K372-F372</f>
        <v>21.091604418438124</v>
      </c>
      <c r="N372" s="190">
        <f>M372/F372</f>
        <v>0.12501408046103646</v>
      </c>
    </row>
    <row r="373" spans="1:14" ht="26.25">
      <c r="A373" s="85"/>
      <c r="B373" s="30"/>
      <c r="C373" s="179" t="s">
        <v>71</v>
      </c>
      <c r="D373" s="180">
        <f>A369</f>
        <v>10000</v>
      </c>
      <c r="E373" s="414">
        <v>0.0229</v>
      </c>
      <c r="F373" s="358">
        <f>D373*E373</f>
        <v>229</v>
      </c>
      <c r="G373" s="166"/>
      <c r="H373" s="183" t="s">
        <v>71</v>
      </c>
      <c r="I373" s="234">
        <f>D373</f>
        <v>10000</v>
      </c>
      <c r="J373" s="416">
        <f>E373</f>
        <v>0.0229</v>
      </c>
      <c r="K373" s="194">
        <f>F373</f>
        <v>229</v>
      </c>
      <c r="L373" s="178"/>
      <c r="M373" s="583"/>
      <c r="N373" s="584"/>
    </row>
    <row r="374" spans="1:14" ht="26.25">
      <c r="A374" s="85"/>
      <c r="B374" s="30"/>
      <c r="C374" s="195" t="s">
        <v>72</v>
      </c>
      <c r="D374" s="180">
        <v>750</v>
      </c>
      <c r="E374" s="415">
        <v>0.047</v>
      </c>
      <c r="F374" s="338">
        <f>D374*E374</f>
        <v>35.25</v>
      </c>
      <c r="G374" s="166"/>
      <c r="H374" s="195" t="s">
        <v>72</v>
      </c>
      <c r="I374" s="234">
        <f>D374</f>
        <v>750</v>
      </c>
      <c r="J374" s="415">
        <v>0.047</v>
      </c>
      <c r="K374" s="338">
        <f>I374*J374</f>
        <v>35.25</v>
      </c>
      <c r="L374" s="178"/>
      <c r="M374" s="585"/>
      <c r="N374" s="586"/>
    </row>
    <row r="375" spans="1:14" ht="27" thickBot="1">
      <c r="A375" s="85"/>
      <c r="B375" s="30"/>
      <c r="C375" s="195" t="s">
        <v>72</v>
      </c>
      <c r="D375" s="234">
        <f>A369-D374</f>
        <v>9250</v>
      </c>
      <c r="E375" s="415">
        <v>0.055</v>
      </c>
      <c r="F375" s="338">
        <f>D375*E375</f>
        <v>508.75</v>
      </c>
      <c r="G375" s="166"/>
      <c r="H375" s="339" t="s">
        <v>72</v>
      </c>
      <c r="I375" s="240">
        <f>D375</f>
        <v>9250</v>
      </c>
      <c r="J375" s="418">
        <v>0.055</v>
      </c>
      <c r="K375" s="341">
        <f>I375*J375</f>
        <v>508.75</v>
      </c>
      <c r="L375" s="178"/>
      <c r="M375" s="585"/>
      <c r="N375" s="586"/>
    </row>
    <row r="376" spans="1:14" ht="13.5" thickBot="1">
      <c r="A376" s="85"/>
      <c r="B376" s="30"/>
      <c r="C376" s="587"/>
      <c r="D376" s="588"/>
      <c r="E376" s="588"/>
      <c r="F376" s="589"/>
      <c r="G376" s="166"/>
      <c r="H376" s="588"/>
      <c r="I376" s="588"/>
      <c r="J376" s="588"/>
      <c r="K376" s="589"/>
      <c r="L376" s="30"/>
      <c r="M376" s="85"/>
      <c r="N376" s="201"/>
    </row>
    <row r="377" spans="1:14" ht="13.5" thickBot="1">
      <c r="A377" s="93"/>
      <c r="B377" s="147"/>
      <c r="C377" s="202" t="s">
        <v>73</v>
      </c>
      <c r="D377" s="203"/>
      <c r="E377" s="203"/>
      <c r="F377" s="188">
        <f>SUM(F373:F375,F372)</f>
        <v>941.713830799338</v>
      </c>
      <c r="G377" s="205"/>
      <c r="H377" s="596" t="s">
        <v>74</v>
      </c>
      <c r="I377" s="596"/>
      <c r="J377" s="596"/>
      <c r="K377" s="188">
        <f>SUM(K372:K375)</f>
        <v>962.805435217776</v>
      </c>
      <c r="L377" s="206"/>
      <c r="M377" s="189">
        <f>K377-F377</f>
        <v>21.09160441843801</v>
      </c>
      <c r="N377" s="190">
        <f>M377/F377</f>
        <v>0.022397042210302046</v>
      </c>
    </row>
    <row r="378" spans="6:14" ht="12.75">
      <c r="F378" s="178"/>
      <c r="K378" s="178"/>
      <c r="L378" s="215"/>
      <c r="M378" s="215"/>
      <c r="N378" s="228"/>
    </row>
    <row r="379" spans="6:14" ht="13.5" thickBot="1">
      <c r="F379" s="178"/>
      <c r="K379" s="178"/>
      <c r="L379" s="215"/>
      <c r="M379" s="215"/>
      <c r="N379" s="228"/>
    </row>
    <row r="380" spans="1:14" ht="55.5" customHeight="1" thickBot="1">
      <c r="A380" s="167" t="s">
        <v>65</v>
      </c>
      <c r="B380" s="168"/>
      <c r="C380" s="609"/>
      <c r="D380" s="590" t="s">
        <v>6</v>
      </c>
      <c r="E380" s="592" t="s">
        <v>66</v>
      </c>
      <c r="F380" s="594" t="s">
        <v>179</v>
      </c>
      <c r="G380" s="165"/>
      <c r="H380" s="169"/>
      <c r="I380" s="590" t="s">
        <v>6</v>
      </c>
      <c r="J380" s="592" t="s">
        <v>66</v>
      </c>
      <c r="K380" s="594" t="s">
        <v>179</v>
      </c>
      <c r="L380" s="168"/>
      <c r="M380" s="607" t="s">
        <v>178</v>
      </c>
      <c r="N380" s="597" t="s">
        <v>67</v>
      </c>
    </row>
    <row r="381" spans="1:14" ht="13.5" thickBot="1">
      <c r="A381" s="170">
        <v>15000</v>
      </c>
      <c r="B381" s="30"/>
      <c r="C381" s="610"/>
      <c r="D381" s="591"/>
      <c r="E381" s="593"/>
      <c r="F381" s="595"/>
      <c r="G381" s="166"/>
      <c r="H381" s="30"/>
      <c r="I381" s="605"/>
      <c r="J381" s="606"/>
      <c r="K381" s="595"/>
      <c r="L381" s="31"/>
      <c r="M381" s="608"/>
      <c r="N381" s="598"/>
    </row>
    <row r="382" spans="1:14" ht="27">
      <c r="A382" s="171"/>
      <c r="B382" s="30"/>
      <c r="C382" s="172" t="s">
        <v>14</v>
      </c>
      <c r="D382" s="173" t="s">
        <v>68</v>
      </c>
      <c r="E382" s="174" t="s">
        <v>68</v>
      </c>
      <c r="F382" s="175">
        <f>F370</f>
        <v>17.02</v>
      </c>
      <c r="G382" s="166"/>
      <c r="H382" s="176" t="s">
        <v>14</v>
      </c>
      <c r="I382" s="177" t="str">
        <f>D382</f>
        <v>N/A</v>
      </c>
      <c r="J382" s="177" t="s">
        <v>68</v>
      </c>
      <c r="K382" s="492">
        <f>K370</f>
        <v>13.789027515748941</v>
      </c>
      <c r="L382" s="178"/>
      <c r="M382" s="583"/>
      <c r="N382" s="584"/>
    </row>
    <row r="383" spans="1:14" ht="13.5" thickBot="1">
      <c r="A383" s="85"/>
      <c r="B383" s="30"/>
      <c r="C383" s="179" t="s">
        <v>69</v>
      </c>
      <c r="D383" s="180">
        <f>A381</f>
        <v>15000</v>
      </c>
      <c r="E383" s="181">
        <f>E371</f>
        <v>0.01516938307993379</v>
      </c>
      <c r="F383" s="182">
        <f>D383*E383</f>
        <v>227.54074619900686</v>
      </c>
      <c r="G383" s="166"/>
      <c r="H383" s="183" t="s">
        <v>69</v>
      </c>
      <c r="I383" s="184">
        <f>D383</f>
        <v>15000</v>
      </c>
      <c r="J383" s="494">
        <f>J371</f>
        <v>0.017601640770202712</v>
      </c>
      <c r="K383" s="185">
        <f>I383*J383</f>
        <v>264.0246115530407</v>
      </c>
      <c r="L383" s="178"/>
      <c r="M383" s="599"/>
      <c r="N383" s="600"/>
    </row>
    <row r="384" spans="1:14" ht="13.5" thickBot="1">
      <c r="A384" s="85"/>
      <c r="B384" s="30"/>
      <c r="C384" s="601"/>
      <c r="D384" s="602"/>
      <c r="E384" s="186" t="s">
        <v>41</v>
      </c>
      <c r="F384" s="187">
        <f>SUM(F382:F383)</f>
        <v>244.56074619900687</v>
      </c>
      <c r="G384" s="166"/>
      <c r="H384" s="603"/>
      <c r="I384" s="604"/>
      <c r="J384" s="186" t="s">
        <v>70</v>
      </c>
      <c r="K384" s="188">
        <f>SUM(K382:K383)</f>
        <v>277.81363906878966</v>
      </c>
      <c r="L384" s="178"/>
      <c r="M384" s="189">
        <f>K384-F384</f>
        <v>33.252892869782784</v>
      </c>
      <c r="N384" s="190">
        <f>M384/F384</f>
        <v>0.1359698700081813</v>
      </c>
    </row>
    <row r="385" spans="1:14" ht="26.25">
      <c r="A385" s="85"/>
      <c r="B385" s="30"/>
      <c r="C385" s="179" t="s">
        <v>71</v>
      </c>
      <c r="D385" s="180">
        <f>A381</f>
        <v>15000</v>
      </c>
      <c r="E385" s="414">
        <v>0.0229</v>
      </c>
      <c r="F385" s="192">
        <f>D385*E385</f>
        <v>343.5</v>
      </c>
      <c r="G385" s="166"/>
      <c r="H385" s="183" t="s">
        <v>71</v>
      </c>
      <c r="I385" s="234">
        <f>D385</f>
        <v>15000</v>
      </c>
      <c r="J385" s="419">
        <f>E385</f>
        <v>0.0229</v>
      </c>
      <c r="K385" s="194">
        <f>F385</f>
        <v>343.5</v>
      </c>
      <c r="L385" s="178"/>
      <c r="M385" s="583"/>
      <c r="N385" s="584"/>
    </row>
    <row r="386" spans="1:14" ht="26.25">
      <c r="A386" s="85"/>
      <c r="B386" s="30"/>
      <c r="C386" s="195" t="s">
        <v>72</v>
      </c>
      <c r="D386" s="180">
        <v>750</v>
      </c>
      <c r="E386" s="415">
        <v>0.047</v>
      </c>
      <c r="F386" s="182">
        <f>D386*E386</f>
        <v>35.25</v>
      </c>
      <c r="G386" s="166"/>
      <c r="H386" s="195" t="s">
        <v>72</v>
      </c>
      <c r="I386" s="234">
        <f>D386</f>
        <v>750</v>
      </c>
      <c r="J386" s="420">
        <v>0.047</v>
      </c>
      <c r="K386" s="338">
        <f>I386*J386</f>
        <v>35.25</v>
      </c>
      <c r="L386" s="178"/>
      <c r="M386" s="585"/>
      <c r="N386" s="586"/>
    </row>
    <row r="387" spans="1:14" ht="27" thickBot="1">
      <c r="A387" s="85"/>
      <c r="B387" s="30"/>
      <c r="C387" s="195" t="s">
        <v>72</v>
      </c>
      <c r="D387" s="234">
        <f>A381-D386</f>
        <v>14250</v>
      </c>
      <c r="E387" s="415">
        <v>0.055</v>
      </c>
      <c r="F387" s="182">
        <f>D387*E387</f>
        <v>783.75</v>
      </c>
      <c r="G387" s="166"/>
      <c r="H387" s="339" t="s">
        <v>72</v>
      </c>
      <c r="I387" s="240">
        <f>D387</f>
        <v>14250</v>
      </c>
      <c r="J387" s="421">
        <v>0.055</v>
      </c>
      <c r="K387" s="341">
        <f>I387*J387</f>
        <v>783.75</v>
      </c>
      <c r="L387" s="178"/>
      <c r="M387" s="585"/>
      <c r="N387" s="586"/>
    </row>
    <row r="388" spans="1:14" ht="13.5" thickBot="1">
      <c r="A388" s="85"/>
      <c r="B388" s="30"/>
      <c r="C388" s="587"/>
      <c r="D388" s="588"/>
      <c r="E388" s="588"/>
      <c r="F388" s="588"/>
      <c r="G388" s="166"/>
      <c r="H388" s="588"/>
      <c r="I388" s="588"/>
      <c r="J388" s="588"/>
      <c r="K388" s="589"/>
      <c r="L388" s="30"/>
      <c r="M388" s="85"/>
      <c r="N388" s="201"/>
    </row>
    <row r="389" spans="1:14" ht="13.5" thickBot="1">
      <c r="A389" s="93"/>
      <c r="B389" s="147"/>
      <c r="C389" s="202" t="s">
        <v>73</v>
      </c>
      <c r="D389" s="203"/>
      <c r="E389" s="203"/>
      <c r="F389" s="204">
        <f>SUM(F385:F387,F384)</f>
        <v>1407.0607461990069</v>
      </c>
      <c r="G389" s="205"/>
      <c r="H389" s="596" t="s">
        <v>74</v>
      </c>
      <c r="I389" s="596"/>
      <c r="J389" s="596"/>
      <c r="K389" s="188">
        <f>SUM(K384:K387)</f>
        <v>1440.3136390687896</v>
      </c>
      <c r="L389" s="206"/>
      <c r="M389" s="189">
        <f>K389-F389</f>
        <v>33.25289286978273</v>
      </c>
      <c r="N389" s="190">
        <f>M389/F389</f>
        <v>0.023632876519092107</v>
      </c>
    </row>
    <row r="390" spans="6:14" ht="12.75">
      <c r="F390" s="178"/>
      <c r="K390" s="178"/>
      <c r="L390" s="215"/>
      <c r="M390" s="215"/>
      <c r="N390" s="228"/>
    </row>
    <row r="391" spans="1:14" ht="13.5" thickBot="1">
      <c r="A391" s="147"/>
      <c r="B391" s="147"/>
      <c r="C391" s="147"/>
      <c r="D391" s="147"/>
      <c r="E391" s="147"/>
      <c r="F391" s="147"/>
      <c r="G391" s="147"/>
      <c r="H391" s="147"/>
      <c r="I391" s="147"/>
      <c r="J391" s="147"/>
      <c r="K391" s="229"/>
      <c r="L391" s="147"/>
      <c r="M391" s="147"/>
      <c r="N391" s="230"/>
    </row>
    <row r="392" ht="12.75">
      <c r="K392" s="160"/>
    </row>
    <row r="393" spans="1:13" ht="22.5">
      <c r="A393" s="219" t="s">
        <v>224</v>
      </c>
      <c r="B393" s="129"/>
      <c r="F393" s="215"/>
      <c r="J393" s="220"/>
      <c r="K393" s="215"/>
      <c r="L393" s="215"/>
      <c r="M393" s="215"/>
    </row>
    <row r="394" spans="1:13" ht="15">
      <c r="A394" s="129"/>
      <c r="B394" s="129"/>
      <c r="D394" s="30"/>
      <c r="F394" s="215"/>
      <c r="J394" s="220"/>
      <c r="K394" s="215"/>
      <c r="L394" s="215"/>
      <c r="M394" s="215"/>
    </row>
    <row r="395" spans="1:14" ht="15">
      <c r="A395" s="139" t="s">
        <v>81</v>
      </c>
      <c r="B395" s="231"/>
      <c r="C395" s="142"/>
      <c r="D395" s="222"/>
      <c r="E395" s="142"/>
      <c r="F395" s="223"/>
      <c r="G395" s="142"/>
      <c r="H395" s="142"/>
      <c r="I395" s="142"/>
      <c r="J395" s="224"/>
      <c r="K395" s="223"/>
      <c r="L395" s="223"/>
      <c r="M395" s="223"/>
      <c r="N395" s="225"/>
    </row>
    <row r="396" spans="1:14" ht="15">
      <c r="A396" s="139" t="s">
        <v>40</v>
      </c>
      <c r="B396" s="231"/>
      <c r="C396" s="142"/>
      <c r="D396" s="222"/>
      <c r="E396" s="142"/>
      <c r="F396" s="223"/>
      <c r="G396" s="142"/>
      <c r="H396" s="142"/>
      <c r="I396" s="142"/>
      <c r="J396" s="224"/>
      <c r="K396" s="223"/>
      <c r="L396" s="223"/>
      <c r="M396" s="223"/>
      <c r="N396" s="225"/>
    </row>
    <row r="397" spans="1:14" ht="15">
      <c r="A397" s="139" t="s">
        <v>141</v>
      </c>
      <c r="B397" s="231"/>
      <c r="C397" s="142"/>
      <c r="D397" s="222"/>
      <c r="E397" s="142"/>
      <c r="F397" s="223"/>
      <c r="G397" s="142"/>
      <c r="H397" s="142"/>
      <c r="I397" s="142"/>
      <c r="J397" s="224"/>
      <c r="K397" s="223"/>
      <c r="L397" s="223"/>
      <c r="M397" s="223"/>
      <c r="N397" s="225"/>
    </row>
    <row r="398" spans="1:14" ht="15">
      <c r="A398" s="139" t="s">
        <v>140</v>
      </c>
      <c r="B398" s="231"/>
      <c r="C398" s="142"/>
      <c r="D398" s="222"/>
      <c r="E398" s="142"/>
      <c r="F398" s="223"/>
      <c r="G398" s="142"/>
      <c r="H398" s="142"/>
      <c r="I398" s="142"/>
      <c r="J398" s="224"/>
      <c r="K398" s="223"/>
      <c r="L398" s="223"/>
      <c r="M398" s="223"/>
      <c r="N398" s="225"/>
    </row>
    <row r="399" spans="1:13" ht="15.75" thickBot="1">
      <c r="A399" s="129"/>
      <c r="B399" s="129"/>
      <c r="D399" s="30"/>
      <c r="F399" s="215"/>
      <c r="J399" s="220"/>
      <c r="K399" s="215"/>
      <c r="L399" s="215"/>
      <c r="M399" s="215"/>
    </row>
    <row r="400" spans="1:14" ht="13.5">
      <c r="A400" s="10"/>
      <c r="C400" s="617" t="s">
        <v>82</v>
      </c>
      <c r="D400" s="618"/>
      <c r="E400" s="618"/>
      <c r="F400" s="619"/>
      <c r="G400" s="165"/>
      <c r="H400" s="617" t="s">
        <v>83</v>
      </c>
      <c r="I400" s="618"/>
      <c r="J400" s="618"/>
      <c r="K400" s="618"/>
      <c r="L400" s="618"/>
      <c r="M400" s="618"/>
      <c r="N400" s="619"/>
    </row>
    <row r="401" spans="1:14" ht="13.5" thickBot="1">
      <c r="A401"/>
      <c r="C401" s="620"/>
      <c r="D401" s="621"/>
      <c r="E401" s="621"/>
      <c r="F401" s="622"/>
      <c r="G401" s="166"/>
      <c r="H401" s="620"/>
      <c r="I401" s="621"/>
      <c r="J401" s="621"/>
      <c r="K401" s="621"/>
      <c r="L401" s="621"/>
      <c r="M401" s="621"/>
      <c r="N401" s="622"/>
    </row>
    <row r="402" spans="1:14" ht="60" customHeight="1">
      <c r="A402" s="167" t="s">
        <v>10</v>
      </c>
      <c r="B402" s="168"/>
      <c r="C402" s="609"/>
      <c r="D402" s="590" t="s">
        <v>75</v>
      </c>
      <c r="E402" s="592" t="s">
        <v>76</v>
      </c>
      <c r="F402" s="594" t="s">
        <v>179</v>
      </c>
      <c r="G402" s="165"/>
      <c r="H402" s="169"/>
      <c r="I402" s="590" t="s">
        <v>75</v>
      </c>
      <c r="J402" s="592" t="s">
        <v>76</v>
      </c>
      <c r="K402" s="594" t="s">
        <v>179</v>
      </c>
      <c r="L402" s="168"/>
      <c r="M402" s="607" t="s">
        <v>178</v>
      </c>
      <c r="N402" s="597" t="s">
        <v>67</v>
      </c>
    </row>
    <row r="403" spans="1:14" ht="13.5" thickBot="1">
      <c r="A403" s="11" t="s">
        <v>5</v>
      </c>
      <c r="B403" s="30"/>
      <c r="C403" s="610"/>
      <c r="D403" s="591"/>
      <c r="E403" s="593"/>
      <c r="F403" s="595"/>
      <c r="G403" s="166"/>
      <c r="H403" s="30"/>
      <c r="I403" s="591"/>
      <c r="J403" s="593"/>
      <c r="K403" s="595"/>
      <c r="L403" s="31"/>
      <c r="M403" s="608"/>
      <c r="N403" s="598"/>
    </row>
    <row r="404" spans="1:14" ht="27" thickBot="1">
      <c r="A404" s="232">
        <v>60</v>
      </c>
      <c r="B404" s="30"/>
      <c r="C404" s="172" t="s">
        <v>14</v>
      </c>
      <c r="D404" s="173" t="s">
        <v>68</v>
      </c>
      <c r="E404" s="174" t="s">
        <v>68</v>
      </c>
      <c r="F404" s="496">
        <f>'12. Current Rates'!$D$77</f>
        <v>29.99</v>
      </c>
      <c r="G404" s="166"/>
      <c r="H404" s="176" t="s">
        <v>14</v>
      </c>
      <c r="I404" s="173" t="str">
        <f>D404</f>
        <v>N/A</v>
      </c>
      <c r="J404" s="173" t="s">
        <v>68</v>
      </c>
      <c r="K404" s="488">
        <f>'11. 2005 Final Rate Schedule '!$F$62</f>
        <v>25.415302837827074</v>
      </c>
      <c r="L404" s="178"/>
      <c r="M404" s="583"/>
      <c r="N404" s="584"/>
    </row>
    <row r="405" spans="1:14" ht="13.5" thickBot="1">
      <c r="A405" s="11" t="s">
        <v>6</v>
      </c>
      <c r="B405" s="30"/>
      <c r="C405" s="179" t="s">
        <v>77</v>
      </c>
      <c r="D405" s="234">
        <f>A404</f>
        <v>60</v>
      </c>
      <c r="E405" s="495">
        <f>'12. Current Rates'!$D$75</f>
        <v>5.533049579480832</v>
      </c>
      <c r="F405" s="182">
        <f>D405*E405</f>
        <v>331.98297476884994</v>
      </c>
      <c r="G405" s="166"/>
      <c r="H405" s="183" t="s">
        <v>77</v>
      </c>
      <c r="I405" s="184">
        <f>D405</f>
        <v>60</v>
      </c>
      <c r="J405" s="497">
        <f>'11. 2005 Final Rate Schedule '!$F$63</f>
        <v>5.18562994058236</v>
      </c>
      <c r="K405" s="236">
        <f>I405*J405</f>
        <v>311.1377964349416</v>
      </c>
      <c r="L405" s="178"/>
      <c r="M405" s="599"/>
      <c r="N405" s="600"/>
    </row>
    <row r="406" spans="1:14" ht="13.5" thickBot="1">
      <c r="A406" s="232">
        <v>15000</v>
      </c>
      <c r="B406" s="30"/>
      <c r="C406" s="601"/>
      <c r="D406" s="602"/>
      <c r="E406" s="186" t="s">
        <v>41</v>
      </c>
      <c r="F406" s="187">
        <f>SUM(F404:F405)</f>
        <v>361.97297476884995</v>
      </c>
      <c r="G406" s="166"/>
      <c r="H406" s="603"/>
      <c r="I406" s="604"/>
      <c r="J406" s="186" t="s">
        <v>70</v>
      </c>
      <c r="K406" s="188">
        <f>SUM(K404:K405)</f>
        <v>336.5530992727687</v>
      </c>
      <c r="L406" s="178"/>
      <c r="M406" s="189">
        <f>K406-F406</f>
        <v>-25.41987549608126</v>
      </c>
      <c r="N406" s="190">
        <f>M406/F406</f>
        <v>-0.07022589327922611</v>
      </c>
    </row>
    <row r="407" spans="1:14" ht="26.25">
      <c r="A407" s="85"/>
      <c r="B407" s="30"/>
      <c r="C407" s="179" t="s">
        <v>78</v>
      </c>
      <c r="D407" s="234">
        <f>A404</f>
        <v>60</v>
      </c>
      <c r="E407" s="414">
        <v>3.91</v>
      </c>
      <c r="F407" s="192">
        <f>D407*E407</f>
        <v>234.60000000000002</v>
      </c>
      <c r="G407" s="166"/>
      <c r="H407" s="183" t="s">
        <v>78</v>
      </c>
      <c r="I407" s="246">
        <f aca="true" t="shared" si="15" ref="I407:K408">D407</f>
        <v>60</v>
      </c>
      <c r="J407" s="422">
        <f t="shared" si="15"/>
        <v>3.91</v>
      </c>
      <c r="K407" s="238">
        <f t="shared" si="15"/>
        <v>234.60000000000002</v>
      </c>
      <c r="L407" s="178"/>
      <c r="M407" s="239"/>
      <c r="N407" s="245"/>
    </row>
    <row r="408" spans="1:14" ht="26.25">
      <c r="A408" s="85"/>
      <c r="B408" s="30"/>
      <c r="C408" s="179" t="s">
        <v>71</v>
      </c>
      <c r="D408" s="234">
        <f>A406</f>
        <v>15000</v>
      </c>
      <c r="E408" s="414">
        <v>0.0132</v>
      </c>
      <c r="F408" s="192">
        <f>D408*E408</f>
        <v>198</v>
      </c>
      <c r="G408" s="166"/>
      <c r="H408" s="183" t="s">
        <v>71</v>
      </c>
      <c r="I408" s="234">
        <f t="shared" si="15"/>
        <v>15000</v>
      </c>
      <c r="J408" s="422">
        <f t="shared" si="15"/>
        <v>0.0132</v>
      </c>
      <c r="K408" s="238">
        <f t="shared" si="15"/>
        <v>198</v>
      </c>
      <c r="L408" s="178"/>
      <c r="M408" s="585"/>
      <c r="N408" s="586"/>
    </row>
    <row r="409" spans="1:14" ht="27" thickBot="1">
      <c r="A409" s="85"/>
      <c r="B409" s="30"/>
      <c r="C409" s="195" t="s">
        <v>72</v>
      </c>
      <c r="D409" s="180">
        <v>750</v>
      </c>
      <c r="E409" s="415">
        <v>0.055</v>
      </c>
      <c r="F409" s="182">
        <f>D409*E409</f>
        <v>41.25</v>
      </c>
      <c r="G409" s="166"/>
      <c r="H409" s="195" t="s">
        <v>72</v>
      </c>
      <c r="I409" s="240">
        <f>D409</f>
        <v>750</v>
      </c>
      <c r="J409" s="415">
        <f>E409</f>
        <v>0.055</v>
      </c>
      <c r="K409" s="338">
        <f>I409*J409</f>
        <v>41.25</v>
      </c>
      <c r="L409" s="178"/>
      <c r="M409" s="585"/>
      <c r="N409" s="586"/>
    </row>
    <row r="410" spans="1:14" ht="13.5" thickBot="1">
      <c r="A410" s="85"/>
      <c r="B410" s="30"/>
      <c r="C410" s="587"/>
      <c r="D410" s="588"/>
      <c r="E410" s="588"/>
      <c r="F410" s="588"/>
      <c r="G410" s="166"/>
      <c r="H410" s="588"/>
      <c r="I410" s="588"/>
      <c r="J410" s="588"/>
      <c r="K410" s="589"/>
      <c r="L410" s="30"/>
      <c r="M410" s="85"/>
      <c r="N410" s="201"/>
    </row>
    <row r="411" spans="1:14" ht="13.5" thickBot="1">
      <c r="A411" s="93"/>
      <c r="B411" s="147"/>
      <c r="C411" s="202" t="s">
        <v>73</v>
      </c>
      <c r="D411" s="203"/>
      <c r="E411" s="203"/>
      <c r="F411" s="204">
        <f>SUM(F407:F409)+F406</f>
        <v>835.8229747688499</v>
      </c>
      <c r="G411" s="205"/>
      <c r="H411" s="596" t="s">
        <v>74</v>
      </c>
      <c r="I411" s="596"/>
      <c r="J411" s="596"/>
      <c r="K411" s="188">
        <f>SUM(K407:K409)+K406</f>
        <v>810.4030992727687</v>
      </c>
      <c r="L411" s="206"/>
      <c r="M411" s="189">
        <f>K411-F411</f>
        <v>-25.419875496081204</v>
      </c>
      <c r="N411" s="190">
        <f>M411/F411</f>
        <v>-0.030412989668190407</v>
      </c>
    </row>
    <row r="412" spans="6:14" ht="12.75">
      <c r="F412" s="178"/>
      <c r="K412" s="178"/>
      <c r="L412" s="215"/>
      <c r="M412" s="215"/>
      <c r="N412" s="228"/>
    </row>
    <row r="413" spans="6:14" ht="13.5" thickBot="1">
      <c r="F413" s="178"/>
      <c r="K413" s="178"/>
      <c r="L413" s="215"/>
      <c r="M413" s="215"/>
      <c r="N413" s="228"/>
    </row>
    <row r="414" spans="1:14" ht="51.75" customHeight="1">
      <c r="A414" s="167" t="s">
        <v>10</v>
      </c>
      <c r="B414" s="168"/>
      <c r="C414" s="609"/>
      <c r="D414" s="590" t="s">
        <v>75</v>
      </c>
      <c r="E414" s="592" t="s">
        <v>76</v>
      </c>
      <c r="F414" s="594" t="s">
        <v>179</v>
      </c>
      <c r="G414" s="165"/>
      <c r="H414" s="169"/>
      <c r="I414" s="590" t="s">
        <v>75</v>
      </c>
      <c r="J414" s="592" t="s">
        <v>76</v>
      </c>
      <c r="K414" s="594" t="s">
        <v>179</v>
      </c>
      <c r="L414" s="168"/>
      <c r="M414" s="607" t="s">
        <v>178</v>
      </c>
      <c r="N414" s="597" t="s">
        <v>67</v>
      </c>
    </row>
    <row r="415" spans="1:14" ht="13.5" thickBot="1">
      <c r="A415" s="11" t="s">
        <v>5</v>
      </c>
      <c r="B415" s="30"/>
      <c r="C415" s="610"/>
      <c r="D415" s="591"/>
      <c r="E415" s="593"/>
      <c r="F415" s="595"/>
      <c r="G415" s="166"/>
      <c r="H415" s="30"/>
      <c r="I415" s="591"/>
      <c r="J415" s="593"/>
      <c r="K415" s="595"/>
      <c r="L415" s="31"/>
      <c r="M415" s="608"/>
      <c r="N415" s="598"/>
    </row>
    <row r="416" spans="1:14" ht="27" thickBot="1">
      <c r="A416" s="232">
        <v>100</v>
      </c>
      <c r="B416" s="30"/>
      <c r="C416" s="172" t="s">
        <v>14</v>
      </c>
      <c r="D416" s="173" t="s">
        <v>68</v>
      </c>
      <c r="E416" s="174" t="s">
        <v>68</v>
      </c>
      <c r="F416" s="496">
        <f>F404</f>
        <v>29.99</v>
      </c>
      <c r="G416" s="166"/>
      <c r="H416" s="176" t="s">
        <v>14</v>
      </c>
      <c r="I416" s="173" t="str">
        <f>D416</f>
        <v>N/A</v>
      </c>
      <c r="J416" s="173" t="s">
        <v>68</v>
      </c>
      <c r="K416" s="488">
        <f>K404</f>
        <v>25.415302837827074</v>
      </c>
      <c r="L416" s="178"/>
      <c r="M416" s="583"/>
      <c r="N416" s="584"/>
    </row>
    <row r="417" spans="1:14" ht="13.5" thickBot="1">
      <c r="A417" s="11" t="s">
        <v>6</v>
      </c>
      <c r="B417" s="30"/>
      <c r="C417" s="179" t="s">
        <v>77</v>
      </c>
      <c r="D417" s="234">
        <f>A416</f>
        <v>100</v>
      </c>
      <c r="E417" s="495">
        <f>E405</f>
        <v>5.533049579480832</v>
      </c>
      <c r="F417" s="182">
        <f>D417*E417</f>
        <v>553.3049579480833</v>
      </c>
      <c r="G417" s="166"/>
      <c r="H417" s="183" t="s">
        <v>77</v>
      </c>
      <c r="I417" s="184">
        <f>D417</f>
        <v>100</v>
      </c>
      <c r="J417" s="497">
        <f>J405</f>
        <v>5.18562994058236</v>
      </c>
      <c r="K417" s="236">
        <f>I417*J417</f>
        <v>518.562994058236</v>
      </c>
      <c r="L417" s="178"/>
      <c r="M417" s="599"/>
      <c r="N417" s="600"/>
    </row>
    <row r="418" spans="1:14" ht="13.5" thickBot="1">
      <c r="A418" s="232">
        <v>40000</v>
      </c>
      <c r="B418" s="30"/>
      <c r="C418" s="601"/>
      <c r="D418" s="602"/>
      <c r="E418" s="186" t="s">
        <v>41</v>
      </c>
      <c r="F418" s="187">
        <f>SUM(F416:F417)</f>
        <v>583.2949579480833</v>
      </c>
      <c r="G418" s="166"/>
      <c r="H418" s="603"/>
      <c r="I418" s="604"/>
      <c r="J418" s="186" t="s">
        <v>70</v>
      </c>
      <c r="K418" s="188">
        <f>SUM(K416:K417)</f>
        <v>543.9782968960631</v>
      </c>
      <c r="L418" s="178"/>
      <c r="M418" s="189">
        <f>K418-F418</f>
        <v>-39.31666105202021</v>
      </c>
      <c r="N418" s="190">
        <f>M418/F418</f>
        <v>-0.06740442466763039</v>
      </c>
    </row>
    <row r="419" spans="1:14" ht="26.25">
      <c r="A419" s="85"/>
      <c r="B419" s="30"/>
      <c r="C419" s="179" t="s">
        <v>78</v>
      </c>
      <c r="D419" s="234">
        <f>A416</f>
        <v>100</v>
      </c>
      <c r="E419" s="414">
        <v>3.91</v>
      </c>
      <c r="F419" s="192">
        <f>D419*E419</f>
        <v>391</v>
      </c>
      <c r="G419" s="166"/>
      <c r="H419" s="183" t="s">
        <v>78</v>
      </c>
      <c r="I419" s="246">
        <f aca="true" t="shared" si="16" ref="I419:K420">D419</f>
        <v>100</v>
      </c>
      <c r="J419" s="422">
        <f t="shared" si="16"/>
        <v>3.91</v>
      </c>
      <c r="K419" s="238">
        <f t="shared" si="16"/>
        <v>391</v>
      </c>
      <c r="L419" s="178"/>
      <c r="M419" s="239"/>
      <c r="N419" s="245"/>
    </row>
    <row r="420" spans="1:14" ht="26.25">
      <c r="A420" s="85"/>
      <c r="B420" s="30"/>
      <c r="C420" s="179" t="s">
        <v>71</v>
      </c>
      <c r="D420" s="234">
        <f>A418</f>
        <v>40000</v>
      </c>
      <c r="E420" s="414">
        <v>0.0132</v>
      </c>
      <c r="F420" s="192">
        <f>D420*E420</f>
        <v>528</v>
      </c>
      <c r="G420" s="166"/>
      <c r="H420" s="183" t="s">
        <v>71</v>
      </c>
      <c r="I420" s="234">
        <f t="shared" si="16"/>
        <v>40000</v>
      </c>
      <c r="J420" s="422">
        <f t="shared" si="16"/>
        <v>0.0132</v>
      </c>
      <c r="K420" s="238">
        <f t="shared" si="16"/>
        <v>528</v>
      </c>
      <c r="L420" s="178"/>
      <c r="M420" s="585"/>
      <c r="N420" s="586"/>
    </row>
    <row r="421" spans="1:14" ht="27" thickBot="1">
      <c r="A421" s="85"/>
      <c r="B421" s="30"/>
      <c r="C421" s="195" t="s">
        <v>72</v>
      </c>
      <c r="D421" s="234">
        <f>A418</f>
        <v>40000</v>
      </c>
      <c r="E421" s="415">
        <v>0.055</v>
      </c>
      <c r="F421" s="182">
        <f>D421*E421</f>
        <v>2200</v>
      </c>
      <c r="G421" s="166"/>
      <c r="H421" s="195" t="s">
        <v>72</v>
      </c>
      <c r="I421" s="240">
        <f>D421</f>
        <v>40000</v>
      </c>
      <c r="J421" s="423">
        <v>0.055</v>
      </c>
      <c r="K421" s="242">
        <f>F421</f>
        <v>2200</v>
      </c>
      <c r="L421" s="178"/>
      <c r="M421" s="585"/>
      <c r="N421" s="586"/>
    </row>
    <row r="422" spans="1:14" ht="13.5" thickBot="1">
      <c r="A422" s="85"/>
      <c r="B422" s="30"/>
      <c r="C422" s="587"/>
      <c r="D422" s="588"/>
      <c r="E422" s="588"/>
      <c r="F422" s="588"/>
      <c r="G422" s="166"/>
      <c r="H422" s="588"/>
      <c r="I422" s="588"/>
      <c r="J422" s="588"/>
      <c r="K422" s="589"/>
      <c r="L422" s="30"/>
      <c r="M422" s="85"/>
      <c r="N422" s="201"/>
    </row>
    <row r="423" spans="1:14" ht="13.5" thickBot="1">
      <c r="A423" s="93"/>
      <c r="B423" s="147"/>
      <c r="C423" s="202" t="s">
        <v>73</v>
      </c>
      <c r="D423" s="203"/>
      <c r="E423" s="203"/>
      <c r="F423" s="204">
        <f>SUM(F419:F421)+F418</f>
        <v>3702.2949579480833</v>
      </c>
      <c r="G423" s="205"/>
      <c r="H423" s="596" t="s">
        <v>74</v>
      </c>
      <c r="I423" s="596"/>
      <c r="J423" s="596"/>
      <c r="K423" s="188">
        <f>SUM(K419:K421)+K418</f>
        <v>3662.978296896063</v>
      </c>
      <c r="L423" s="206"/>
      <c r="M423" s="189">
        <f>K423-F423</f>
        <v>-39.31666105202021</v>
      </c>
      <c r="N423" s="190">
        <f>M423/F423</f>
        <v>-0.01061953774580149</v>
      </c>
    </row>
    <row r="424" spans="1:13" ht="15">
      <c r="A424" s="129"/>
      <c r="B424" s="129"/>
      <c r="F424" s="215"/>
      <c r="J424" s="220"/>
      <c r="K424" s="215"/>
      <c r="L424" s="215"/>
      <c r="M424" s="215"/>
    </row>
    <row r="425" spans="6:13" ht="13.5" thickBot="1">
      <c r="F425" s="215"/>
      <c r="J425" s="220"/>
      <c r="K425" s="215"/>
      <c r="L425" s="215"/>
      <c r="M425" s="215"/>
    </row>
    <row r="426" spans="1:14" ht="53.25" customHeight="1">
      <c r="A426" s="167" t="s">
        <v>10</v>
      </c>
      <c r="B426" s="168"/>
      <c r="C426" s="609"/>
      <c r="D426" s="590" t="s">
        <v>75</v>
      </c>
      <c r="E426" s="592" t="s">
        <v>76</v>
      </c>
      <c r="F426" s="594" t="s">
        <v>179</v>
      </c>
      <c r="G426" s="165"/>
      <c r="H426" s="169"/>
      <c r="I426" s="590" t="s">
        <v>75</v>
      </c>
      <c r="J426" s="592" t="s">
        <v>76</v>
      </c>
      <c r="K426" s="594" t="s">
        <v>179</v>
      </c>
      <c r="L426" s="168"/>
      <c r="M426" s="607" t="s">
        <v>178</v>
      </c>
      <c r="N426" s="597" t="s">
        <v>67</v>
      </c>
    </row>
    <row r="427" spans="1:14" ht="13.5" thickBot="1">
      <c r="A427" s="11" t="s">
        <v>5</v>
      </c>
      <c r="B427" s="30"/>
      <c r="C427" s="610"/>
      <c r="D427" s="591"/>
      <c r="E427" s="593"/>
      <c r="F427" s="595"/>
      <c r="G427" s="166"/>
      <c r="H427" s="30"/>
      <c r="I427" s="591"/>
      <c r="J427" s="593"/>
      <c r="K427" s="595"/>
      <c r="L427" s="31"/>
      <c r="M427" s="608"/>
      <c r="N427" s="598"/>
    </row>
    <row r="428" spans="1:14" ht="27" thickBot="1">
      <c r="A428" s="232">
        <v>500</v>
      </c>
      <c r="B428" s="30"/>
      <c r="C428" s="172" t="s">
        <v>14</v>
      </c>
      <c r="D428" s="173" t="s">
        <v>68</v>
      </c>
      <c r="E428" s="174" t="s">
        <v>68</v>
      </c>
      <c r="F428" s="496">
        <f>F416</f>
        <v>29.99</v>
      </c>
      <c r="G428" s="166"/>
      <c r="H428" s="176" t="s">
        <v>14</v>
      </c>
      <c r="I428" s="173" t="str">
        <f>D428</f>
        <v>N/A</v>
      </c>
      <c r="J428" s="173" t="s">
        <v>68</v>
      </c>
      <c r="K428" s="488">
        <f>K416</f>
        <v>25.415302837827074</v>
      </c>
      <c r="L428" s="178"/>
      <c r="M428" s="583"/>
      <c r="N428" s="584"/>
    </row>
    <row r="429" spans="1:14" ht="13.5" thickBot="1">
      <c r="A429" s="11" t="s">
        <v>6</v>
      </c>
      <c r="B429" s="30"/>
      <c r="C429" s="179" t="s">
        <v>77</v>
      </c>
      <c r="D429" s="234">
        <f>A428</f>
        <v>500</v>
      </c>
      <c r="E429" s="495">
        <f>E417</f>
        <v>5.533049579480832</v>
      </c>
      <c r="F429" s="182">
        <f>D429*E429</f>
        <v>2766.524789740416</v>
      </c>
      <c r="G429" s="166"/>
      <c r="H429" s="183" t="s">
        <v>77</v>
      </c>
      <c r="I429" s="184">
        <f>D429</f>
        <v>500</v>
      </c>
      <c r="J429" s="497">
        <f>J417</f>
        <v>5.18562994058236</v>
      </c>
      <c r="K429" s="236">
        <f>I429*J429</f>
        <v>2592.81497029118</v>
      </c>
      <c r="L429" s="178"/>
      <c r="M429" s="599"/>
      <c r="N429" s="600"/>
    </row>
    <row r="430" spans="1:14" ht="13.5" thickBot="1">
      <c r="A430" s="232">
        <v>100000</v>
      </c>
      <c r="B430" s="30"/>
      <c r="C430" s="601"/>
      <c r="D430" s="602"/>
      <c r="E430" s="186" t="s">
        <v>41</v>
      </c>
      <c r="F430" s="187">
        <f>SUM(F428:F429)</f>
        <v>2796.514789740416</v>
      </c>
      <c r="G430" s="166"/>
      <c r="H430" s="603"/>
      <c r="I430" s="604"/>
      <c r="J430" s="186" t="s">
        <v>70</v>
      </c>
      <c r="K430" s="188">
        <f>SUM(K428:K429)</f>
        <v>2618.230273129007</v>
      </c>
      <c r="L430" s="178"/>
      <c r="M430" s="189">
        <f>K430-F430</f>
        <v>-178.2845166114089</v>
      </c>
      <c r="N430" s="190">
        <f>M430/F430</f>
        <v>-0.06375239539782945</v>
      </c>
    </row>
    <row r="431" spans="1:14" ht="26.25">
      <c r="A431" s="85"/>
      <c r="B431" s="30"/>
      <c r="C431" s="179" t="s">
        <v>78</v>
      </c>
      <c r="D431" s="234">
        <f>A428</f>
        <v>500</v>
      </c>
      <c r="E431" s="414">
        <v>3.91</v>
      </c>
      <c r="F431" s="192">
        <f>D431*E431</f>
        <v>1955</v>
      </c>
      <c r="G431" s="166"/>
      <c r="H431" s="183" t="s">
        <v>78</v>
      </c>
      <c r="I431" s="246">
        <f aca="true" t="shared" si="17" ref="I431:K433">D431</f>
        <v>500</v>
      </c>
      <c r="J431" s="422">
        <f t="shared" si="17"/>
        <v>3.91</v>
      </c>
      <c r="K431" s="238">
        <f t="shared" si="17"/>
        <v>1955</v>
      </c>
      <c r="L431" s="178"/>
      <c r="M431" s="239"/>
      <c r="N431" s="245"/>
    </row>
    <row r="432" spans="1:14" ht="26.25">
      <c r="A432" s="85"/>
      <c r="B432" s="30"/>
      <c r="C432" s="179" t="s">
        <v>71</v>
      </c>
      <c r="D432" s="234">
        <f>A430</f>
        <v>100000</v>
      </c>
      <c r="E432" s="414">
        <v>0.0132</v>
      </c>
      <c r="F432" s="192">
        <f>D432*E432</f>
        <v>1320</v>
      </c>
      <c r="G432" s="166"/>
      <c r="H432" s="183" t="s">
        <v>71</v>
      </c>
      <c r="I432" s="234">
        <f t="shared" si="17"/>
        <v>100000</v>
      </c>
      <c r="J432" s="422">
        <f t="shared" si="17"/>
        <v>0.0132</v>
      </c>
      <c r="K432" s="238">
        <f t="shared" si="17"/>
        <v>1320</v>
      </c>
      <c r="L432" s="178"/>
      <c r="M432" s="585"/>
      <c r="N432" s="586"/>
    </row>
    <row r="433" spans="1:14" ht="27" thickBot="1">
      <c r="A433" s="85"/>
      <c r="B433" s="30"/>
      <c r="C433" s="195" t="s">
        <v>72</v>
      </c>
      <c r="D433" s="234">
        <f>A430</f>
        <v>100000</v>
      </c>
      <c r="E433" s="415">
        <v>0.055</v>
      </c>
      <c r="F433" s="182">
        <f>D433*E433</f>
        <v>5500</v>
      </c>
      <c r="G433" s="166"/>
      <c r="H433" s="195" t="s">
        <v>72</v>
      </c>
      <c r="I433" s="240">
        <f t="shared" si="17"/>
        <v>100000</v>
      </c>
      <c r="J433" s="423">
        <f t="shared" si="17"/>
        <v>0.055</v>
      </c>
      <c r="K433" s="242">
        <f t="shared" si="17"/>
        <v>5500</v>
      </c>
      <c r="L433" s="178"/>
      <c r="M433" s="585"/>
      <c r="N433" s="586"/>
    </row>
    <row r="434" spans="1:14" ht="13.5" thickBot="1">
      <c r="A434" s="85"/>
      <c r="B434" s="30"/>
      <c r="C434" s="587"/>
      <c r="D434" s="588"/>
      <c r="E434" s="588"/>
      <c r="F434" s="588"/>
      <c r="G434" s="166"/>
      <c r="H434" s="588"/>
      <c r="I434" s="588"/>
      <c r="J434" s="588"/>
      <c r="K434" s="589"/>
      <c r="L434" s="30"/>
      <c r="M434" s="85"/>
      <c r="N434" s="201"/>
    </row>
    <row r="435" spans="1:14" ht="13.5" thickBot="1">
      <c r="A435" s="93"/>
      <c r="B435" s="147"/>
      <c r="C435" s="202" t="s">
        <v>73</v>
      </c>
      <c r="D435" s="203"/>
      <c r="E435" s="203"/>
      <c r="F435" s="204">
        <f>SUM(F431:F433)+F430</f>
        <v>11571.514789740417</v>
      </c>
      <c r="G435" s="205"/>
      <c r="H435" s="596" t="s">
        <v>74</v>
      </c>
      <c r="I435" s="596"/>
      <c r="J435" s="596"/>
      <c r="K435" s="188">
        <f>SUM(K431:K433)+K430</f>
        <v>11393.230273129007</v>
      </c>
      <c r="L435" s="206"/>
      <c r="M435" s="189">
        <f>K435-F435</f>
        <v>-178.28451661140934</v>
      </c>
      <c r="N435" s="190">
        <f>M435/F435</f>
        <v>-0.01540718910625951</v>
      </c>
    </row>
    <row r="436" ht="12.75">
      <c r="K436" s="160"/>
    </row>
    <row r="437" spans="6:13" ht="13.5" thickBot="1">
      <c r="F437" s="215"/>
      <c r="J437" s="220"/>
      <c r="K437" s="215"/>
      <c r="L437" s="215"/>
      <c r="M437" s="215"/>
    </row>
    <row r="438" spans="1:14" ht="57.75" customHeight="1">
      <c r="A438" s="167" t="s">
        <v>10</v>
      </c>
      <c r="B438" s="168"/>
      <c r="C438" s="609"/>
      <c r="D438" s="590" t="s">
        <v>75</v>
      </c>
      <c r="E438" s="592" t="s">
        <v>76</v>
      </c>
      <c r="F438" s="594" t="s">
        <v>179</v>
      </c>
      <c r="G438" s="165"/>
      <c r="H438" s="169"/>
      <c r="I438" s="590" t="s">
        <v>75</v>
      </c>
      <c r="J438" s="592" t="s">
        <v>76</v>
      </c>
      <c r="K438" s="594" t="s">
        <v>179</v>
      </c>
      <c r="L438" s="168"/>
      <c r="M438" s="607" t="s">
        <v>178</v>
      </c>
      <c r="N438" s="597" t="s">
        <v>67</v>
      </c>
    </row>
    <row r="439" spans="1:14" ht="13.5" thickBot="1">
      <c r="A439" s="11" t="s">
        <v>5</v>
      </c>
      <c r="B439" s="30"/>
      <c r="C439" s="610"/>
      <c r="D439" s="591"/>
      <c r="E439" s="593"/>
      <c r="F439" s="595"/>
      <c r="G439" s="166"/>
      <c r="H439" s="30"/>
      <c r="I439" s="591"/>
      <c r="J439" s="593"/>
      <c r="K439" s="595"/>
      <c r="L439" s="31"/>
      <c r="M439" s="608"/>
      <c r="N439" s="598"/>
    </row>
    <row r="440" spans="1:14" ht="27" thickBot="1">
      <c r="A440" s="232">
        <v>1000</v>
      </c>
      <c r="B440" s="30"/>
      <c r="C440" s="172" t="s">
        <v>14</v>
      </c>
      <c r="D440" s="173" t="s">
        <v>68</v>
      </c>
      <c r="E440" s="174" t="s">
        <v>68</v>
      </c>
      <c r="F440" s="496">
        <f>F428</f>
        <v>29.99</v>
      </c>
      <c r="G440" s="166"/>
      <c r="H440" s="176" t="s">
        <v>14</v>
      </c>
      <c r="I440" s="173" t="str">
        <f>D440</f>
        <v>N/A</v>
      </c>
      <c r="J440" s="173" t="s">
        <v>68</v>
      </c>
      <c r="K440" s="488">
        <f>K428</f>
        <v>25.415302837827074</v>
      </c>
      <c r="L440" s="178"/>
      <c r="M440" s="583"/>
      <c r="N440" s="584"/>
    </row>
    <row r="441" spans="1:14" ht="13.5" thickBot="1">
      <c r="A441" s="11" t="s">
        <v>6</v>
      </c>
      <c r="B441" s="30"/>
      <c r="C441" s="179" t="s">
        <v>77</v>
      </c>
      <c r="D441" s="234">
        <f>A440</f>
        <v>1000</v>
      </c>
      <c r="E441" s="495">
        <f>E429</f>
        <v>5.533049579480832</v>
      </c>
      <c r="F441" s="182">
        <f>D441*E441</f>
        <v>5533.049579480832</v>
      </c>
      <c r="G441" s="166"/>
      <c r="H441" s="183" t="s">
        <v>77</v>
      </c>
      <c r="I441" s="184">
        <f>D441</f>
        <v>1000</v>
      </c>
      <c r="J441" s="498">
        <f>J429</f>
        <v>5.18562994058236</v>
      </c>
      <c r="K441" s="236">
        <f>I441*J441</f>
        <v>5185.62994058236</v>
      </c>
      <c r="L441" s="178"/>
      <c r="M441" s="599"/>
      <c r="N441" s="600"/>
    </row>
    <row r="442" spans="1:14" ht="13.5" thickBot="1">
      <c r="A442" s="232">
        <v>400000</v>
      </c>
      <c r="B442" s="30"/>
      <c r="C442" s="601"/>
      <c r="D442" s="602"/>
      <c r="E442" s="186" t="s">
        <v>41</v>
      </c>
      <c r="F442" s="187">
        <f>SUM(F440:F441)</f>
        <v>5563.039579480832</v>
      </c>
      <c r="G442" s="166"/>
      <c r="H442" s="603"/>
      <c r="I442" s="604"/>
      <c r="J442" s="186" t="s">
        <v>70</v>
      </c>
      <c r="K442" s="188">
        <f>SUM(K440:K441)</f>
        <v>5211.045243420187</v>
      </c>
      <c r="L442" s="178"/>
      <c r="M442" s="189">
        <f>K442-F442</f>
        <v>-351.99433606064486</v>
      </c>
      <c r="N442" s="190">
        <f>M442/F442</f>
        <v>-0.06327374289389733</v>
      </c>
    </row>
    <row r="443" spans="1:14" ht="26.25">
      <c r="A443" s="85"/>
      <c r="B443" s="30"/>
      <c r="C443" s="179" t="s">
        <v>78</v>
      </c>
      <c r="D443" s="234">
        <f>A440</f>
        <v>1000</v>
      </c>
      <c r="E443" s="191">
        <v>3.91</v>
      </c>
      <c r="F443" s="192">
        <f>D443*E443</f>
        <v>3910</v>
      </c>
      <c r="G443" s="166"/>
      <c r="H443" s="183" t="s">
        <v>78</v>
      </c>
      <c r="I443" s="246">
        <f aca="true" t="shared" si="18" ref="I443:K445">D443</f>
        <v>1000</v>
      </c>
      <c r="J443" s="237">
        <f t="shared" si="18"/>
        <v>3.91</v>
      </c>
      <c r="K443" s="238">
        <f t="shared" si="18"/>
        <v>3910</v>
      </c>
      <c r="L443" s="178"/>
      <c r="M443" s="239"/>
      <c r="N443" s="245"/>
    </row>
    <row r="444" spans="1:14" ht="26.25">
      <c r="A444" s="85"/>
      <c r="B444" s="30"/>
      <c r="C444" s="179" t="s">
        <v>71</v>
      </c>
      <c r="D444" s="234">
        <f>A442</f>
        <v>400000</v>
      </c>
      <c r="E444" s="191">
        <v>0.0132</v>
      </c>
      <c r="F444" s="192">
        <f>D444*E444</f>
        <v>5280</v>
      </c>
      <c r="G444" s="166"/>
      <c r="H444" s="183" t="s">
        <v>71</v>
      </c>
      <c r="I444" s="234">
        <f t="shared" si="18"/>
        <v>400000</v>
      </c>
      <c r="J444" s="237">
        <f t="shared" si="18"/>
        <v>0.0132</v>
      </c>
      <c r="K444" s="238">
        <f t="shared" si="18"/>
        <v>5280</v>
      </c>
      <c r="L444" s="178"/>
      <c r="M444" s="585"/>
      <c r="N444" s="586"/>
    </row>
    <row r="445" spans="1:14" ht="27" thickBot="1">
      <c r="A445" s="85"/>
      <c r="B445" s="30"/>
      <c r="C445" s="195" t="s">
        <v>72</v>
      </c>
      <c r="D445" s="234">
        <f>A442</f>
        <v>400000</v>
      </c>
      <c r="E445" s="196">
        <v>0.055</v>
      </c>
      <c r="F445" s="182">
        <f>D445*E445</f>
        <v>22000</v>
      </c>
      <c r="G445" s="166"/>
      <c r="H445" s="195" t="s">
        <v>72</v>
      </c>
      <c r="I445" s="240">
        <f t="shared" si="18"/>
        <v>400000</v>
      </c>
      <c r="J445" s="241">
        <f t="shared" si="18"/>
        <v>0.055</v>
      </c>
      <c r="K445" s="242">
        <f t="shared" si="18"/>
        <v>22000</v>
      </c>
      <c r="L445" s="178"/>
      <c r="M445" s="585"/>
      <c r="N445" s="586"/>
    </row>
    <row r="446" spans="1:14" ht="13.5" thickBot="1">
      <c r="A446" s="85"/>
      <c r="B446" s="30"/>
      <c r="C446" s="587"/>
      <c r="D446" s="588"/>
      <c r="E446" s="588"/>
      <c r="F446" s="588"/>
      <c r="G446" s="166"/>
      <c r="H446" s="588"/>
      <c r="I446" s="588"/>
      <c r="J446" s="588"/>
      <c r="K446" s="589"/>
      <c r="L446" s="30"/>
      <c r="M446" s="85"/>
      <c r="N446" s="201"/>
    </row>
    <row r="447" spans="1:14" ht="13.5" thickBot="1">
      <c r="A447" s="93"/>
      <c r="B447" s="147"/>
      <c r="C447" s="202" t="s">
        <v>73</v>
      </c>
      <c r="D447" s="203"/>
      <c r="E447" s="203"/>
      <c r="F447" s="204">
        <f>SUM(F443:F445)+F442</f>
        <v>36753.03957948083</v>
      </c>
      <c r="G447" s="205"/>
      <c r="H447" s="596" t="s">
        <v>74</v>
      </c>
      <c r="I447" s="596"/>
      <c r="J447" s="596"/>
      <c r="K447" s="188">
        <f>SUM(K443:K445)+K442</f>
        <v>36401.04524342019</v>
      </c>
      <c r="L447" s="206"/>
      <c r="M447" s="189">
        <f>K447-F447</f>
        <v>-351.9943360606412</v>
      </c>
      <c r="N447" s="190">
        <f>M447/F447</f>
        <v>-0.009577285037865526</v>
      </c>
    </row>
    <row r="448" spans="6:14" ht="12.75">
      <c r="F448" s="178"/>
      <c r="K448" s="178"/>
      <c r="L448" s="215"/>
      <c r="M448" s="215"/>
      <c r="N448" s="228"/>
    </row>
    <row r="449" spans="3:13" ht="13.5" thickBot="1">
      <c r="C449" s="52"/>
      <c r="E449" s="243"/>
      <c r="F449" s="215"/>
      <c r="J449" s="220"/>
      <c r="K449" s="215"/>
      <c r="L449" s="215"/>
      <c r="M449" s="215"/>
    </row>
    <row r="450" spans="1:14" ht="54" customHeight="1">
      <c r="A450" s="167" t="s">
        <v>10</v>
      </c>
      <c r="B450" s="168"/>
      <c r="C450" s="609"/>
      <c r="D450" s="590" t="s">
        <v>75</v>
      </c>
      <c r="E450" s="592" t="s">
        <v>76</v>
      </c>
      <c r="F450" s="594" t="s">
        <v>179</v>
      </c>
      <c r="G450" s="165"/>
      <c r="H450" s="169"/>
      <c r="I450" s="590" t="s">
        <v>75</v>
      </c>
      <c r="J450" s="592" t="s">
        <v>76</v>
      </c>
      <c r="K450" s="594" t="s">
        <v>179</v>
      </c>
      <c r="L450" s="168"/>
      <c r="M450" s="607" t="s">
        <v>178</v>
      </c>
      <c r="N450" s="597" t="s">
        <v>67</v>
      </c>
    </row>
    <row r="451" spans="1:14" ht="13.5" thickBot="1">
      <c r="A451" s="11" t="s">
        <v>5</v>
      </c>
      <c r="B451" s="30"/>
      <c r="C451" s="610"/>
      <c r="D451" s="591"/>
      <c r="E451" s="593"/>
      <c r="F451" s="595"/>
      <c r="G451" s="166"/>
      <c r="H451" s="30"/>
      <c r="I451" s="591"/>
      <c r="J451" s="593"/>
      <c r="K451" s="595"/>
      <c r="L451" s="31"/>
      <c r="M451" s="608"/>
      <c r="N451" s="598"/>
    </row>
    <row r="452" spans="1:14" ht="27" thickBot="1">
      <c r="A452" s="232">
        <v>3000</v>
      </c>
      <c r="B452" s="30"/>
      <c r="C452" s="172" t="s">
        <v>14</v>
      </c>
      <c r="D452" s="173" t="s">
        <v>68</v>
      </c>
      <c r="E452" s="174" t="s">
        <v>68</v>
      </c>
      <c r="F452" s="496">
        <f>F440</f>
        <v>29.99</v>
      </c>
      <c r="G452" s="166"/>
      <c r="H452" s="176" t="s">
        <v>14</v>
      </c>
      <c r="I452" s="173" t="str">
        <f>D452</f>
        <v>N/A</v>
      </c>
      <c r="J452" s="173" t="s">
        <v>68</v>
      </c>
      <c r="K452" s="488">
        <f>K440</f>
        <v>25.415302837827074</v>
      </c>
      <c r="L452" s="178"/>
      <c r="M452" s="583"/>
      <c r="N452" s="584"/>
    </row>
    <row r="453" spans="1:14" ht="13.5" thickBot="1">
      <c r="A453" s="11" t="s">
        <v>6</v>
      </c>
      <c r="B453" s="30"/>
      <c r="C453" s="179" t="s">
        <v>77</v>
      </c>
      <c r="D453" s="234">
        <f>A452</f>
        <v>3000</v>
      </c>
      <c r="E453" s="495">
        <f>E441</f>
        <v>5.533049579480832</v>
      </c>
      <c r="F453" s="182">
        <f>D453*E453</f>
        <v>16599.148738442498</v>
      </c>
      <c r="G453" s="166"/>
      <c r="H453" s="183" t="s">
        <v>77</v>
      </c>
      <c r="I453" s="184">
        <f>D453</f>
        <v>3000</v>
      </c>
      <c r="J453" s="498">
        <f>J441</f>
        <v>5.18562994058236</v>
      </c>
      <c r="K453" s="236">
        <f>I453*J453</f>
        <v>15556.88982174708</v>
      </c>
      <c r="L453" s="178"/>
      <c r="M453" s="599"/>
      <c r="N453" s="600"/>
    </row>
    <row r="454" spans="1:14" ht="13.5" thickBot="1">
      <c r="A454" s="232">
        <v>1000000</v>
      </c>
      <c r="B454" s="30"/>
      <c r="C454" s="601"/>
      <c r="D454" s="602"/>
      <c r="E454" s="186" t="s">
        <v>41</v>
      </c>
      <c r="F454" s="187">
        <f>SUM(F452:F453)</f>
        <v>16629.1387384425</v>
      </c>
      <c r="G454" s="166"/>
      <c r="H454" s="603"/>
      <c r="I454" s="604"/>
      <c r="J454" s="186" t="s">
        <v>70</v>
      </c>
      <c r="K454" s="188">
        <f>SUM(K452:K453)</f>
        <v>15582.305124584907</v>
      </c>
      <c r="L454" s="178"/>
      <c r="M454" s="189">
        <f>K454-F454</f>
        <v>-1046.8336138575924</v>
      </c>
      <c r="N454" s="190">
        <f>M454/F454</f>
        <v>-0.06295176378783642</v>
      </c>
    </row>
    <row r="455" spans="1:14" ht="26.25">
      <c r="A455" s="85"/>
      <c r="B455" s="30"/>
      <c r="C455" s="179" t="s">
        <v>78</v>
      </c>
      <c r="D455" s="234">
        <f>A452</f>
        <v>3000</v>
      </c>
      <c r="E455" s="191">
        <v>3.91</v>
      </c>
      <c r="F455" s="192">
        <f>D455*E455</f>
        <v>11730</v>
      </c>
      <c r="G455" s="166"/>
      <c r="H455" s="183" t="s">
        <v>78</v>
      </c>
      <c r="I455" s="246">
        <f aca="true" t="shared" si="19" ref="I455:K457">D455</f>
        <v>3000</v>
      </c>
      <c r="J455" s="237">
        <f t="shared" si="19"/>
        <v>3.91</v>
      </c>
      <c r="K455" s="238">
        <f t="shared" si="19"/>
        <v>11730</v>
      </c>
      <c r="L455" s="178"/>
      <c r="M455" s="239"/>
      <c r="N455" s="245"/>
    </row>
    <row r="456" spans="1:14" ht="26.25">
      <c r="A456" s="85"/>
      <c r="B456" s="30"/>
      <c r="C456" s="179" t="s">
        <v>71</v>
      </c>
      <c r="D456" s="234">
        <f>A454</f>
        <v>1000000</v>
      </c>
      <c r="E456" s="191">
        <v>0.0132</v>
      </c>
      <c r="F456" s="192">
        <f>D456*E456</f>
        <v>13200</v>
      </c>
      <c r="G456" s="166"/>
      <c r="H456" s="183" t="s">
        <v>71</v>
      </c>
      <c r="I456" s="234">
        <f t="shared" si="19"/>
        <v>1000000</v>
      </c>
      <c r="J456" s="237">
        <f t="shared" si="19"/>
        <v>0.0132</v>
      </c>
      <c r="K456" s="238">
        <f t="shared" si="19"/>
        <v>13200</v>
      </c>
      <c r="L456" s="178"/>
      <c r="M456" s="585"/>
      <c r="N456" s="586"/>
    </row>
    <row r="457" spans="1:14" ht="27" thickBot="1">
      <c r="A457" s="85"/>
      <c r="B457" s="30"/>
      <c r="C457" s="195" t="s">
        <v>72</v>
      </c>
      <c r="D457" s="234">
        <f>A454</f>
        <v>1000000</v>
      </c>
      <c r="E457" s="196">
        <v>0.055</v>
      </c>
      <c r="F457" s="182">
        <f>D457*E457</f>
        <v>55000</v>
      </c>
      <c r="G457" s="166"/>
      <c r="H457" s="195" t="s">
        <v>72</v>
      </c>
      <c r="I457" s="240">
        <f t="shared" si="19"/>
        <v>1000000</v>
      </c>
      <c r="J457" s="241">
        <f t="shared" si="19"/>
        <v>0.055</v>
      </c>
      <c r="K457" s="242">
        <f t="shared" si="19"/>
        <v>55000</v>
      </c>
      <c r="L457" s="178"/>
      <c r="M457" s="585"/>
      <c r="N457" s="586"/>
    </row>
    <row r="458" spans="1:14" ht="13.5" thickBot="1">
      <c r="A458" s="85"/>
      <c r="B458" s="30"/>
      <c r="C458" s="587"/>
      <c r="D458" s="588"/>
      <c r="E458" s="588"/>
      <c r="F458" s="588"/>
      <c r="G458" s="166"/>
      <c r="H458" s="588"/>
      <c r="I458" s="588"/>
      <c r="J458" s="588"/>
      <c r="K458" s="589"/>
      <c r="L458" s="30"/>
      <c r="M458" s="85"/>
      <c r="N458" s="201"/>
    </row>
    <row r="459" spans="1:14" ht="13.5" thickBot="1">
      <c r="A459" s="93"/>
      <c r="B459" s="147"/>
      <c r="C459" s="202" t="s">
        <v>73</v>
      </c>
      <c r="D459" s="203"/>
      <c r="E459" s="203"/>
      <c r="F459" s="204">
        <f>SUM(F455:F457)+F454</f>
        <v>96559.1387384425</v>
      </c>
      <c r="G459" s="205"/>
      <c r="H459" s="596" t="s">
        <v>74</v>
      </c>
      <c r="I459" s="596"/>
      <c r="J459" s="596"/>
      <c r="K459" s="188">
        <f>SUM(K455:K457)+K454</f>
        <v>95512.3051245849</v>
      </c>
      <c r="L459" s="206"/>
      <c r="M459" s="189">
        <f>K459-F459</f>
        <v>-1046.8336138575978</v>
      </c>
      <c r="N459" s="190">
        <f>M459/F459</f>
        <v>-0.010841372733172778</v>
      </c>
    </row>
  </sheetData>
  <sheetProtection/>
  <mergeCells count="572">
    <mergeCell ref="G4:H4"/>
    <mergeCell ref="A1:N1"/>
    <mergeCell ref="E8:F8"/>
    <mergeCell ref="A8:D8"/>
    <mergeCell ref="A9:E9"/>
    <mergeCell ref="A7:F7"/>
    <mergeCell ref="A4:E4"/>
    <mergeCell ref="A5:E5"/>
    <mergeCell ref="A6:E6"/>
    <mergeCell ref="E18:F18"/>
    <mergeCell ref="E14:F14"/>
    <mergeCell ref="E2:F2"/>
    <mergeCell ref="C175:F176"/>
    <mergeCell ref="C19:F20"/>
    <mergeCell ref="D21:D22"/>
    <mergeCell ref="E21:E22"/>
    <mergeCell ref="F21:F22"/>
    <mergeCell ref="C21:C22"/>
    <mergeCell ref="C25:D25"/>
    <mergeCell ref="H19:N20"/>
    <mergeCell ref="H25:I25"/>
    <mergeCell ref="C28:F28"/>
    <mergeCell ref="I21:I22"/>
    <mergeCell ref="J21:J22"/>
    <mergeCell ref="K21:K22"/>
    <mergeCell ref="M21:M22"/>
    <mergeCell ref="N21:N22"/>
    <mergeCell ref="H28:K28"/>
    <mergeCell ref="H29:J29"/>
    <mergeCell ref="M23:N24"/>
    <mergeCell ref="M26:N27"/>
    <mergeCell ref="C32:C33"/>
    <mergeCell ref="D32:D33"/>
    <mergeCell ref="E32:E33"/>
    <mergeCell ref="F32:F33"/>
    <mergeCell ref="I32:I33"/>
    <mergeCell ref="J32:J33"/>
    <mergeCell ref="K32:K33"/>
    <mergeCell ref="M32:M33"/>
    <mergeCell ref="N32:N33"/>
    <mergeCell ref="M34:N35"/>
    <mergeCell ref="C36:D36"/>
    <mergeCell ref="H36:I36"/>
    <mergeCell ref="F43:F44"/>
    <mergeCell ref="M37:N38"/>
    <mergeCell ref="C39:F39"/>
    <mergeCell ref="H39:K39"/>
    <mergeCell ref="H40:J40"/>
    <mergeCell ref="H47:I47"/>
    <mergeCell ref="I43:I44"/>
    <mergeCell ref="J43:J44"/>
    <mergeCell ref="K43:K44"/>
    <mergeCell ref="M43:M44"/>
    <mergeCell ref="C43:C44"/>
    <mergeCell ref="D43:D44"/>
    <mergeCell ref="E43:E44"/>
    <mergeCell ref="F54:F55"/>
    <mergeCell ref="M48:N49"/>
    <mergeCell ref="C50:F50"/>
    <mergeCell ref="H50:K50"/>
    <mergeCell ref="H51:J51"/>
    <mergeCell ref="N54:N55"/>
    <mergeCell ref="N43:N44"/>
    <mergeCell ref="M45:N46"/>
    <mergeCell ref="C47:D47"/>
    <mergeCell ref="M56:N57"/>
    <mergeCell ref="C58:D58"/>
    <mergeCell ref="H58:I58"/>
    <mergeCell ref="I54:I55"/>
    <mergeCell ref="J54:J55"/>
    <mergeCell ref="K54:K55"/>
    <mergeCell ref="M54:M55"/>
    <mergeCell ref="C54:C55"/>
    <mergeCell ref="D54:D55"/>
    <mergeCell ref="E54:E55"/>
    <mergeCell ref="M59:N60"/>
    <mergeCell ref="C61:F61"/>
    <mergeCell ref="H61:K61"/>
    <mergeCell ref="H62:J62"/>
    <mergeCell ref="N65:N66"/>
    <mergeCell ref="I65:I66"/>
    <mergeCell ref="J65:J66"/>
    <mergeCell ref="C69:D69"/>
    <mergeCell ref="H69:I69"/>
    <mergeCell ref="M70:N72"/>
    <mergeCell ref="C73:F73"/>
    <mergeCell ref="H73:K73"/>
    <mergeCell ref="D65:D66"/>
    <mergeCell ref="E65:E66"/>
    <mergeCell ref="F65:F66"/>
    <mergeCell ref="N89:N90"/>
    <mergeCell ref="M79:N80"/>
    <mergeCell ref="K65:K66"/>
    <mergeCell ref="M65:M66"/>
    <mergeCell ref="N77:N78"/>
    <mergeCell ref="M67:N68"/>
    <mergeCell ref="M77:M78"/>
    <mergeCell ref="H81:I81"/>
    <mergeCell ref="M82:N84"/>
    <mergeCell ref="C85:F85"/>
    <mergeCell ref="H85:K85"/>
    <mergeCell ref="H86:J86"/>
    <mergeCell ref="H74:J74"/>
    <mergeCell ref="I77:I78"/>
    <mergeCell ref="J77:J78"/>
    <mergeCell ref="K77:K78"/>
    <mergeCell ref="C65:C66"/>
    <mergeCell ref="M91:N92"/>
    <mergeCell ref="C93:D93"/>
    <mergeCell ref="H93:I93"/>
    <mergeCell ref="I89:I90"/>
    <mergeCell ref="J89:J90"/>
    <mergeCell ref="K89:K90"/>
    <mergeCell ref="M89:M90"/>
    <mergeCell ref="C89:C90"/>
    <mergeCell ref="D89:D90"/>
    <mergeCell ref="C77:C78"/>
    <mergeCell ref="D77:D78"/>
    <mergeCell ref="E77:E78"/>
    <mergeCell ref="F77:F78"/>
    <mergeCell ref="E109:E110"/>
    <mergeCell ref="F109:F110"/>
    <mergeCell ref="C107:F108"/>
    <mergeCell ref="F89:F90"/>
    <mergeCell ref="E89:E90"/>
    <mergeCell ref="C81:D81"/>
    <mergeCell ref="H107:N108"/>
    <mergeCell ref="M94:N96"/>
    <mergeCell ref="C97:F97"/>
    <mergeCell ref="H97:K97"/>
    <mergeCell ref="H98:J98"/>
    <mergeCell ref="N109:N110"/>
    <mergeCell ref="M111:N112"/>
    <mergeCell ref="C113:D113"/>
    <mergeCell ref="H113:I113"/>
    <mergeCell ref="I109:I110"/>
    <mergeCell ref="J109:J110"/>
    <mergeCell ref="K109:K110"/>
    <mergeCell ref="M109:M110"/>
    <mergeCell ref="C109:C110"/>
    <mergeCell ref="D109:D110"/>
    <mergeCell ref="F120:F121"/>
    <mergeCell ref="M114:N115"/>
    <mergeCell ref="C116:F116"/>
    <mergeCell ref="H116:K116"/>
    <mergeCell ref="H117:J117"/>
    <mergeCell ref="N120:N121"/>
    <mergeCell ref="M122:N123"/>
    <mergeCell ref="C124:D124"/>
    <mergeCell ref="H124:I124"/>
    <mergeCell ref="I120:I121"/>
    <mergeCell ref="J120:J121"/>
    <mergeCell ref="K120:K121"/>
    <mergeCell ref="M120:M121"/>
    <mergeCell ref="C120:C121"/>
    <mergeCell ref="D120:D121"/>
    <mergeCell ref="E120:E121"/>
    <mergeCell ref="F132:F133"/>
    <mergeCell ref="M125:N127"/>
    <mergeCell ref="C128:F128"/>
    <mergeCell ref="H128:K128"/>
    <mergeCell ref="H129:J129"/>
    <mergeCell ref="N132:N133"/>
    <mergeCell ref="M134:N135"/>
    <mergeCell ref="C136:D136"/>
    <mergeCell ref="H136:I136"/>
    <mergeCell ref="I132:I133"/>
    <mergeCell ref="J132:J133"/>
    <mergeCell ref="K132:K133"/>
    <mergeCell ref="M132:M133"/>
    <mergeCell ref="C132:C133"/>
    <mergeCell ref="D132:D133"/>
    <mergeCell ref="E132:E133"/>
    <mergeCell ref="F144:F145"/>
    <mergeCell ref="M137:N139"/>
    <mergeCell ref="C140:F140"/>
    <mergeCell ref="H140:K140"/>
    <mergeCell ref="H141:J141"/>
    <mergeCell ref="N144:N145"/>
    <mergeCell ref="M146:N147"/>
    <mergeCell ref="C148:D148"/>
    <mergeCell ref="H148:I148"/>
    <mergeCell ref="I144:I145"/>
    <mergeCell ref="J144:J145"/>
    <mergeCell ref="K144:K145"/>
    <mergeCell ref="M144:M145"/>
    <mergeCell ref="C144:C145"/>
    <mergeCell ref="D144:D145"/>
    <mergeCell ref="E144:E145"/>
    <mergeCell ref="F156:F157"/>
    <mergeCell ref="M149:N151"/>
    <mergeCell ref="C152:F152"/>
    <mergeCell ref="H152:K152"/>
    <mergeCell ref="H153:J153"/>
    <mergeCell ref="N156:N157"/>
    <mergeCell ref="M158:N159"/>
    <mergeCell ref="C160:D160"/>
    <mergeCell ref="H160:I160"/>
    <mergeCell ref="I156:I157"/>
    <mergeCell ref="J156:J157"/>
    <mergeCell ref="K156:K157"/>
    <mergeCell ref="M156:M157"/>
    <mergeCell ref="C156:C157"/>
    <mergeCell ref="D156:D157"/>
    <mergeCell ref="E156:E157"/>
    <mergeCell ref="M161:N163"/>
    <mergeCell ref="C164:F164"/>
    <mergeCell ref="H164:K164"/>
    <mergeCell ref="H165:J165"/>
    <mergeCell ref="H175:N176"/>
    <mergeCell ref="C177:C178"/>
    <mergeCell ref="D177:D178"/>
    <mergeCell ref="E177:E178"/>
    <mergeCell ref="F177:F178"/>
    <mergeCell ref="I177:I178"/>
    <mergeCell ref="J177:J178"/>
    <mergeCell ref="K177:K178"/>
    <mergeCell ref="M177:M178"/>
    <mergeCell ref="N177:N178"/>
    <mergeCell ref="M179:N180"/>
    <mergeCell ref="C181:D181"/>
    <mergeCell ref="H181:I181"/>
    <mergeCell ref="M183:N184"/>
    <mergeCell ref="C185:F185"/>
    <mergeCell ref="H185:K185"/>
    <mergeCell ref="H186:J186"/>
    <mergeCell ref="C189:C190"/>
    <mergeCell ref="D189:D190"/>
    <mergeCell ref="E189:E190"/>
    <mergeCell ref="F189:F190"/>
    <mergeCell ref="I189:I190"/>
    <mergeCell ref="J189:J190"/>
    <mergeCell ref="K189:K190"/>
    <mergeCell ref="M189:M190"/>
    <mergeCell ref="N189:N190"/>
    <mergeCell ref="M191:N192"/>
    <mergeCell ref="C193:D193"/>
    <mergeCell ref="H193:I193"/>
    <mergeCell ref="F201:F202"/>
    <mergeCell ref="M195:N196"/>
    <mergeCell ref="C197:F197"/>
    <mergeCell ref="H197:K197"/>
    <mergeCell ref="H198:J198"/>
    <mergeCell ref="N201:N202"/>
    <mergeCell ref="M203:N204"/>
    <mergeCell ref="C205:D205"/>
    <mergeCell ref="H205:I205"/>
    <mergeCell ref="I201:I202"/>
    <mergeCell ref="J201:J202"/>
    <mergeCell ref="K201:K202"/>
    <mergeCell ref="M201:M202"/>
    <mergeCell ref="C201:C202"/>
    <mergeCell ref="D201:D202"/>
    <mergeCell ref="E201:E202"/>
    <mergeCell ref="F213:F214"/>
    <mergeCell ref="M207:N208"/>
    <mergeCell ref="C209:F209"/>
    <mergeCell ref="H209:K209"/>
    <mergeCell ref="H210:J210"/>
    <mergeCell ref="N213:N214"/>
    <mergeCell ref="M215:N216"/>
    <mergeCell ref="C217:D217"/>
    <mergeCell ref="H217:I217"/>
    <mergeCell ref="I213:I214"/>
    <mergeCell ref="J213:J214"/>
    <mergeCell ref="K213:K214"/>
    <mergeCell ref="M213:M214"/>
    <mergeCell ref="C213:C214"/>
    <mergeCell ref="D213:D214"/>
    <mergeCell ref="E213:E214"/>
    <mergeCell ref="F225:F226"/>
    <mergeCell ref="M219:N220"/>
    <mergeCell ref="C221:F221"/>
    <mergeCell ref="H221:K221"/>
    <mergeCell ref="H222:J222"/>
    <mergeCell ref="N225:N226"/>
    <mergeCell ref="M227:N228"/>
    <mergeCell ref="C229:D229"/>
    <mergeCell ref="H229:I229"/>
    <mergeCell ref="I225:I226"/>
    <mergeCell ref="J225:J226"/>
    <mergeCell ref="K225:K226"/>
    <mergeCell ref="M225:M226"/>
    <mergeCell ref="C225:C226"/>
    <mergeCell ref="D225:D226"/>
    <mergeCell ref="E225:E226"/>
    <mergeCell ref="M231:N232"/>
    <mergeCell ref="C233:F233"/>
    <mergeCell ref="H233:K233"/>
    <mergeCell ref="H234:J234"/>
    <mergeCell ref="E238:F238"/>
    <mergeCell ref="E242:F242"/>
    <mergeCell ref="C243:F244"/>
    <mergeCell ref="A237:E237"/>
    <mergeCell ref="H243:N244"/>
    <mergeCell ref="C245:C246"/>
    <mergeCell ref="D245:D246"/>
    <mergeCell ref="E245:E246"/>
    <mergeCell ref="F245:F246"/>
    <mergeCell ref="I245:I246"/>
    <mergeCell ref="J245:J246"/>
    <mergeCell ref="K245:K246"/>
    <mergeCell ref="M245:M246"/>
    <mergeCell ref="N245:N246"/>
    <mergeCell ref="M247:N248"/>
    <mergeCell ref="C249:D249"/>
    <mergeCell ref="H249:I249"/>
    <mergeCell ref="M250:N251"/>
    <mergeCell ref="C252:F252"/>
    <mergeCell ref="H252:K252"/>
    <mergeCell ref="H253:J253"/>
    <mergeCell ref="C256:C257"/>
    <mergeCell ref="D256:D257"/>
    <mergeCell ref="E256:E257"/>
    <mergeCell ref="F256:F257"/>
    <mergeCell ref="I256:I257"/>
    <mergeCell ref="J256:J257"/>
    <mergeCell ref="K256:K257"/>
    <mergeCell ref="M256:M257"/>
    <mergeCell ref="N256:N257"/>
    <mergeCell ref="M258:N259"/>
    <mergeCell ref="C260:D260"/>
    <mergeCell ref="H260:I260"/>
    <mergeCell ref="F267:F268"/>
    <mergeCell ref="M261:N262"/>
    <mergeCell ref="C263:F263"/>
    <mergeCell ref="H263:K263"/>
    <mergeCell ref="H264:J264"/>
    <mergeCell ref="H271:I271"/>
    <mergeCell ref="I267:I268"/>
    <mergeCell ref="J267:J268"/>
    <mergeCell ref="K267:K268"/>
    <mergeCell ref="M267:M268"/>
    <mergeCell ref="C267:C268"/>
    <mergeCell ref="D267:D268"/>
    <mergeCell ref="E267:E268"/>
    <mergeCell ref="F278:F279"/>
    <mergeCell ref="M272:N273"/>
    <mergeCell ref="C274:F274"/>
    <mergeCell ref="H274:K274"/>
    <mergeCell ref="H275:J275"/>
    <mergeCell ref="N278:N279"/>
    <mergeCell ref="N267:N268"/>
    <mergeCell ref="M269:N270"/>
    <mergeCell ref="C271:D271"/>
    <mergeCell ref="M280:N281"/>
    <mergeCell ref="C282:D282"/>
    <mergeCell ref="H282:I282"/>
    <mergeCell ref="I278:I279"/>
    <mergeCell ref="J278:J279"/>
    <mergeCell ref="K278:K279"/>
    <mergeCell ref="M278:M279"/>
    <mergeCell ref="C278:C279"/>
    <mergeCell ref="D278:D279"/>
    <mergeCell ref="E278:E279"/>
    <mergeCell ref="F289:F290"/>
    <mergeCell ref="M283:N284"/>
    <mergeCell ref="C285:F285"/>
    <mergeCell ref="H285:K285"/>
    <mergeCell ref="H286:J286"/>
    <mergeCell ref="N289:N290"/>
    <mergeCell ref="M291:N292"/>
    <mergeCell ref="C293:D293"/>
    <mergeCell ref="H293:I293"/>
    <mergeCell ref="I289:I290"/>
    <mergeCell ref="J289:J290"/>
    <mergeCell ref="K289:K290"/>
    <mergeCell ref="M289:M290"/>
    <mergeCell ref="C289:C290"/>
    <mergeCell ref="D289:D290"/>
    <mergeCell ref="E289:E290"/>
    <mergeCell ref="F301:F302"/>
    <mergeCell ref="M294:N296"/>
    <mergeCell ref="C297:F297"/>
    <mergeCell ref="H297:K297"/>
    <mergeCell ref="H298:J298"/>
    <mergeCell ref="N301:N302"/>
    <mergeCell ref="M303:N304"/>
    <mergeCell ref="C305:D305"/>
    <mergeCell ref="H305:I305"/>
    <mergeCell ref="I301:I302"/>
    <mergeCell ref="J301:J302"/>
    <mergeCell ref="K301:K302"/>
    <mergeCell ref="M301:M302"/>
    <mergeCell ref="C301:C302"/>
    <mergeCell ref="D301:D302"/>
    <mergeCell ref="E301:E302"/>
    <mergeCell ref="F313:F314"/>
    <mergeCell ref="M306:N308"/>
    <mergeCell ref="C309:F309"/>
    <mergeCell ref="H309:K309"/>
    <mergeCell ref="H310:J310"/>
    <mergeCell ref="N313:N314"/>
    <mergeCell ref="M315:N316"/>
    <mergeCell ref="C317:D317"/>
    <mergeCell ref="H317:I317"/>
    <mergeCell ref="I313:I314"/>
    <mergeCell ref="J313:J314"/>
    <mergeCell ref="K313:K314"/>
    <mergeCell ref="M313:M314"/>
    <mergeCell ref="C313:C314"/>
    <mergeCell ref="D313:D314"/>
    <mergeCell ref="E313:E314"/>
    <mergeCell ref="I333:I334"/>
    <mergeCell ref="J333:J334"/>
    <mergeCell ref="M318:N320"/>
    <mergeCell ref="C321:F321"/>
    <mergeCell ref="H321:K321"/>
    <mergeCell ref="H322:J322"/>
    <mergeCell ref="C331:F332"/>
    <mergeCell ref="H331:N332"/>
    <mergeCell ref="K333:K334"/>
    <mergeCell ref="M333:M334"/>
    <mergeCell ref="N333:N334"/>
    <mergeCell ref="M335:N336"/>
    <mergeCell ref="C337:D337"/>
    <mergeCell ref="H337:I337"/>
    <mergeCell ref="C333:C334"/>
    <mergeCell ref="D333:D334"/>
    <mergeCell ref="E333:E334"/>
    <mergeCell ref="F333:F334"/>
    <mergeCell ref="F344:F345"/>
    <mergeCell ref="M338:N339"/>
    <mergeCell ref="C340:F340"/>
    <mergeCell ref="H340:K340"/>
    <mergeCell ref="H341:J341"/>
    <mergeCell ref="N344:N345"/>
    <mergeCell ref="M346:N347"/>
    <mergeCell ref="C348:D348"/>
    <mergeCell ref="H348:I348"/>
    <mergeCell ref="I344:I345"/>
    <mergeCell ref="J344:J345"/>
    <mergeCell ref="K344:K345"/>
    <mergeCell ref="M344:M345"/>
    <mergeCell ref="C344:C345"/>
    <mergeCell ref="D344:D345"/>
    <mergeCell ref="E344:E345"/>
    <mergeCell ref="F356:F357"/>
    <mergeCell ref="M349:N351"/>
    <mergeCell ref="C352:F352"/>
    <mergeCell ref="H352:K352"/>
    <mergeCell ref="H353:J353"/>
    <mergeCell ref="N356:N357"/>
    <mergeCell ref="M358:N359"/>
    <mergeCell ref="C360:D360"/>
    <mergeCell ref="H360:I360"/>
    <mergeCell ref="I356:I357"/>
    <mergeCell ref="J356:J357"/>
    <mergeCell ref="K356:K357"/>
    <mergeCell ref="M356:M357"/>
    <mergeCell ref="C356:C357"/>
    <mergeCell ref="D356:D357"/>
    <mergeCell ref="E356:E357"/>
    <mergeCell ref="F368:F369"/>
    <mergeCell ref="M361:N363"/>
    <mergeCell ref="C364:F364"/>
    <mergeCell ref="H364:K364"/>
    <mergeCell ref="H365:J365"/>
    <mergeCell ref="N368:N369"/>
    <mergeCell ref="M370:N371"/>
    <mergeCell ref="C372:D372"/>
    <mergeCell ref="H372:I372"/>
    <mergeCell ref="I368:I369"/>
    <mergeCell ref="J368:J369"/>
    <mergeCell ref="K368:K369"/>
    <mergeCell ref="M368:M369"/>
    <mergeCell ref="C368:C369"/>
    <mergeCell ref="D368:D369"/>
    <mergeCell ref="E368:E369"/>
    <mergeCell ref="F380:F381"/>
    <mergeCell ref="M373:N375"/>
    <mergeCell ref="C376:F376"/>
    <mergeCell ref="H376:K376"/>
    <mergeCell ref="H377:J377"/>
    <mergeCell ref="N380:N381"/>
    <mergeCell ref="M382:N383"/>
    <mergeCell ref="C384:D384"/>
    <mergeCell ref="H384:I384"/>
    <mergeCell ref="I380:I381"/>
    <mergeCell ref="J380:J381"/>
    <mergeCell ref="K380:K381"/>
    <mergeCell ref="M380:M381"/>
    <mergeCell ref="C380:C381"/>
    <mergeCell ref="D380:D381"/>
    <mergeCell ref="E380:E381"/>
    <mergeCell ref="I402:I403"/>
    <mergeCell ref="J402:J403"/>
    <mergeCell ref="M385:N387"/>
    <mergeCell ref="C388:F388"/>
    <mergeCell ref="H388:K388"/>
    <mergeCell ref="H389:J389"/>
    <mergeCell ref="C400:F401"/>
    <mergeCell ref="H400:N401"/>
    <mergeCell ref="K402:K403"/>
    <mergeCell ref="M402:M403"/>
    <mergeCell ref="N402:N403"/>
    <mergeCell ref="M404:N405"/>
    <mergeCell ref="C406:D406"/>
    <mergeCell ref="H406:I406"/>
    <mergeCell ref="C402:C403"/>
    <mergeCell ref="D402:D403"/>
    <mergeCell ref="E402:E403"/>
    <mergeCell ref="F402:F403"/>
    <mergeCell ref="F414:F415"/>
    <mergeCell ref="M408:N409"/>
    <mergeCell ref="C410:F410"/>
    <mergeCell ref="H410:K410"/>
    <mergeCell ref="H411:J411"/>
    <mergeCell ref="N414:N415"/>
    <mergeCell ref="M416:N417"/>
    <mergeCell ref="C418:D418"/>
    <mergeCell ref="H418:I418"/>
    <mergeCell ref="I414:I415"/>
    <mergeCell ref="J414:J415"/>
    <mergeCell ref="K414:K415"/>
    <mergeCell ref="M414:M415"/>
    <mergeCell ref="C414:C415"/>
    <mergeCell ref="D414:D415"/>
    <mergeCell ref="E414:E415"/>
    <mergeCell ref="F426:F427"/>
    <mergeCell ref="M420:N421"/>
    <mergeCell ref="C422:F422"/>
    <mergeCell ref="H422:K422"/>
    <mergeCell ref="H423:J423"/>
    <mergeCell ref="N426:N427"/>
    <mergeCell ref="M428:N429"/>
    <mergeCell ref="C430:D430"/>
    <mergeCell ref="H430:I430"/>
    <mergeCell ref="I426:I427"/>
    <mergeCell ref="J426:J427"/>
    <mergeCell ref="K426:K427"/>
    <mergeCell ref="M426:M427"/>
    <mergeCell ref="C426:C427"/>
    <mergeCell ref="D426:D427"/>
    <mergeCell ref="E426:E427"/>
    <mergeCell ref="F438:F439"/>
    <mergeCell ref="M432:N433"/>
    <mergeCell ref="C434:F434"/>
    <mergeCell ref="H434:K434"/>
    <mergeCell ref="H435:J435"/>
    <mergeCell ref="N438:N439"/>
    <mergeCell ref="M440:N441"/>
    <mergeCell ref="C442:D442"/>
    <mergeCell ref="H442:I442"/>
    <mergeCell ref="I438:I439"/>
    <mergeCell ref="J438:J439"/>
    <mergeCell ref="K438:K439"/>
    <mergeCell ref="M438:M439"/>
    <mergeCell ref="C438:C439"/>
    <mergeCell ref="D438:D439"/>
    <mergeCell ref="E438:E439"/>
    <mergeCell ref="F450:F451"/>
    <mergeCell ref="M444:N445"/>
    <mergeCell ref="C446:F446"/>
    <mergeCell ref="H446:K446"/>
    <mergeCell ref="H447:J447"/>
    <mergeCell ref="N450:N451"/>
    <mergeCell ref="M452:N453"/>
    <mergeCell ref="C454:D454"/>
    <mergeCell ref="H454:I454"/>
    <mergeCell ref="I450:I451"/>
    <mergeCell ref="J450:J451"/>
    <mergeCell ref="K450:K451"/>
    <mergeCell ref="M450:M451"/>
    <mergeCell ref="C450:C451"/>
    <mergeCell ref="D450:D451"/>
    <mergeCell ref="E450:E451"/>
    <mergeCell ref="M456:N457"/>
    <mergeCell ref="C458:F458"/>
    <mergeCell ref="H458:K458"/>
    <mergeCell ref="H459:J459"/>
    <mergeCell ref="A13:E13"/>
  </mergeCells>
  <printOptions/>
  <pageMargins left="0.7480314960629921" right="0.7480314960629921" top="0.984251968503937" bottom="0.7874015748031497" header="0.5118110236220472" footer="0.5118110236220472"/>
  <pageSetup horizontalDpi="600" verticalDpi="600" orientation="portrait" scale="53" r:id="rId1"/>
  <headerFooter alignWithMargins="0">
    <oddFooter>&amp;LHaldimand County Hydro Inc.
Page &amp;P of &amp;N&amp;R&amp;"Arial,Bold"&amp;F
&amp;A</oddFooter>
  </headerFooter>
  <rowBreaks count="6" manualBreakCount="6">
    <brk id="100" max="13" man="1"/>
    <brk id="154" max="255" man="1"/>
    <brk id="211" max="255" man="1"/>
    <brk id="265" max="255" man="1"/>
    <brk id="378" max="255" man="1"/>
    <brk id="436" max="255" man="1"/>
  </rowBreaks>
</worksheet>
</file>

<file path=xl/worksheets/sheet2.xml><?xml version="1.0" encoding="utf-8"?>
<worksheet xmlns="http://schemas.openxmlformats.org/spreadsheetml/2006/main" xmlns:r="http://schemas.openxmlformats.org/officeDocument/2006/relationships">
  <dimension ref="A1:G77"/>
  <sheetViews>
    <sheetView view="pageBreakPreview" zoomScale="60" zoomScaleNormal="75" zoomScalePageLayoutView="0" workbookViewId="0" topLeftCell="A1">
      <pane ySplit="1" topLeftCell="A14" activePane="bottomLeft" state="frozen"/>
      <selection pane="topLeft" activeCell="H18" sqref="H18"/>
      <selection pane="bottomLeft" activeCell="A24" sqref="A24:IV30"/>
    </sheetView>
  </sheetViews>
  <sheetFormatPr defaultColWidth="9.140625" defaultRowHeight="12.75"/>
  <cols>
    <col min="1" max="1" width="37.8515625" style="8" customWidth="1"/>
    <col min="2" max="2" width="14.7109375" style="8" customWidth="1"/>
    <col min="3" max="3" width="14.28125" style="8" customWidth="1"/>
    <col min="4" max="4" width="16.8515625" style="8" customWidth="1"/>
    <col min="5" max="5" width="14.28125" style="8" customWidth="1"/>
    <col min="6" max="7" width="15.57421875" style="8" customWidth="1"/>
    <col min="8" max="16384" width="9.140625" style="8" customWidth="1"/>
  </cols>
  <sheetData>
    <row r="1" spans="1:4" ht="17.25">
      <c r="A1" s="36" t="s">
        <v>100</v>
      </c>
      <c r="D1" s="9"/>
    </row>
    <row r="2" ht="13.5" thickBot="1"/>
    <row r="3" spans="1:6" ht="15">
      <c r="A3" s="286" t="str">
        <f>"Name of Utility:      "&amp;'Info Sheet'!B4</f>
        <v>Name of Utility:      Haldimand County Hydro Inc.</v>
      </c>
      <c r="B3" s="287"/>
      <c r="C3" s="169"/>
      <c r="D3" s="441" t="str">
        <f>'Info Sheet'!B21</f>
        <v>2005.V1.0</v>
      </c>
      <c r="E3" s="35"/>
      <c r="F3" s="13"/>
    </row>
    <row r="4" spans="1:6" ht="17.25">
      <c r="A4" s="288" t="str">
        <f>"License Number:   "&amp;'Info Sheet'!B6</f>
        <v>License Number:   ED-2002-0539</v>
      </c>
      <c r="B4" s="26"/>
      <c r="C4" s="376"/>
      <c r="D4" s="380" t="str">
        <f>'Info Sheet'!B8</f>
        <v>RP-2005-0013</v>
      </c>
      <c r="E4" s="35"/>
      <c r="F4" s="13"/>
    </row>
    <row r="5" spans="1:4" ht="15">
      <c r="A5" s="534" t="str">
        <f>"Name of Contact:  "&amp;'Info Sheet'!B12</f>
        <v>Name of Contact:  Jacqueline Scott - Finance Manager</v>
      </c>
      <c r="B5" s="535"/>
      <c r="C5" s="535"/>
      <c r="D5" s="380" t="str">
        <f>'Info Sheet'!B10</f>
        <v>EB-2005-0034</v>
      </c>
    </row>
    <row r="6" spans="1:4" ht="17.25">
      <c r="A6" s="289" t="str">
        <f>"E- Mail Address:    "&amp;'Info Sheet'!B14</f>
        <v>E- Mail Address:    jscott@hchydro.ca</v>
      </c>
      <c r="B6" s="26"/>
      <c r="C6" s="377"/>
      <c r="D6" s="99"/>
    </row>
    <row r="7" spans="1:4" ht="15">
      <c r="A7" s="288" t="str">
        <f>"Phone Number:     "&amp;'Info Sheet'!B16</f>
        <v>Phone Number:     905-765-5211</v>
      </c>
      <c r="B7" s="536" t="str">
        <f>'Info Sheet'!$C$16&amp;" "&amp;'Info Sheet'!$D$16</f>
        <v>Extension: 237</v>
      </c>
      <c r="C7" s="536"/>
      <c r="D7" s="99"/>
    </row>
    <row r="8" spans="1:4" ht="15.75" thickBot="1">
      <c r="A8" s="290" t="str">
        <f>"Date:                      "&amp;('Info Sheet'!B18)</f>
        <v>Date:                      January 14, 2005</v>
      </c>
      <c r="B8" s="291"/>
      <c r="C8" s="378"/>
      <c r="D8" s="148"/>
    </row>
    <row r="9" spans="1:3" ht="15">
      <c r="A9" s="27"/>
      <c r="B9" s="28"/>
      <c r="C9" s="26"/>
    </row>
    <row r="10" spans="1:5" ht="16.5" customHeight="1">
      <c r="A10" s="294" t="s">
        <v>103</v>
      </c>
      <c r="B10" s="34"/>
      <c r="C10" s="39"/>
      <c r="D10" s="295"/>
      <c r="E10" s="34"/>
    </row>
    <row r="11" spans="1:5" ht="16.5" customHeight="1">
      <c r="A11" s="533" t="s">
        <v>188</v>
      </c>
      <c r="B11" s="533"/>
      <c r="C11" s="533"/>
      <c r="D11" s="533"/>
      <c r="E11" s="533"/>
    </row>
    <row r="12" spans="1:5" ht="14.25" customHeight="1">
      <c r="A12" s="533"/>
      <c r="B12" s="533"/>
      <c r="C12" s="533"/>
      <c r="D12" s="533"/>
      <c r="E12" s="533"/>
    </row>
    <row r="13" ht="13.5" customHeight="1"/>
    <row r="14" ht="13.5">
      <c r="A14" s="297" t="s">
        <v>180</v>
      </c>
    </row>
    <row r="15" spans="2:4" ht="15" customHeight="1">
      <c r="B15" s="38"/>
      <c r="C15" s="39"/>
      <c r="D15" s="295"/>
    </row>
    <row r="16" spans="2:6" ht="12.75">
      <c r="B16" s="13"/>
      <c r="C16" s="13"/>
      <c r="D16" s="13"/>
      <c r="E16" s="13"/>
      <c r="F16" s="13"/>
    </row>
    <row r="17" spans="1:7" ht="17.25">
      <c r="A17" s="54" t="s">
        <v>195</v>
      </c>
      <c r="B17" s="51"/>
      <c r="C17" s="52"/>
      <c r="E17" s="14"/>
      <c r="G17" s="14"/>
    </row>
    <row r="18" spans="2:7" ht="12.75">
      <c r="B18" s="14"/>
      <c r="C18" s="14"/>
      <c r="D18" s="48"/>
      <c r="E18" s="14"/>
      <c r="F18" s="14"/>
      <c r="G18" s="14"/>
    </row>
    <row r="19" spans="1:7" ht="12.75">
      <c r="A19" s="108" t="s">
        <v>57</v>
      </c>
      <c r="B19" s="108"/>
      <c r="C19" s="109"/>
      <c r="D19" s="110">
        <v>0.014140067295950215</v>
      </c>
      <c r="E19" s="14"/>
      <c r="F19" s="14"/>
      <c r="G19" s="14"/>
    </row>
    <row r="20" spans="1:7" ht="12.75">
      <c r="A20" s="111"/>
      <c r="B20" s="111"/>
      <c r="C20" s="112"/>
      <c r="D20" s="112"/>
      <c r="E20" s="14"/>
      <c r="F20" s="14"/>
      <c r="G20" s="14"/>
    </row>
    <row r="21" spans="1:7" ht="12.75">
      <c r="A21" s="108" t="s">
        <v>58</v>
      </c>
      <c r="B21" s="108"/>
      <c r="C21" s="109"/>
      <c r="D21" s="113">
        <v>9.23754180172968</v>
      </c>
      <c r="E21" s="14"/>
      <c r="F21" s="14"/>
      <c r="G21" s="14"/>
    </row>
    <row r="22" spans="3:7" ht="12.75">
      <c r="C22" s="14"/>
      <c r="D22" s="14"/>
      <c r="E22" s="14"/>
      <c r="F22" s="14"/>
      <c r="G22" s="14"/>
    </row>
    <row r="23" spans="3:7" ht="12.75">
      <c r="C23" s="14"/>
      <c r="D23" s="14"/>
      <c r="E23" s="14"/>
      <c r="F23" s="14"/>
      <c r="G23" s="14"/>
    </row>
    <row r="24" spans="1:7" ht="17.25">
      <c r="A24" s="54" t="s">
        <v>199</v>
      </c>
      <c r="C24" s="52"/>
      <c r="D24" s="51"/>
      <c r="E24" s="14"/>
      <c r="F24" s="14"/>
      <c r="G24" s="14"/>
    </row>
    <row r="25" spans="3:7" ht="12.75">
      <c r="C25" s="14"/>
      <c r="D25" s="14"/>
      <c r="E25" s="14"/>
      <c r="F25" s="14"/>
      <c r="G25" s="14"/>
    </row>
    <row r="26" spans="1:7" ht="12.75">
      <c r="A26" s="108" t="s">
        <v>57</v>
      </c>
      <c r="B26" s="33"/>
      <c r="C26" s="22"/>
      <c r="D26" s="106">
        <v>0.012818239082624035</v>
      </c>
      <c r="E26" s="14"/>
      <c r="F26" s="14"/>
      <c r="G26" s="14"/>
    </row>
    <row r="27" spans="1:7" ht="12.75">
      <c r="A27" s="111"/>
      <c r="C27" s="14"/>
      <c r="D27" s="14"/>
      <c r="E27" s="14"/>
      <c r="F27" s="14"/>
      <c r="G27" s="14"/>
    </row>
    <row r="28" spans="1:7" ht="12.75">
      <c r="A28" s="108" t="s">
        <v>58</v>
      </c>
      <c r="B28" s="33"/>
      <c r="C28" s="22"/>
      <c r="D28" s="107">
        <v>12.502809309850095</v>
      </c>
      <c r="E28" s="14"/>
      <c r="F28" s="14"/>
      <c r="G28" s="14"/>
    </row>
    <row r="29" spans="3:7" ht="12.75">
      <c r="C29" s="14"/>
      <c r="D29" s="14"/>
      <c r="E29" s="14"/>
      <c r="F29" s="14"/>
      <c r="G29" s="14"/>
    </row>
    <row r="30" spans="2:7" ht="12.75">
      <c r="B30" s="14"/>
      <c r="C30" s="14"/>
      <c r="D30" s="48"/>
      <c r="E30" s="14"/>
      <c r="F30" s="14"/>
      <c r="G30" s="14"/>
    </row>
    <row r="31" spans="1:7" ht="17.25">
      <c r="A31" s="54" t="s">
        <v>200</v>
      </c>
      <c r="B31" s="51"/>
      <c r="C31" s="52"/>
      <c r="D31" s="48"/>
      <c r="E31" s="14"/>
      <c r="F31" s="14"/>
      <c r="G31" s="14"/>
    </row>
    <row r="32" spans="2:7" ht="12.75">
      <c r="B32" s="14"/>
      <c r="C32" s="14"/>
      <c r="D32" s="48"/>
      <c r="E32" s="14"/>
      <c r="F32" s="14"/>
      <c r="G32" s="14"/>
    </row>
    <row r="33" spans="1:7" ht="12.75">
      <c r="A33" s="108" t="s">
        <v>59</v>
      </c>
      <c r="B33" s="33"/>
      <c r="C33" s="22"/>
      <c r="D33" s="106">
        <v>3.8901178173090525</v>
      </c>
      <c r="E33" s="14"/>
      <c r="F33" s="14"/>
      <c r="G33" s="14"/>
    </row>
    <row r="34" spans="1:7" ht="12.75">
      <c r="A34" s="111"/>
      <c r="C34" s="14"/>
      <c r="D34" s="14"/>
      <c r="E34" s="14"/>
      <c r="F34" s="14"/>
      <c r="G34" s="14"/>
    </row>
    <row r="35" spans="1:7" ht="12.75">
      <c r="A35" s="108" t="s">
        <v>58</v>
      </c>
      <c r="B35" s="33"/>
      <c r="C35" s="22"/>
      <c r="D35" s="107">
        <v>23.75935648537603</v>
      </c>
      <c r="E35" s="14"/>
      <c r="F35" s="14"/>
      <c r="G35" s="14"/>
    </row>
    <row r="36" spans="2:7" ht="12.75">
      <c r="B36" s="14"/>
      <c r="C36" s="14"/>
      <c r="D36" s="48"/>
      <c r="E36" s="14"/>
      <c r="F36" s="14"/>
      <c r="G36" s="14"/>
    </row>
    <row r="37" spans="2:7" ht="12.75">
      <c r="B37" s="14"/>
      <c r="C37" s="14"/>
      <c r="D37" s="48"/>
      <c r="E37" s="14"/>
      <c r="F37" s="14"/>
      <c r="G37" s="14"/>
    </row>
    <row r="38" spans="1:7" ht="17.25">
      <c r="A38" s="54" t="s">
        <v>2</v>
      </c>
      <c r="B38" s="51"/>
      <c r="C38" s="52"/>
      <c r="D38" s="48"/>
      <c r="E38" s="14"/>
      <c r="F38" s="14"/>
      <c r="G38" s="14"/>
    </row>
    <row r="39" spans="1:7" ht="17.25">
      <c r="A39" s="7"/>
      <c r="B39" s="14"/>
      <c r="C39" s="14"/>
      <c r="D39" s="48"/>
      <c r="E39" s="14"/>
      <c r="F39" s="14"/>
      <c r="G39" s="14"/>
    </row>
    <row r="40" spans="1:7" ht="12.75">
      <c r="A40" s="108" t="s">
        <v>59</v>
      </c>
      <c r="B40" s="22"/>
      <c r="C40" s="22"/>
      <c r="D40" s="106">
        <v>0.6464617566011517</v>
      </c>
      <c r="E40" s="14"/>
      <c r="F40" s="14"/>
      <c r="G40" s="14"/>
    </row>
    <row r="41" spans="1:7" ht="12.75">
      <c r="A41" s="111"/>
      <c r="B41" s="14"/>
      <c r="C41" s="14"/>
      <c r="D41" s="48"/>
      <c r="E41" s="14"/>
      <c r="F41" s="14"/>
      <c r="G41" s="14"/>
    </row>
    <row r="42" spans="1:7" ht="12.75">
      <c r="A42" s="108" t="s">
        <v>58</v>
      </c>
      <c r="B42" s="50"/>
      <c r="C42" s="22"/>
      <c r="D42" s="107">
        <v>8.726114726314117</v>
      </c>
      <c r="E42" s="14"/>
      <c r="F42" s="14"/>
      <c r="G42" s="14"/>
    </row>
    <row r="43" spans="2:7" ht="12.75">
      <c r="B43" s="14"/>
      <c r="C43" s="14"/>
      <c r="D43" s="48"/>
      <c r="E43" s="14"/>
      <c r="F43" s="14"/>
      <c r="G43" s="14"/>
    </row>
    <row r="44" spans="3:7" ht="12.75">
      <c r="C44" s="14"/>
      <c r="E44" s="14"/>
      <c r="F44" s="14"/>
      <c r="G44" s="14"/>
    </row>
    <row r="45" spans="1:7" ht="17.25">
      <c r="A45" s="54" t="s">
        <v>3</v>
      </c>
      <c r="B45" s="14"/>
      <c r="C45" s="14"/>
      <c r="D45" s="48"/>
      <c r="E45" s="14"/>
      <c r="F45" s="14"/>
      <c r="G45" s="14"/>
    </row>
    <row r="46" spans="2:7" ht="12.75">
      <c r="B46" s="14"/>
      <c r="C46" s="14"/>
      <c r="D46" s="48"/>
      <c r="E46" s="14"/>
      <c r="F46" s="14"/>
      <c r="G46" s="14"/>
    </row>
    <row r="47" spans="1:7" ht="12.75">
      <c r="A47" s="108" t="s">
        <v>59</v>
      </c>
      <c r="B47" s="33"/>
      <c r="C47" s="22"/>
      <c r="D47" s="106">
        <v>1.5949134912607799</v>
      </c>
      <c r="E47" s="14"/>
      <c r="F47" s="14"/>
      <c r="G47" s="14"/>
    </row>
    <row r="48" spans="1:7" ht="12.75">
      <c r="A48" s="111"/>
      <c r="C48" s="14"/>
      <c r="D48" s="14"/>
      <c r="E48" s="14"/>
      <c r="F48" s="14"/>
      <c r="G48" s="14"/>
    </row>
    <row r="49" spans="1:7" ht="12.75">
      <c r="A49" s="108" t="s">
        <v>191</v>
      </c>
      <c r="B49" s="33"/>
      <c r="C49" s="22"/>
      <c r="D49" s="107">
        <v>1.1944014421491889</v>
      </c>
      <c r="E49" s="14"/>
      <c r="F49" s="14"/>
      <c r="G49" s="14"/>
    </row>
    <row r="50" spans="2:7" ht="12.75">
      <c r="B50" s="14"/>
      <c r="C50" s="14"/>
      <c r="D50" s="48"/>
      <c r="E50" s="14"/>
      <c r="F50" s="14"/>
      <c r="G50" s="14"/>
    </row>
    <row r="51" spans="2:7" ht="12.75">
      <c r="B51" s="14"/>
      <c r="C51" s="14"/>
      <c r="D51" s="48"/>
      <c r="E51" s="14"/>
      <c r="F51" s="14"/>
      <c r="G51" s="14"/>
    </row>
    <row r="52" spans="1:7" ht="17.25">
      <c r="A52" s="54" t="s">
        <v>4</v>
      </c>
      <c r="B52" s="14"/>
      <c r="C52" s="14"/>
      <c r="D52" s="48"/>
      <c r="E52" s="14"/>
      <c r="F52" s="14"/>
      <c r="G52" s="14"/>
    </row>
    <row r="53" spans="2:7" ht="12.75">
      <c r="B53" s="14"/>
      <c r="C53" s="14"/>
      <c r="D53" s="48"/>
      <c r="E53" s="14"/>
      <c r="F53" s="14"/>
      <c r="G53" s="14"/>
    </row>
    <row r="54" spans="1:7" ht="12.75">
      <c r="A54" s="108" t="s">
        <v>59</v>
      </c>
      <c r="B54" s="33"/>
      <c r="C54" s="22"/>
      <c r="D54" s="106">
        <v>1.596649617527336</v>
      </c>
      <c r="E54" s="14"/>
      <c r="F54" s="14"/>
      <c r="G54" s="14"/>
    </row>
    <row r="55" spans="1:7" ht="12.75">
      <c r="A55" s="111"/>
      <c r="C55" s="14"/>
      <c r="D55" s="14"/>
      <c r="E55" s="14"/>
      <c r="F55" s="14"/>
      <c r="G55" s="14"/>
    </row>
    <row r="56" spans="1:7" ht="12.75">
      <c r="A56" s="108" t="s">
        <v>191</v>
      </c>
      <c r="B56" s="33"/>
      <c r="C56" s="22"/>
      <c r="D56" s="107">
        <v>1.041114785353905</v>
      </c>
      <c r="E56" s="14"/>
      <c r="F56" s="14"/>
      <c r="G56" s="14"/>
    </row>
    <row r="57" spans="2:7" ht="12.75">
      <c r="B57" s="14"/>
      <c r="C57" s="14"/>
      <c r="D57" s="48"/>
      <c r="E57" s="14"/>
      <c r="F57" s="14"/>
      <c r="G57" s="14"/>
    </row>
    <row r="59" spans="1:3" ht="17.25">
      <c r="A59" s="54" t="s">
        <v>196</v>
      </c>
      <c r="B59" s="51"/>
      <c r="C59" s="52"/>
    </row>
    <row r="60" spans="2:4" ht="12.75">
      <c r="B60" s="14"/>
      <c r="C60" s="14"/>
      <c r="D60" s="48"/>
    </row>
    <row r="61" spans="1:4" ht="12.75">
      <c r="A61" s="108" t="s">
        <v>57</v>
      </c>
      <c r="B61" s="108"/>
      <c r="C61" s="109"/>
      <c r="D61" s="110">
        <v>0.015234100868029262</v>
      </c>
    </row>
    <row r="62" spans="1:4" ht="12.75">
      <c r="A62" s="111"/>
      <c r="B62" s="111"/>
      <c r="C62" s="112"/>
      <c r="D62" s="112"/>
    </row>
    <row r="63" spans="1:4" ht="12.75">
      <c r="A63" s="108" t="s">
        <v>58</v>
      </c>
      <c r="B63" s="108"/>
      <c r="C63" s="109"/>
      <c r="D63" s="113">
        <v>10.60778022166637</v>
      </c>
    </row>
    <row r="64" spans="3:4" ht="12.75">
      <c r="C64" s="14"/>
      <c r="D64" s="14"/>
    </row>
    <row r="65" spans="3:4" ht="12.75">
      <c r="C65" s="14"/>
      <c r="D65" s="14"/>
    </row>
    <row r="66" spans="1:4" ht="17.25">
      <c r="A66" s="54" t="s">
        <v>197</v>
      </c>
      <c r="C66" s="52"/>
      <c r="D66" s="51"/>
    </row>
    <row r="67" spans="3:4" ht="12.75">
      <c r="C67" s="14"/>
      <c r="D67" s="14"/>
    </row>
    <row r="68" spans="1:4" ht="12.75">
      <c r="A68" s="108" t="s">
        <v>57</v>
      </c>
      <c r="B68" s="33"/>
      <c r="C68" s="22"/>
      <c r="D68" s="106">
        <v>0.011945958156095513</v>
      </c>
    </row>
    <row r="69" spans="1:4" ht="12.75">
      <c r="A69" s="111"/>
      <c r="C69" s="14"/>
      <c r="D69" s="14"/>
    </row>
    <row r="70" spans="1:4" ht="12.75">
      <c r="A70" s="108" t="s">
        <v>58</v>
      </c>
      <c r="B70" s="33"/>
      <c r="C70" s="22"/>
      <c r="D70" s="107">
        <v>12.841843550117055</v>
      </c>
    </row>
    <row r="71" spans="3:4" ht="12.75">
      <c r="C71" s="14"/>
      <c r="D71" s="14"/>
    </row>
    <row r="72" spans="2:4" ht="12.75">
      <c r="B72" s="14"/>
      <c r="C72" s="14"/>
      <c r="D72" s="48"/>
    </row>
    <row r="73" spans="1:4" ht="17.25">
      <c r="A73" s="54" t="s">
        <v>198</v>
      </c>
      <c r="B73" s="51"/>
      <c r="C73" s="52"/>
      <c r="D73" s="48"/>
    </row>
    <row r="74" spans="2:4" ht="12.75">
      <c r="B74" s="14"/>
      <c r="C74" s="14"/>
      <c r="D74" s="48"/>
    </row>
    <row r="75" spans="1:4" ht="12.75">
      <c r="A75" s="108" t="s">
        <v>59</v>
      </c>
      <c r="B75" s="33"/>
      <c r="C75" s="22"/>
      <c r="D75" s="106">
        <v>3.8789361312916575</v>
      </c>
    </row>
    <row r="76" spans="1:4" ht="12.75">
      <c r="A76" s="111"/>
      <c r="C76" s="14"/>
      <c r="D76" s="14"/>
    </row>
    <row r="77" spans="1:4" ht="12.75">
      <c r="A77" s="108" t="s">
        <v>58</v>
      </c>
      <c r="B77" s="33"/>
      <c r="C77" s="22"/>
      <c r="D77" s="107">
        <v>23.66874403478591</v>
      </c>
    </row>
  </sheetData>
  <sheetProtection/>
  <mergeCells count="3">
    <mergeCell ref="A11:E12"/>
    <mergeCell ref="A5:C5"/>
    <mergeCell ref="B7:C7"/>
  </mergeCells>
  <printOptions gridLines="1"/>
  <pageMargins left="0.7480314960629921" right="0.7480314960629921" top="0.984251968503937" bottom="0.7874015748031497" header="0.5118110236220472" footer="0.5118110236220472"/>
  <pageSetup horizontalDpi="600" verticalDpi="600" orientation="portrait" scale="80" r:id="rId1"/>
  <headerFooter alignWithMargins="0">
    <oddFooter>&amp;LHaldimand County Hydro Inc.
Page &amp;P of &amp;N&amp;R&amp;"Arial,Bold"&amp;F
&amp;A</oddFooter>
  </headerFooter>
  <rowBreaks count="1" manualBreakCount="1">
    <brk id="57" max="5" man="1"/>
  </rowBreaks>
</worksheet>
</file>

<file path=xl/worksheets/sheet3.xml><?xml version="1.0" encoding="utf-8"?>
<worksheet xmlns="http://schemas.openxmlformats.org/spreadsheetml/2006/main" xmlns:r="http://schemas.openxmlformats.org/officeDocument/2006/relationships">
  <dimension ref="A1:J223"/>
  <sheetViews>
    <sheetView tabSelected="1" view="pageBreakPreview" zoomScale="60" zoomScaleNormal="75" zoomScalePageLayoutView="0" workbookViewId="0" topLeftCell="A31">
      <selection activeCell="C82" sqref="C82"/>
    </sheetView>
  </sheetViews>
  <sheetFormatPr defaultColWidth="9.140625" defaultRowHeight="12.75"/>
  <cols>
    <col min="1" max="1" width="51.421875" style="8" customWidth="1"/>
    <col min="2" max="2" width="17.28125" style="8" customWidth="1"/>
    <col min="3" max="3" width="16.57421875" style="8" bestFit="1" customWidth="1"/>
    <col min="4" max="4" width="17.00390625" style="8" customWidth="1"/>
    <col min="5" max="5" width="14.421875" style="8" bestFit="1" customWidth="1"/>
    <col min="6" max="6" width="11.7109375" style="8" customWidth="1"/>
    <col min="7" max="7" width="15.8515625" style="8" bestFit="1" customWidth="1"/>
    <col min="8" max="8" width="15.28125" style="8" customWidth="1"/>
    <col min="9" max="16384" width="9.140625" style="8" customWidth="1"/>
  </cols>
  <sheetData>
    <row r="1" ht="17.25">
      <c r="A1" s="36" t="s">
        <v>99</v>
      </c>
    </row>
    <row r="2" ht="18" thickBot="1">
      <c r="A2" s="115"/>
    </row>
    <row r="3" spans="1:7" ht="17.25">
      <c r="A3" s="286" t="str">
        <f>"Name of Utility:      "&amp;'Info Sheet'!B4</f>
        <v>Name of Utility:      Haldimand County Hydro Inc.</v>
      </c>
      <c r="B3" s="442"/>
      <c r="C3" s="448"/>
      <c r="D3" s="441" t="str">
        <f>'Info Sheet'!B21</f>
        <v>2005.V1.0</v>
      </c>
      <c r="E3" s="35"/>
      <c r="F3" s="115"/>
      <c r="G3" s="116"/>
    </row>
    <row r="4" spans="1:7" ht="17.25">
      <c r="A4" s="288" t="str">
        <f>"License Number:   "&amp;'Info Sheet'!B6</f>
        <v>License Number:   ED-2002-0539</v>
      </c>
      <c r="B4" s="444"/>
      <c r="C4" s="374"/>
      <c r="D4" s="380" t="str">
        <f>'Info Sheet'!B8</f>
        <v>RP-2005-0013</v>
      </c>
      <c r="E4" s="35"/>
      <c r="F4" s="115"/>
      <c r="G4" s="116"/>
    </row>
    <row r="5" spans="1:4" ht="15">
      <c r="A5" s="288" t="str">
        <f>"Name of Contact:  "&amp;'Info Sheet'!B12</f>
        <v>Name of Contact:  Jacqueline Scott - Finance Manager</v>
      </c>
      <c r="B5" s="538"/>
      <c r="C5" s="538"/>
      <c r="D5" s="380" t="str">
        <f>'Info Sheet'!B10</f>
        <v>EB-2005-0034</v>
      </c>
    </row>
    <row r="6" spans="1:4" ht="15">
      <c r="A6" s="289" t="str">
        <f>"E- Mail Address:    "&amp;'Info Sheet'!B14</f>
        <v>E- Mail Address:    jscott@hchydro.ca</v>
      </c>
      <c r="B6" s="444"/>
      <c r="C6" s="27"/>
      <c r="D6" s="449"/>
    </row>
    <row r="7" spans="1:4" ht="15">
      <c r="A7" s="288" t="str">
        <f>"Phone Number:     "&amp;'Info Sheet'!B16</f>
        <v>Phone Number:     905-765-5211</v>
      </c>
      <c r="B7" s="536" t="str">
        <f>'Info Sheet'!$C$16&amp;" "&amp;'Info Sheet'!$D$16</f>
        <v>Extension: 237</v>
      </c>
      <c r="C7" s="536"/>
      <c r="D7" s="449"/>
    </row>
    <row r="8" spans="1:10" ht="15.75" thickBot="1">
      <c r="A8" s="290" t="str">
        <f>"Date:                      "&amp;('Info Sheet'!B18)</f>
        <v>Date:                      January 14, 2005</v>
      </c>
      <c r="B8" s="446"/>
      <c r="C8" s="447"/>
      <c r="D8" s="450"/>
      <c r="J8" s="333" t="s">
        <v>124</v>
      </c>
    </row>
    <row r="9" spans="1:10" ht="15">
      <c r="A9" s="27"/>
      <c r="B9" s="28"/>
      <c r="C9" s="26"/>
      <c r="J9" s="333" t="s">
        <v>125</v>
      </c>
    </row>
    <row r="10" spans="1:7" ht="13.5">
      <c r="A10" s="541" t="s">
        <v>148</v>
      </c>
      <c r="B10" s="541"/>
      <c r="C10" s="541"/>
      <c r="D10" s="541"/>
      <c r="E10" s="541"/>
      <c r="F10" s="247"/>
      <c r="G10" s="302">
        <v>437478.22</v>
      </c>
    </row>
    <row r="11" spans="1:7" ht="13.5">
      <c r="A11" s="335"/>
      <c r="B11" s="335"/>
      <c r="C11" s="335"/>
      <c r="D11" s="335"/>
      <c r="E11" s="335"/>
      <c r="F11" s="336"/>
      <c r="G11" s="336"/>
    </row>
    <row r="12" spans="1:7" ht="13.5">
      <c r="A12" s="71" t="s">
        <v>126</v>
      </c>
      <c r="B12" s="71"/>
      <c r="C12" s="71"/>
      <c r="D12" s="71"/>
      <c r="E12" s="71"/>
      <c r="F12" s="247"/>
      <c r="G12" s="334" t="s">
        <v>124</v>
      </c>
    </row>
    <row r="13" spans="1:7" ht="13.5">
      <c r="A13" s="335"/>
      <c r="B13" s="335"/>
      <c r="C13" s="335"/>
      <c r="D13" s="335"/>
      <c r="E13" s="335"/>
      <c r="F13" s="336"/>
      <c r="G13" s="337"/>
    </row>
    <row r="14" spans="1:7" ht="13.5">
      <c r="A14" s="71" t="s">
        <v>149</v>
      </c>
      <c r="B14" s="71"/>
      <c r="C14" s="71"/>
      <c r="D14" s="71"/>
      <c r="E14" s="71"/>
      <c r="F14" s="247"/>
      <c r="G14" s="302">
        <v>437478.22</v>
      </c>
    </row>
    <row r="15" spans="1:7" ht="13.5">
      <c r="A15" s="70"/>
      <c r="B15" s="70"/>
      <c r="C15" s="70"/>
      <c r="D15" s="70"/>
      <c r="E15" s="70"/>
      <c r="F15" s="249"/>
      <c r="G15" s="249"/>
    </row>
    <row r="16" spans="1:7" ht="13.5">
      <c r="A16" s="71" t="s">
        <v>123</v>
      </c>
      <c r="B16" s="71"/>
      <c r="C16" s="71"/>
      <c r="D16" s="71"/>
      <c r="E16" s="71"/>
      <c r="F16" s="247"/>
      <c r="G16" s="334" t="s">
        <v>125</v>
      </c>
    </row>
    <row r="17" spans="1:7" ht="13.5">
      <c r="A17" s="135"/>
      <c r="B17" s="136"/>
      <c r="C17" s="136"/>
      <c r="D17" s="136"/>
      <c r="E17" s="136"/>
      <c r="F17" s="136"/>
      <c r="G17" s="136"/>
    </row>
    <row r="18" spans="1:7" ht="13.5">
      <c r="A18" s="541" t="s">
        <v>150</v>
      </c>
      <c r="B18" s="541"/>
      <c r="C18" s="541"/>
      <c r="D18" s="541"/>
      <c r="E18" s="541"/>
      <c r="F18" s="247"/>
      <c r="G18" s="302">
        <v>437478.22</v>
      </c>
    </row>
    <row r="19" spans="1:7" ht="13.5">
      <c r="A19" s="70"/>
      <c r="B19" s="70"/>
      <c r="C19" s="70"/>
      <c r="D19" s="70"/>
      <c r="E19" s="30"/>
      <c r="F19" s="249"/>
      <c r="G19" s="6"/>
    </row>
    <row r="20" spans="1:7" s="30" customFormat="1" ht="13.5">
      <c r="A20" s="70"/>
      <c r="B20" s="70"/>
      <c r="C20" s="70"/>
      <c r="D20" s="70"/>
      <c r="F20" s="249"/>
      <c r="G20" s="249"/>
    </row>
    <row r="21" spans="1:7" ht="14.25">
      <c r="A21" s="139"/>
      <c r="B21" s="140"/>
      <c r="C21" s="141"/>
      <c r="D21" s="142"/>
      <c r="E21" s="142"/>
      <c r="F21" s="55"/>
      <c r="G21" s="55"/>
    </row>
    <row r="22" spans="1:7" ht="13.5">
      <c r="A22" s="298" t="s">
        <v>104</v>
      </c>
      <c r="B22" s="299"/>
      <c r="C22" s="300"/>
      <c r="D22" s="301"/>
      <c r="E22" s="301"/>
      <c r="F22" s="247"/>
      <c r="G22" s="302">
        <f>G18*14/13</f>
        <v>471130.3907692308</v>
      </c>
    </row>
    <row r="23" spans="1:7" ht="14.25">
      <c r="A23" s="139"/>
      <c r="B23" s="140"/>
      <c r="C23" s="141"/>
      <c r="D23" s="142"/>
      <c r="E23" s="142"/>
      <c r="F23" s="55"/>
      <c r="G23" s="55"/>
    </row>
    <row r="24" spans="1:7" ht="13.5">
      <c r="A24" s="297" t="s">
        <v>151</v>
      </c>
      <c r="B24" s="296"/>
      <c r="C24" s="296"/>
      <c r="D24" s="136"/>
      <c r="E24" s="136"/>
      <c r="F24" s="136"/>
      <c r="G24" s="136"/>
    </row>
    <row r="25" spans="1:7" ht="13.5">
      <c r="A25" s="297" t="s">
        <v>189</v>
      </c>
      <c r="B25" s="296"/>
      <c r="C25" s="296"/>
      <c r="D25" s="136"/>
      <c r="E25" s="136"/>
      <c r="F25" s="136"/>
      <c r="G25" s="136"/>
    </row>
    <row r="26" ht="14.25" thickBot="1">
      <c r="A26" s="297" t="s">
        <v>47</v>
      </c>
    </row>
    <row r="27" spans="1:8" ht="39.75" thickBot="1">
      <c r="A27" s="149" t="s">
        <v>152</v>
      </c>
      <c r="B27" s="150" t="s">
        <v>5</v>
      </c>
      <c r="C27" s="150" t="s">
        <v>6</v>
      </c>
      <c r="D27" s="150" t="s">
        <v>13</v>
      </c>
      <c r="E27" s="150" t="s">
        <v>7</v>
      </c>
      <c r="F27" s="150" t="s">
        <v>143</v>
      </c>
      <c r="G27" s="151" t="s">
        <v>85</v>
      </c>
      <c r="H27" s="120"/>
    </row>
    <row r="28" spans="1:7" ht="12.75">
      <c r="A28" s="85"/>
      <c r="B28" s="30"/>
      <c r="C28" s="121"/>
      <c r="D28" s="121"/>
      <c r="E28" s="30"/>
      <c r="F28" s="30"/>
      <c r="G28" s="99"/>
    </row>
    <row r="29" spans="1:8" ht="12.75">
      <c r="A29" s="146" t="s">
        <v>201</v>
      </c>
      <c r="B29" s="471" t="s">
        <v>229</v>
      </c>
      <c r="C29" s="133">
        <v>84316556.54206003</v>
      </c>
      <c r="D29" s="250">
        <v>11499</v>
      </c>
      <c r="E29" s="381">
        <v>2085512.6788870664</v>
      </c>
      <c r="F29" s="266">
        <f>IF(ISERROR(E29/$E$42),"",E29/$E$42)</f>
        <v>0.3869753190998866</v>
      </c>
      <c r="G29" s="385">
        <f>IF(ISERROR($G$22*F29),0,$G$22*F29)</f>
        <v>182315.83330557734</v>
      </c>
      <c r="H29" s="253"/>
    </row>
    <row r="30" spans="1:8" ht="12.75">
      <c r="A30" s="146" t="s">
        <v>202</v>
      </c>
      <c r="B30" s="471" t="s">
        <v>229</v>
      </c>
      <c r="C30" s="133">
        <v>38348955.50661983</v>
      </c>
      <c r="D30" s="250">
        <v>1611</v>
      </c>
      <c r="E30" s="381">
        <v>618260.56</v>
      </c>
      <c r="F30" s="266">
        <f aca="true" t="shared" si="0" ref="F30:F40">IF(ISERROR(E30/$E$42),"",E30/$E$42)</f>
        <v>0.1147207494420754</v>
      </c>
      <c r="G30" s="385">
        <f aca="true" t="shared" si="1" ref="G30:G40">IF(ISERROR($G$22*F30),0,$G$22*F30)</f>
        <v>54048.431513984</v>
      </c>
      <c r="H30" s="253"/>
    </row>
    <row r="31" spans="1:8" ht="12.75">
      <c r="A31" s="146" t="s">
        <v>203</v>
      </c>
      <c r="B31" s="254">
        <v>110793</v>
      </c>
      <c r="C31" s="133" t="s">
        <v>229</v>
      </c>
      <c r="D31" s="250">
        <v>108</v>
      </c>
      <c r="E31" s="381">
        <v>390040.51</v>
      </c>
      <c r="F31" s="266">
        <f t="shared" si="0"/>
        <v>0.07237359539798123</v>
      </c>
      <c r="G31" s="385">
        <f t="shared" si="1"/>
        <v>34097.4002812251</v>
      </c>
      <c r="H31" s="253"/>
    </row>
    <row r="32" spans="1:8" ht="12.75">
      <c r="A32" s="146" t="s">
        <v>61</v>
      </c>
      <c r="B32" s="250">
        <v>28601</v>
      </c>
      <c r="C32" s="133" t="s">
        <v>229</v>
      </c>
      <c r="D32" s="250">
        <v>4</v>
      </c>
      <c r="E32" s="382">
        <v>15947.69</v>
      </c>
      <c r="F32" s="266">
        <f t="shared" si="0"/>
        <v>0.002959158430985621</v>
      </c>
      <c r="G32" s="385">
        <f t="shared" si="1"/>
        <v>1394.1494679383193</v>
      </c>
      <c r="H32" s="255"/>
    </row>
    <row r="33" spans="1:8" ht="12.75">
      <c r="A33" s="146" t="s">
        <v>136</v>
      </c>
      <c r="B33" s="250">
        <v>0</v>
      </c>
      <c r="C33" s="133" t="s">
        <v>229</v>
      </c>
      <c r="D33" s="250">
        <v>0</v>
      </c>
      <c r="E33" s="382">
        <v>0</v>
      </c>
      <c r="F33" s="266">
        <f t="shared" si="0"/>
        <v>0</v>
      </c>
      <c r="G33" s="385">
        <f t="shared" si="1"/>
        <v>0</v>
      </c>
      <c r="H33" s="255"/>
    </row>
    <row r="34" spans="1:8" ht="12.75">
      <c r="A34" s="146" t="s">
        <v>62</v>
      </c>
      <c r="B34" s="250"/>
      <c r="C34" s="133" t="s">
        <v>229</v>
      </c>
      <c r="D34" s="250">
        <v>0</v>
      </c>
      <c r="E34" s="382">
        <v>0</v>
      </c>
      <c r="F34" s="266">
        <f t="shared" si="0"/>
        <v>0</v>
      </c>
      <c r="G34" s="385">
        <f t="shared" si="1"/>
        <v>0</v>
      </c>
      <c r="H34" s="255"/>
    </row>
    <row r="35" spans="1:8" ht="12.75">
      <c r="A35" s="146" t="s">
        <v>63</v>
      </c>
      <c r="B35" s="254">
        <v>1758</v>
      </c>
      <c r="C35" s="133" t="s">
        <v>229</v>
      </c>
      <c r="D35" s="250">
        <v>834</v>
      </c>
      <c r="E35" s="383">
        <v>12457.5</v>
      </c>
      <c r="F35" s="266">
        <f t="shared" si="0"/>
        <v>0.0023115395492390037</v>
      </c>
      <c r="G35" s="385">
        <f t="shared" si="1"/>
        <v>1089.0365311115033</v>
      </c>
      <c r="H35" s="253"/>
    </row>
    <row r="36" spans="1:8" ht="12.75">
      <c r="A36" s="146" t="s">
        <v>64</v>
      </c>
      <c r="B36" s="254">
        <v>5721</v>
      </c>
      <c r="C36" s="133" t="s">
        <v>229</v>
      </c>
      <c r="D36" s="250">
        <v>1276</v>
      </c>
      <c r="E36" s="383">
        <v>21181.93</v>
      </c>
      <c r="F36" s="266">
        <f t="shared" si="0"/>
        <v>0.003930392849625698</v>
      </c>
      <c r="G36" s="385">
        <f t="shared" si="1"/>
        <v>1851.7275191207457</v>
      </c>
      <c r="H36" s="256"/>
    </row>
    <row r="37" spans="1:8" ht="12.75">
      <c r="A37" s="146" t="s">
        <v>204</v>
      </c>
      <c r="B37" s="254" t="s">
        <v>229</v>
      </c>
      <c r="C37" s="133">
        <v>71168780.45793995</v>
      </c>
      <c r="D37" s="250">
        <v>5204</v>
      </c>
      <c r="E37" s="383">
        <v>1476239.1354905032</v>
      </c>
      <c r="F37" s="499">
        <f t="shared" si="0"/>
        <v>0.2739221469653377</v>
      </c>
      <c r="G37" s="385">
        <f t="shared" si="1"/>
        <v>129053.04814012621</v>
      </c>
      <c r="H37" s="256"/>
    </row>
    <row r="38" spans="1:8" ht="12.75">
      <c r="A38" s="146" t="s">
        <v>205</v>
      </c>
      <c r="B38" s="254" t="s">
        <v>229</v>
      </c>
      <c r="C38" s="133">
        <v>27142799</v>
      </c>
      <c r="D38" s="250">
        <v>895</v>
      </c>
      <c r="E38" s="383">
        <v>390490.796544594</v>
      </c>
      <c r="F38" s="499">
        <f t="shared" si="0"/>
        <v>0.07245714788895607</v>
      </c>
      <c r="G38" s="385">
        <f t="shared" si="1"/>
        <v>34136.764398947824</v>
      </c>
      <c r="H38" s="256"/>
    </row>
    <row r="39" spans="1:8" ht="12.75">
      <c r="A39" s="146" t="s">
        <v>206</v>
      </c>
      <c r="B39" s="254">
        <v>110843</v>
      </c>
      <c r="C39" s="133" t="s">
        <v>229</v>
      </c>
      <c r="D39" s="250">
        <v>68</v>
      </c>
      <c r="E39" s="383">
        <v>379134.55</v>
      </c>
      <c r="F39" s="499">
        <f t="shared" si="0"/>
        <v>0.07034995037591271</v>
      </c>
      <c r="G39" s="385">
        <f t="shared" si="1"/>
        <v>33143.99961119975</v>
      </c>
      <c r="H39" s="256"/>
    </row>
    <row r="40" spans="1:8" ht="12.75">
      <c r="A40" s="146" t="s">
        <v>207</v>
      </c>
      <c r="B40" s="257"/>
      <c r="C40" s="134"/>
      <c r="D40" s="258"/>
      <c r="E40" s="384"/>
      <c r="F40" s="499">
        <f t="shared" si="0"/>
        <v>0</v>
      </c>
      <c r="G40" s="386">
        <f t="shared" si="1"/>
        <v>0</v>
      </c>
      <c r="H40" s="256"/>
    </row>
    <row r="41" spans="1:8" ht="13.5" thickBot="1">
      <c r="A41" s="146"/>
      <c r="B41" s="249"/>
      <c r="C41" s="260"/>
      <c r="D41" s="261"/>
      <c r="E41" s="249"/>
      <c r="F41" s="262"/>
      <c r="G41" s="252"/>
      <c r="H41" s="55"/>
    </row>
    <row r="42" spans="1:8" ht="13.5" thickBot="1">
      <c r="A42" s="303" t="s">
        <v>8</v>
      </c>
      <c r="B42" s="304">
        <f aca="true" t="shared" si="2" ref="B42:G42">SUM(B29:B40)</f>
        <v>257716</v>
      </c>
      <c r="C42" s="304">
        <f t="shared" si="2"/>
        <v>220977091.5066198</v>
      </c>
      <c r="D42" s="304">
        <f t="shared" si="2"/>
        <v>21499</v>
      </c>
      <c r="E42" s="398">
        <f t="shared" si="2"/>
        <v>5389265.350922164</v>
      </c>
      <c r="F42" s="305">
        <f t="shared" si="2"/>
        <v>1</v>
      </c>
      <c r="G42" s="399">
        <f t="shared" si="2"/>
        <v>471130.39076923084</v>
      </c>
      <c r="H42" s="55"/>
    </row>
    <row r="43" spans="1:8" ht="12.75">
      <c r="A43" s="85"/>
      <c r="B43" s="30"/>
      <c r="C43" s="539" t="s">
        <v>105</v>
      </c>
      <c r="D43" s="539"/>
      <c r="E43" s="539"/>
      <c r="F43" s="540"/>
      <c r="G43" s="400">
        <f>G22</f>
        <v>471130.3907692308</v>
      </c>
      <c r="H43" s="263"/>
    </row>
    <row r="44" spans="1:7" ht="13.5" thickBot="1">
      <c r="A44" s="93"/>
      <c r="B44" s="147"/>
      <c r="C44" s="147"/>
      <c r="D44" s="147"/>
      <c r="E44" s="147"/>
      <c r="F44" s="147"/>
      <c r="G44" s="148"/>
    </row>
    <row r="45" spans="1:7" ht="42" customHeight="1">
      <c r="A45" s="537" t="s">
        <v>184</v>
      </c>
      <c r="B45" s="537"/>
      <c r="C45" s="537"/>
      <c r="D45" s="537"/>
      <c r="E45" s="537"/>
      <c r="F45" s="537"/>
      <c r="G45" s="537"/>
    </row>
    <row r="46" ht="15">
      <c r="A46" s="53" t="s">
        <v>208</v>
      </c>
    </row>
    <row r="47" ht="10.5" customHeight="1">
      <c r="A47" s="129"/>
    </row>
    <row r="48" ht="9" customHeight="1">
      <c r="A48" s="130"/>
    </row>
    <row r="49" spans="1:7" ht="39.75" thickBot="1">
      <c r="A49" s="130"/>
      <c r="B49" s="267" t="s">
        <v>91</v>
      </c>
      <c r="C49" s="267" t="s">
        <v>185</v>
      </c>
      <c r="D49" s="267" t="s">
        <v>90</v>
      </c>
      <c r="E49" s="265"/>
      <c r="F49" s="265"/>
      <c r="G49" s="265"/>
    </row>
    <row r="50" spans="1:3" ht="15">
      <c r="A50" s="130"/>
      <c r="B50" s="29"/>
      <c r="C50" s="29"/>
    </row>
    <row r="51" spans="1:5" ht="12.75">
      <c r="A51" s="108" t="s">
        <v>86</v>
      </c>
      <c r="B51" s="275"/>
      <c r="C51" s="275"/>
      <c r="D51" s="392">
        <f>$G29</f>
        <v>182315.83330557734</v>
      </c>
      <c r="E51" s="111"/>
    </row>
    <row r="52" spans="1:5" ht="7.5" customHeight="1">
      <c r="A52" s="111"/>
      <c r="B52" s="268"/>
      <c r="C52" s="268"/>
      <c r="D52" s="269"/>
      <c r="E52" s="111"/>
    </row>
    <row r="53" spans="1:5" ht="12.75">
      <c r="A53" s="108" t="s">
        <v>89</v>
      </c>
      <c r="B53" s="470">
        <v>0.484</v>
      </c>
      <c r="C53" s="470">
        <v>0.516</v>
      </c>
      <c r="D53" s="276">
        <f>B53+C53</f>
        <v>1</v>
      </c>
      <c r="E53" s="111"/>
    </row>
    <row r="54" spans="1:5" ht="7.5" customHeight="1">
      <c r="A54" s="111"/>
      <c r="B54" s="270"/>
      <c r="C54" s="270"/>
      <c r="D54" s="270"/>
      <c r="E54" s="111"/>
    </row>
    <row r="55" spans="1:5" ht="13.5" customHeight="1">
      <c r="A55" s="108" t="s">
        <v>93</v>
      </c>
      <c r="B55" s="387">
        <f>$B53*$D51</f>
        <v>88240.86331989944</v>
      </c>
      <c r="C55" s="387">
        <f>C53*D51</f>
        <v>94074.9699856779</v>
      </c>
      <c r="D55" s="387">
        <f>SUM(B55:C55)</f>
        <v>182315.83330557734</v>
      </c>
      <c r="E55" s="111"/>
    </row>
    <row r="56" spans="1:5" ht="7.5" customHeight="1">
      <c r="A56" s="111"/>
      <c r="B56" s="271"/>
      <c r="C56" s="271"/>
      <c r="D56" s="271"/>
      <c r="E56" s="111"/>
    </row>
    <row r="57" spans="1:5" ht="13.5" customHeight="1">
      <c r="A57" s="108" t="s">
        <v>87</v>
      </c>
      <c r="B57" s="278">
        <f>$C29</f>
        <v>84316556.54206003</v>
      </c>
      <c r="C57" s="277"/>
      <c r="D57" s="277"/>
      <c r="E57" s="111"/>
    </row>
    <row r="58" spans="1:5" ht="7.5" customHeight="1">
      <c r="A58" s="111"/>
      <c r="B58" s="272"/>
      <c r="C58" s="271"/>
      <c r="D58" s="271"/>
      <c r="E58" s="111"/>
    </row>
    <row r="59" spans="1:5" ht="13.5" customHeight="1">
      <c r="A59" s="108" t="s">
        <v>88</v>
      </c>
      <c r="B59" s="277"/>
      <c r="C59" s="278">
        <f>$D29</f>
        <v>11499</v>
      </c>
      <c r="D59" s="277"/>
      <c r="E59" s="111"/>
    </row>
    <row r="60" spans="1:5" ht="7.5" customHeight="1">
      <c r="A60" s="111"/>
      <c r="B60" s="271"/>
      <c r="C60" s="272"/>
      <c r="D60" s="271"/>
      <c r="E60" s="111"/>
    </row>
    <row r="61" spans="1:5" ht="13.5" customHeight="1">
      <c r="A61" s="108" t="s">
        <v>153</v>
      </c>
      <c r="B61" s="388">
        <f>IF(ISERROR($B55/$B57),0,$B55/$B57)</f>
        <v>0.0010465425408577001</v>
      </c>
      <c r="C61" s="388"/>
      <c r="D61" s="279"/>
      <c r="E61" s="111"/>
    </row>
    <row r="62" spans="1:5" ht="7.5" customHeight="1">
      <c r="A62" s="111"/>
      <c r="B62" s="389"/>
      <c r="C62" s="389"/>
      <c r="D62" s="274"/>
      <c r="E62" s="111"/>
    </row>
    <row r="63" spans="1:5" ht="12.75">
      <c r="A63" s="108" t="s">
        <v>154</v>
      </c>
      <c r="B63" s="390"/>
      <c r="C63" s="391">
        <f>IF(ISERROR($C55/$C59/12),0,$C55/$C59/12)</f>
        <v>0.6817619647047417</v>
      </c>
      <c r="D63" s="280"/>
      <c r="E63" s="111"/>
    </row>
    <row r="64" spans="1:4" ht="15">
      <c r="A64" s="130"/>
      <c r="B64" s="55"/>
      <c r="C64" s="55"/>
      <c r="D64" s="55"/>
    </row>
    <row r="65" spans="2:4" ht="12.75">
      <c r="B65" s="55"/>
      <c r="C65" s="55"/>
      <c r="D65" s="55"/>
    </row>
    <row r="66" ht="15">
      <c r="A66" s="53" t="s">
        <v>209</v>
      </c>
    </row>
    <row r="67" ht="10.5" customHeight="1">
      <c r="A67" s="129"/>
    </row>
    <row r="68" ht="9" customHeight="1">
      <c r="A68" s="130"/>
    </row>
    <row r="69" spans="1:7" ht="39.75" thickBot="1">
      <c r="A69" s="130"/>
      <c r="B69" s="267" t="s">
        <v>91</v>
      </c>
      <c r="C69" s="267" t="s">
        <v>185</v>
      </c>
      <c r="D69" s="267" t="s">
        <v>90</v>
      </c>
      <c r="E69" s="265"/>
      <c r="F69" s="265"/>
      <c r="G69" s="265"/>
    </row>
    <row r="70" spans="1:3" ht="15">
      <c r="A70" s="130"/>
      <c r="B70" s="29"/>
      <c r="C70" s="29"/>
    </row>
    <row r="71" spans="1:5" ht="12.75">
      <c r="A71" s="108" t="s">
        <v>86</v>
      </c>
      <c r="B71" s="275"/>
      <c r="C71" s="275"/>
      <c r="D71" s="392">
        <f>$G30</f>
        <v>54048.431513984</v>
      </c>
      <c r="E71" s="111"/>
    </row>
    <row r="72" spans="1:5" ht="7.5" customHeight="1">
      <c r="A72" s="111"/>
      <c r="B72" s="268"/>
      <c r="C72" s="268"/>
      <c r="D72" s="269"/>
      <c r="E72" s="111"/>
    </row>
    <row r="73" spans="1:5" ht="12.75">
      <c r="A73" s="108" t="s">
        <v>89</v>
      </c>
      <c r="B73" s="470">
        <v>0.67</v>
      </c>
      <c r="C73" s="470">
        <v>0.33</v>
      </c>
      <c r="D73" s="276">
        <f>B73+C73</f>
        <v>1</v>
      </c>
      <c r="E73" s="111"/>
    </row>
    <row r="74" spans="1:5" ht="7.5" customHeight="1">
      <c r="A74" s="111"/>
      <c r="B74" s="270"/>
      <c r="C74" s="270"/>
      <c r="D74" s="270"/>
      <c r="E74" s="111"/>
    </row>
    <row r="75" spans="1:5" ht="13.5" customHeight="1">
      <c r="A75" s="108" t="s">
        <v>93</v>
      </c>
      <c r="B75" s="387">
        <f>$B73*$D71</f>
        <v>36212.44911436928</v>
      </c>
      <c r="C75" s="387">
        <f>C73*D71</f>
        <v>17835.98239961472</v>
      </c>
      <c r="D75" s="387">
        <f>SUM(B75:C75)</f>
        <v>54048.431513984004</v>
      </c>
      <c r="E75" s="111"/>
    </row>
    <row r="76" spans="1:5" ht="7.5" customHeight="1">
      <c r="A76" s="111"/>
      <c r="B76" s="271"/>
      <c r="C76" s="271"/>
      <c r="D76" s="271"/>
      <c r="E76" s="111"/>
    </row>
    <row r="77" spans="1:5" ht="13.5" customHeight="1">
      <c r="A77" s="108" t="s">
        <v>87</v>
      </c>
      <c r="B77" s="278">
        <f>$C30</f>
        <v>38348955.50661983</v>
      </c>
      <c r="C77" s="277"/>
      <c r="D77" s="277"/>
      <c r="E77" s="111"/>
    </row>
    <row r="78" spans="1:5" ht="7.5" customHeight="1">
      <c r="A78" s="111"/>
      <c r="B78" s="272"/>
      <c r="C78" s="271"/>
      <c r="D78" s="271"/>
      <c r="E78" s="111"/>
    </row>
    <row r="79" spans="1:5" ht="13.5" customHeight="1">
      <c r="A79" s="108" t="s">
        <v>88</v>
      </c>
      <c r="B79" s="277"/>
      <c r="C79" s="278">
        <f>$D30</f>
        <v>1611</v>
      </c>
      <c r="D79" s="277"/>
      <c r="E79" s="111"/>
    </row>
    <row r="80" spans="1:5" ht="7.5" customHeight="1">
      <c r="A80" s="111"/>
      <c r="B80" s="271"/>
      <c r="C80" s="272"/>
      <c r="D80" s="271"/>
      <c r="E80" s="111"/>
    </row>
    <row r="81" spans="1:5" ht="13.5" customHeight="1">
      <c r="A81" s="108" t="s">
        <v>153</v>
      </c>
      <c r="B81" s="388">
        <f>IF(ISERROR($B75/$B77),0,$B75/$B77)</f>
        <v>0.0009442877553240858</v>
      </c>
      <c r="C81" s="388"/>
      <c r="D81" s="279"/>
      <c r="E81" s="111"/>
    </row>
    <row r="82" spans="1:5" ht="7.5" customHeight="1">
      <c r="A82" s="111"/>
      <c r="B82" s="389"/>
      <c r="C82" s="389"/>
      <c r="D82" s="274"/>
      <c r="E82" s="111"/>
    </row>
    <row r="83" spans="1:5" ht="12.75">
      <c r="A83" s="108" t="s">
        <v>154</v>
      </c>
      <c r="B83" s="390"/>
      <c r="C83" s="391">
        <f>IF(ISERROR($C75/$C79/12),0,$C75/$C79/12)</f>
        <v>0.9226144423554067</v>
      </c>
      <c r="D83" s="280"/>
      <c r="E83" s="111"/>
    </row>
    <row r="84" spans="1:5" ht="12.75">
      <c r="A84" s="281"/>
      <c r="B84" s="282"/>
      <c r="C84" s="283"/>
      <c r="D84" s="282"/>
      <c r="E84" s="111"/>
    </row>
    <row r="85" spans="1:5" ht="12.75">
      <c r="A85" s="281"/>
      <c r="B85" s="282"/>
      <c r="C85" s="283"/>
      <c r="D85" s="282"/>
      <c r="E85" s="111"/>
    </row>
    <row r="86" ht="15">
      <c r="A86" s="53" t="s">
        <v>210</v>
      </c>
    </row>
    <row r="87" ht="9" customHeight="1">
      <c r="A87" s="53"/>
    </row>
    <row r="88" ht="15">
      <c r="A88" s="130"/>
    </row>
    <row r="89" spans="1:7" ht="39.75" thickBot="1">
      <c r="A89" s="130"/>
      <c r="B89" s="267" t="s">
        <v>91</v>
      </c>
      <c r="C89" s="267" t="s">
        <v>185</v>
      </c>
      <c r="D89" s="267" t="s">
        <v>90</v>
      </c>
      <c r="E89" s="265"/>
      <c r="F89" s="265"/>
      <c r="G89" s="265"/>
    </row>
    <row r="90" spans="1:3" ht="15">
      <c r="A90" s="130"/>
      <c r="B90" s="29"/>
      <c r="C90" s="29"/>
    </row>
    <row r="91" spans="1:5" ht="12.75">
      <c r="A91" s="108" t="s">
        <v>86</v>
      </c>
      <c r="B91" s="275"/>
      <c r="C91" s="275"/>
      <c r="D91" s="392">
        <f>$G31</f>
        <v>34097.4002812251</v>
      </c>
      <c r="E91" s="111"/>
    </row>
    <row r="92" spans="1:5" ht="7.5" customHeight="1">
      <c r="A92" s="111"/>
      <c r="B92" s="268"/>
      <c r="C92" s="268"/>
      <c r="D92" s="269"/>
      <c r="E92" s="111"/>
    </row>
    <row r="93" spans="1:5" ht="12.75">
      <c r="A93" s="108" t="s">
        <v>89</v>
      </c>
      <c r="B93" s="470">
        <v>0.933</v>
      </c>
      <c r="C93" s="470">
        <v>0.06699999999999995</v>
      </c>
      <c r="D93" s="276">
        <f>B93+C93</f>
        <v>1</v>
      </c>
      <c r="E93" s="111"/>
    </row>
    <row r="94" spans="1:5" ht="7.5" customHeight="1">
      <c r="A94" s="111"/>
      <c r="B94" s="270"/>
      <c r="C94" s="270"/>
      <c r="D94" s="270"/>
      <c r="E94" s="111"/>
    </row>
    <row r="95" spans="1:5" ht="13.5" customHeight="1">
      <c r="A95" s="108" t="s">
        <v>93</v>
      </c>
      <c r="B95" s="387">
        <f>$B93*$D91</f>
        <v>31812.874462383017</v>
      </c>
      <c r="C95" s="387">
        <f>C93*D91</f>
        <v>2284.52581884208</v>
      </c>
      <c r="D95" s="387">
        <f>SUM(B95:C95)</f>
        <v>34097.4002812251</v>
      </c>
      <c r="E95" s="111"/>
    </row>
    <row r="96" spans="1:5" ht="7.5" customHeight="1">
      <c r="A96" s="111"/>
      <c r="B96" s="271"/>
      <c r="C96" s="271"/>
      <c r="D96" s="271"/>
      <c r="E96" s="111"/>
    </row>
    <row r="97" spans="1:5" ht="13.5" customHeight="1">
      <c r="A97" s="479" t="s">
        <v>145</v>
      </c>
      <c r="B97" s="473">
        <f>$B31</f>
        <v>110793</v>
      </c>
      <c r="C97" s="277"/>
      <c r="D97" s="277"/>
      <c r="E97" s="111"/>
    </row>
    <row r="98" spans="1:5" ht="7.5" customHeight="1">
      <c r="A98" s="111"/>
      <c r="B98" s="272"/>
      <c r="C98" s="271"/>
      <c r="D98" s="271"/>
      <c r="E98" s="111"/>
    </row>
    <row r="99" spans="1:5" ht="13.5" customHeight="1">
      <c r="A99" s="108" t="s">
        <v>88</v>
      </c>
      <c r="B99" s="277"/>
      <c r="C99" s="278">
        <f>$D31</f>
        <v>108</v>
      </c>
      <c r="D99" s="277"/>
      <c r="E99" s="111"/>
    </row>
    <row r="100" spans="1:5" ht="7.5" customHeight="1">
      <c r="A100" s="111"/>
      <c r="B100" s="271"/>
      <c r="C100" s="272"/>
      <c r="D100" s="271"/>
      <c r="E100" s="111"/>
    </row>
    <row r="101" spans="1:6" ht="13.5" customHeight="1">
      <c r="A101" s="108" t="s">
        <v>153</v>
      </c>
      <c r="B101" s="388">
        <f>IF(ISERROR($B95/$B97),0,$B95/$B97)</f>
        <v>0.2871379461011347</v>
      </c>
      <c r="C101" s="388"/>
      <c r="D101" s="279"/>
      <c r="E101" s="111"/>
      <c r="F101" s="365"/>
    </row>
    <row r="102" spans="1:5" ht="7.5" customHeight="1">
      <c r="A102" s="111"/>
      <c r="B102" s="389"/>
      <c r="C102" s="389"/>
      <c r="D102" s="274"/>
      <c r="E102" s="111"/>
    </row>
    <row r="103" spans="1:5" ht="12.75">
      <c r="A103" s="108" t="s">
        <v>154</v>
      </c>
      <c r="B103" s="390"/>
      <c r="C103" s="391">
        <f>IF(ISERROR($C95/$C99/12),0,$C95/$C99/12)</f>
        <v>1.762751403427531</v>
      </c>
      <c r="D103" s="280"/>
      <c r="E103" s="111"/>
    </row>
    <row r="104" spans="1:5" ht="12.75">
      <c r="A104" s="281"/>
      <c r="B104" s="282"/>
      <c r="C104" s="283"/>
      <c r="D104" s="282"/>
      <c r="E104" s="111"/>
    </row>
    <row r="105" spans="1:5" ht="12.75">
      <c r="A105" s="281"/>
      <c r="B105" s="282"/>
      <c r="C105" s="283"/>
      <c r="D105" s="282"/>
      <c r="E105" s="111"/>
    </row>
    <row r="106" ht="15">
      <c r="A106" s="53" t="s">
        <v>186</v>
      </c>
    </row>
    <row r="107" ht="9" customHeight="1">
      <c r="A107" s="53"/>
    </row>
    <row r="108" ht="15">
      <c r="A108" s="130"/>
    </row>
    <row r="109" spans="1:7" ht="39.75" thickBot="1">
      <c r="A109" s="130"/>
      <c r="B109" s="267" t="s">
        <v>91</v>
      </c>
      <c r="C109" s="267" t="s">
        <v>185</v>
      </c>
      <c r="D109" s="267" t="s">
        <v>90</v>
      </c>
      <c r="E109" s="265"/>
      <c r="F109" s="265"/>
      <c r="G109" s="265"/>
    </row>
    <row r="110" spans="1:3" ht="15">
      <c r="A110" s="130"/>
      <c r="B110" s="29"/>
      <c r="C110" s="29"/>
    </row>
    <row r="111" spans="1:5" ht="12.75">
      <c r="A111" s="108" t="s">
        <v>86</v>
      </c>
      <c r="B111" s="275"/>
      <c r="C111" s="275"/>
      <c r="D111" s="392">
        <f>$G32</f>
        <v>1394.1494679383193</v>
      </c>
      <c r="E111" s="111"/>
    </row>
    <row r="112" spans="1:5" ht="7.5" customHeight="1">
      <c r="A112" s="111"/>
      <c r="B112" s="268"/>
      <c r="C112" s="268"/>
      <c r="D112" s="269"/>
      <c r="E112" s="111"/>
    </row>
    <row r="113" spans="1:5" ht="12.75">
      <c r="A113" s="108" t="s">
        <v>89</v>
      </c>
      <c r="B113" s="470">
        <v>0.978</v>
      </c>
      <c r="C113" s="470">
        <v>0.02200000000000002</v>
      </c>
      <c r="D113" s="276">
        <f>B113+C113</f>
        <v>1</v>
      </c>
      <c r="E113" s="111"/>
    </row>
    <row r="114" spans="1:5" ht="7.5" customHeight="1">
      <c r="A114" s="111"/>
      <c r="B114" s="270"/>
      <c r="C114" s="270"/>
      <c r="D114" s="270"/>
      <c r="E114" s="111"/>
    </row>
    <row r="115" spans="1:5" ht="13.5" customHeight="1">
      <c r="A115" s="108" t="s">
        <v>93</v>
      </c>
      <c r="B115" s="387">
        <f>$B113*$D111</f>
        <v>1363.4781796436762</v>
      </c>
      <c r="C115" s="387">
        <f>C113*D111</f>
        <v>30.671288294643052</v>
      </c>
      <c r="D115" s="387">
        <f>SUM(B115:C115)</f>
        <v>1394.1494679383193</v>
      </c>
      <c r="E115" s="111"/>
    </row>
    <row r="116" spans="1:5" ht="7.5" customHeight="1">
      <c r="A116" s="111"/>
      <c r="B116" s="271"/>
      <c r="C116" s="271"/>
      <c r="D116" s="271"/>
      <c r="E116" s="111"/>
    </row>
    <row r="117" spans="1:5" ht="13.5" customHeight="1">
      <c r="A117" s="108" t="s">
        <v>145</v>
      </c>
      <c r="B117" s="278">
        <f>$B32</f>
        <v>28601</v>
      </c>
      <c r="C117" s="277"/>
      <c r="D117" s="277"/>
      <c r="E117" s="111"/>
    </row>
    <row r="118" spans="1:5" ht="7.5" customHeight="1">
      <c r="A118" s="111"/>
      <c r="B118" s="272"/>
      <c r="C118" s="271"/>
      <c r="D118" s="271"/>
      <c r="E118" s="111"/>
    </row>
    <row r="119" spans="1:5" ht="13.5" customHeight="1">
      <c r="A119" s="108" t="s">
        <v>88</v>
      </c>
      <c r="B119" s="277"/>
      <c r="C119" s="278">
        <f>$D32</f>
        <v>4</v>
      </c>
      <c r="D119" s="277"/>
      <c r="E119" s="111"/>
    </row>
    <row r="120" spans="1:5" ht="7.5" customHeight="1">
      <c r="A120" s="111"/>
      <c r="B120" s="271"/>
      <c r="C120" s="272"/>
      <c r="D120" s="271"/>
      <c r="E120" s="111"/>
    </row>
    <row r="121" spans="1:5" ht="13.5" customHeight="1">
      <c r="A121" s="108" t="s">
        <v>155</v>
      </c>
      <c r="B121" s="388">
        <f>IF(ISERROR($B115/$B117),0,$B115/$B117)</f>
        <v>0.04767239535833279</v>
      </c>
      <c r="C121" s="388"/>
      <c r="D121" s="279"/>
      <c r="E121" s="111"/>
    </row>
    <row r="122" spans="1:5" ht="7.5" customHeight="1">
      <c r="A122" s="111"/>
      <c r="B122" s="389"/>
      <c r="C122" s="389"/>
      <c r="D122" s="274"/>
      <c r="E122" s="111"/>
    </row>
    <row r="123" spans="1:5" ht="12.75">
      <c r="A123" s="108" t="s">
        <v>154</v>
      </c>
      <c r="B123" s="390"/>
      <c r="C123" s="391">
        <f>IF(ISERROR($C115/$C119/12),0,$C115/$C119/12)</f>
        <v>0.6389851728050636</v>
      </c>
      <c r="D123" s="280"/>
      <c r="E123" s="111"/>
    </row>
    <row r="124" spans="1:5" ht="12.75">
      <c r="A124" s="281"/>
      <c r="B124" s="282"/>
      <c r="C124" s="283"/>
      <c r="D124" s="282"/>
      <c r="E124" s="111"/>
    </row>
    <row r="125" spans="1:5" ht="12.75">
      <c r="A125" s="281"/>
      <c r="B125" s="282"/>
      <c r="C125" s="283"/>
      <c r="D125" s="282"/>
      <c r="E125" s="111"/>
    </row>
    <row r="126" ht="15">
      <c r="A126" s="53" t="s">
        <v>9</v>
      </c>
    </row>
    <row r="127" ht="6.75" customHeight="1">
      <c r="A127" s="53"/>
    </row>
    <row r="128" ht="15">
      <c r="A128" s="130"/>
    </row>
    <row r="129" spans="1:7" ht="39.75" thickBot="1">
      <c r="A129" s="130"/>
      <c r="B129" s="267" t="s">
        <v>91</v>
      </c>
      <c r="C129" s="267" t="s">
        <v>185</v>
      </c>
      <c r="D129" s="267" t="s">
        <v>90</v>
      </c>
      <c r="E129" s="265"/>
      <c r="F129" s="265"/>
      <c r="G129" s="265"/>
    </row>
    <row r="130" spans="1:3" ht="15">
      <c r="A130" s="130"/>
      <c r="B130" s="29"/>
      <c r="C130" s="29"/>
    </row>
    <row r="131" spans="1:5" ht="12.75">
      <c r="A131" s="108" t="s">
        <v>86</v>
      </c>
      <c r="B131" s="275"/>
      <c r="C131" s="275"/>
      <c r="D131" s="392">
        <f>$G35</f>
        <v>1089.0365311115033</v>
      </c>
      <c r="E131" s="111"/>
    </row>
    <row r="132" spans="1:5" ht="7.5" customHeight="1">
      <c r="A132" s="111"/>
      <c r="B132" s="268"/>
      <c r="C132" s="268"/>
      <c r="D132" s="269"/>
      <c r="E132" s="111"/>
    </row>
    <row r="133" spans="1:5" ht="12.75">
      <c r="A133" s="108" t="s">
        <v>89</v>
      </c>
      <c r="B133" s="470">
        <v>0.19</v>
      </c>
      <c r="C133" s="470">
        <v>0.81</v>
      </c>
      <c r="D133" s="276">
        <f>B133+C133</f>
        <v>1</v>
      </c>
      <c r="E133" s="111"/>
    </row>
    <row r="134" spans="1:5" ht="7.5" customHeight="1">
      <c r="A134" s="111"/>
      <c r="B134" s="270"/>
      <c r="C134" s="270"/>
      <c r="D134" s="270"/>
      <c r="E134" s="111"/>
    </row>
    <row r="135" spans="1:5" ht="13.5" customHeight="1">
      <c r="A135" s="108" t="s">
        <v>93</v>
      </c>
      <c r="B135" s="387">
        <f>$B133*$D131</f>
        <v>206.91694091118563</v>
      </c>
      <c r="C135" s="387">
        <f>C133*D131</f>
        <v>882.1195902003178</v>
      </c>
      <c r="D135" s="387">
        <f>SUM(B135:C135)</f>
        <v>1089.0365311115033</v>
      </c>
      <c r="E135" s="111"/>
    </row>
    <row r="136" spans="1:5" ht="7.5" customHeight="1">
      <c r="A136" s="111"/>
      <c r="B136" s="271"/>
      <c r="C136" s="271"/>
      <c r="D136" s="271"/>
      <c r="E136" s="111"/>
    </row>
    <row r="137" spans="1:5" ht="13.5" customHeight="1">
      <c r="A137" s="108" t="s">
        <v>145</v>
      </c>
      <c r="B137" s="278">
        <f>$B35</f>
        <v>1758</v>
      </c>
      <c r="C137" s="277"/>
      <c r="D137" s="277"/>
      <c r="E137" s="111"/>
    </row>
    <row r="138" spans="1:5" ht="7.5" customHeight="1">
      <c r="A138" s="111"/>
      <c r="B138" s="272"/>
      <c r="C138" s="271"/>
      <c r="D138" s="271"/>
      <c r="E138" s="111"/>
    </row>
    <row r="139" spans="1:5" ht="13.5" customHeight="1">
      <c r="A139" s="108" t="s">
        <v>88</v>
      </c>
      <c r="B139" s="277"/>
      <c r="C139" s="278">
        <f>$D35</f>
        <v>834</v>
      </c>
      <c r="D139" s="277"/>
      <c r="E139" s="111"/>
    </row>
    <row r="140" spans="1:5" ht="7.5" customHeight="1">
      <c r="A140" s="111"/>
      <c r="B140" s="271"/>
      <c r="C140" s="272"/>
      <c r="D140" s="271"/>
      <c r="E140" s="111"/>
    </row>
    <row r="141" spans="1:5" ht="13.5" customHeight="1">
      <c r="A141" s="108" t="s">
        <v>155</v>
      </c>
      <c r="B141" s="388">
        <f>IF(ISERROR($B135/$B137),0,$B135/$B137)</f>
        <v>0.11770019391990082</v>
      </c>
      <c r="C141" s="388"/>
      <c r="D141" s="279"/>
      <c r="E141" s="111"/>
    </row>
    <row r="142" spans="1:5" ht="7.5" customHeight="1">
      <c r="A142" s="111"/>
      <c r="B142" s="389"/>
      <c r="C142" s="389"/>
      <c r="D142" s="274"/>
      <c r="E142" s="111"/>
    </row>
    <row r="143" spans="1:5" ht="12.75">
      <c r="A143" s="108" t="s">
        <v>154</v>
      </c>
      <c r="B143" s="390"/>
      <c r="C143" s="391">
        <f>IF(ISERROR($C135/$C139/12),0,$C135/$C139/12)</f>
        <v>0.0881414458633411</v>
      </c>
      <c r="D143" s="280"/>
      <c r="E143" s="111"/>
    </row>
    <row r="144" spans="1:5" ht="12.75">
      <c r="A144" s="281"/>
      <c r="B144" s="282"/>
      <c r="C144" s="283"/>
      <c r="D144" s="282"/>
      <c r="E144" s="111"/>
    </row>
    <row r="145" spans="1:5" ht="12.75">
      <c r="A145" s="281"/>
      <c r="B145" s="282"/>
      <c r="C145" s="283"/>
      <c r="D145" s="282"/>
      <c r="E145" s="111"/>
    </row>
    <row r="146" ht="15">
      <c r="A146" s="53" t="s">
        <v>94</v>
      </c>
    </row>
    <row r="147" ht="9.75" customHeight="1">
      <c r="A147" s="53"/>
    </row>
    <row r="148" ht="15">
      <c r="A148" s="130"/>
    </row>
    <row r="149" spans="1:7" ht="39.75" thickBot="1">
      <c r="A149" s="130"/>
      <c r="B149" s="267" t="s">
        <v>91</v>
      </c>
      <c r="C149" s="267" t="s">
        <v>185</v>
      </c>
      <c r="D149" s="267" t="s">
        <v>90</v>
      </c>
      <c r="E149" s="265"/>
      <c r="F149" s="265"/>
      <c r="G149" s="265"/>
    </row>
    <row r="150" spans="1:3" ht="15">
      <c r="A150" s="130"/>
      <c r="B150" s="29"/>
      <c r="C150" s="29"/>
    </row>
    <row r="151" spans="1:5" ht="12.75">
      <c r="A151" s="108" t="s">
        <v>86</v>
      </c>
      <c r="B151" s="275"/>
      <c r="C151" s="275"/>
      <c r="D151" s="392">
        <f>$G36</f>
        <v>1851.7275191207457</v>
      </c>
      <c r="E151" s="111"/>
    </row>
    <row r="152" spans="1:5" ht="7.5" customHeight="1">
      <c r="A152" s="111"/>
      <c r="B152" s="268"/>
      <c r="C152" s="268"/>
      <c r="D152" s="269"/>
      <c r="E152" s="111"/>
    </row>
    <row r="153" spans="1:5" ht="12.75">
      <c r="A153" s="108" t="s">
        <v>89</v>
      </c>
      <c r="B153" s="470">
        <v>0.364</v>
      </c>
      <c r="C153" s="470">
        <v>0.636</v>
      </c>
      <c r="D153" s="276">
        <f>B153+C153</f>
        <v>1</v>
      </c>
      <c r="E153" s="111"/>
    </row>
    <row r="154" spans="1:5" ht="7.5" customHeight="1">
      <c r="A154" s="111"/>
      <c r="B154" s="270"/>
      <c r="C154" s="270"/>
      <c r="D154" s="270"/>
      <c r="E154" s="111"/>
    </row>
    <row r="155" spans="1:5" ht="13.5" customHeight="1">
      <c r="A155" s="108" t="s">
        <v>93</v>
      </c>
      <c r="B155" s="387">
        <f>$B153*$D151</f>
        <v>674.0288169599514</v>
      </c>
      <c r="C155" s="387">
        <f>C153*D151</f>
        <v>1177.6987021607943</v>
      </c>
      <c r="D155" s="387">
        <f>SUM(B155:C155)</f>
        <v>1851.7275191207457</v>
      </c>
      <c r="E155" s="111"/>
    </row>
    <row r="156" spans="1:5" ht="7.5" customHeight="1">
      <c r="A156" s="111"/>
      <c r="B156" s="271"/>
      <c r="C156" s="271"/>
      <c r="D156" s="271"/>
      <c r="E156" s="111"/>
    </row>
    <row r="157" spans="1:5" ht="13.5" customHeight="1">
      <c r="A157" s="108" t="s">
        <v>145</v>
      </c>
      <c r="B157" s="278">
        <f>$B36</f>
        <v>5721</v>
      </c>
      <c r="C157" s="277"/>
      <c r="D157" s="277"/>
      <c r="E157" s="111"/>
    </row>
    <row r="158" spans="1:5" ht="7.5" customHeight="1">
      <c r="A158" s="111"/>
      <c r="B158" s="272"/>
      <c r="C158" s="271"/>
      <c r="D158" s="271"/>
      <c r="E158" s="111"/>
    </row>
    <row r="159" spans="1:5" ht="13.5" customHeight="1">
      <c r="A159" s="108" t="s">
        <v>88</v>
      </c>
      <c r="B159" s="277"/>
      <c r="C159" s="278">
        <f>$D36</f>
        <v>1276</v>
      </c>
      <c r="D159" s="277"/>
      <c r="E159" s="111"/>
    </row>
    <row r="160" spans="1:5" ht="7.5" customHeight="1">
      <c r="A160" s="111"/>
      <c r="B160" s="271"/>
      <c r="C160" s="272"/>
      <c r="D160" s="271"/>
      <c r="E160" s="111"/>
    </row>
    <row r="161" spans="1:5" ht="13.5" customHeight="1">
      <c r="A161" s="108" t="s">
        <v>155</v>
      </c>
      <c r="B161" s="388">
        <f>IF(ISERROR($B155/$B157),0,$B155/$B157)</f>
        <v>0.11781660845305915</v>
      </c>
      <c r="C161" s="388"/>
      <c r="D161" s="279"/>
      <c r="E161" s="111"/>
    </row>
    <row r="162" spans="1:5" ht="7.5" customHeight="1">
      <c r="A162" s="111"/>
      <c r="B162" s="389"/>
      <c r="C162" s="389"/>
      <c r="D162" s="274"/>
      <c r="E162" s="111"/>
    </row>
    <row r="163" spans="1:5" ht="12.75">
      <c r="A163" s="108" t="s">
        <v>154</v>
      </c>
      <c r="B163" s="390"/>
      <c r="C163" s="391">
        <f>IF(ISERROR($C155/$C159/12),0,$C155/$C159/12)</f>
        <v>0.07691344711081467</v>
      </c>
      <c r="D163" s="280"/>
      <c r="E163" s="111"/>
    </row>
    <row r="166" ht="15">
      <c r="A166" s="53" t="s">
        <v>211</v>
      </c>
    </row>
    <row r="167" ht="15">
      <c r="A167" s="129"/>
    </row>
    <row r="168" ht="15">
      <c r="A168" s="130"/>
    </row>
    <row r="169" spans="1:4" ht="39.75" thickBot="1">
      <c r="A169" s="130"/>
      <c r="B169" s="267" t="s">
        <v>91</v>
      </c>
      <c r="C169" s="267" t="s">
        <v>185</v>
      </c>
      <c r="D169" s="267" t="s">
        <v>90</v>
      </c>
    </row>
    <row r="170" spans="1:3" ht="15">
      <c r="A170" s="130"/>
      <c r="B170" s="29"/>
      <c r="C170" s="29"/>
    </row>
    <row r="171" spans="1:4" ht="12.75">
      <c r="A171" s="108" t="s">
        <v>86</v>
      </c>
      <c r="B171" s="275"/>
      <c r="C171" s="275"/>
      <c r="D171" s="472">
        <f>$G37</f>
        <v>129053.04814012621</v>
      </c>
    </row>
    <row r="172" spans="1:4" ht="12.75">
      <c r="A172" s="111"/>
      <c r="B172" s="268"/>
      <c r="C172" s="268"/>
      <c r="D172" s="269"/>
    </row>
    <row r="173" spans="1:4" ht="12.75">
      <c r="A173" s="108" t="s">
        <v>89</v>
      </c>
      <c r="B173" s="470">
        <v>0.621</v>
      </c>
      <c r="C173" s="470">
        <v>0.379</v>
      </c>
      <c r="D173" s="276">
        <f>B173+C173</f>
        <v>1</v>
      </c>
    </row>
    <row r="174" spans="1:4" ht="12.75">
      <c r="A174" s="111"/>
      <c r="B174" s="270"/>
      <c r="C174" s="270"/>
      <c r="D174" s="270"/>
    </row>
    <row r="175" spans="1:4" ht="12.75">
      <c r="A175" s="108" t="s">
        <v>93</v>
      </c>
      <c r="B175" s="387">
        <f>$B173*$D171</f>
        <v>80141.94289501838</v>
      </c>
      <c r="C175" s="387">
        <f>C173*D171</f>
        <v>48911.105245107836</v>
      </c>
      <c r="D175" s="387">
        <f>SUM(B175:C175)</f>
        <v>129053.04814012622</v>
      </c>
    </row>
    <row r="176" spans="1:4" ht="12.75">
      <c r="A176" s="111"/>
      <c r="B176" s="271"/>
      <c r="C176" s="271"/>
      <c r="D176" s="271"/>
    </row>
    <row r="177" spans="1:4" ht="12.75">
      <c r="A177" s="108" t="s">
        <v>87</v>
      </c>
      <c r="B177" s="473">
        <f>$C37</f>
        <v>71168780.45793995</v>
      </c>
      <c r="C177" s="277"/>
      <c r="D177" s="277"/>
    </row>
    <row r="178" spans="1:4" ht="12.75">
      <c r="A178" s="111"/>
      <c r="B178" s="272"/>
      <c r="C178" s="271"/>
      <c r="D178" s="271"/>
    </row>
    <row r="179" spans="1:4" ht="12.75">
      <c r="A179" s="108" t="s">
        <v>88</v>
      </c>
      <c r="B179" s="277"/>
      <c r="C179" s="473">
        <f>$D37</f>
        <v>5204</v>
      </c>
      <c r="D179" s="277"/>
    </row>
    <row r="180" spans="1:4" ht="12.75">
      <c r="A180" s="111"/>
      <c r="B180" s="271"/>
      <c r="C180" s="272"/>
      <c r="D180" s="271"/>
    </row>
    <row r="181" spans="1:4" ht="12.75">
      <c r="A181" s="108" t="s">
        <v>153</v>
      </c>
      <c r="B181" s="388">
        <f>IF(ISERROR($B175/$B177),0,$B175/$B177)</f>
        <v>0.001126082846710876</v>
      </c>
      <c r="C181" s="388"/>
      <c r="D181" s="279"/>
    </row>
    <row r="182" spans="1:4" ht="12.75">
      <c r="A182" s="111"/>
      <c r="B182" s="389"/>
      <c r="C182" s="389"/>
      <c r="D182" s="274"/>
    </row>
    <row r="183" spans="1:4" ht="12.75">
      <c r="A183" s="108" t="s">
        <v>154</v>
      </c>
      <c r="B183" s="390"/>
      <c r="C183" s="391">
        <f>IF(ISERROR($C175/$C179/12),0,$C175/$C179/12)</f>
        <v>0.7832293307248884</v>
      </c>
      <c r="D183" s="280"/>
    </row>
    <row r="184" spans="1:4" ht="15">
      <c r="A184" s="130"/>
      <c r="B184" s="55"/>
      <c r="C184" s="55"/>
      <c r="D184" s="55"/>
    </row>
    <row r="185" spans="2:4" ht="12.75">
      <c r="B185" s="55"/>
      <c r="C185" s="55"/>
      <c r="D185" s="55"/>
    </row>
    <row r="186" ht="15">
      <c r="A186" s="53" t="s">
        <v>212</v>
      </c>
    </row>
    <row r="187" ht="15">
      <c r="A187" s="129"/>
    </row>
    <row r="188" ht="15">
      <c r="A188" s="130"/>
    </row>
    <row r="189" spans="1:4" ht="39.75" thickBot="1">
      <c r="A189" s="130"/>
      <c r="B189" s="267" t="s">
        <v>91</v>
      </c>
      <c r="C189" s="267" t="s">
        <v>185</v>
      </c>
      <c r="D189" s="267" t="s">
        <v>90</v>
      </c>
    </row>
    <row r="190" spans="1:3" ht="15">
      <c r="A190" s="130"/>
      <c r="B190" s="29"/>
      <c r="C190" s="29"/>
    </row>
    <row r="191" spans="1:4" ht="12.75">
      <c r="A191" s="108" t="s">
        <v>86</v>
      </c>
      <c r="B191" s="275"/>
      <c r="C191" s="275"/>
      <c r="D191" s="472">
        <f>$G38</f>
        <v>34136.764398947824</v>
      </c>
    </row>
    <row r="192" spans="1:4" ht="12.75">
      <c r="A192" s="111"/>
      <c r="B192" s="268"/>
      <c r="C192" s="268"/>
      <c r="D192" s="269"/>
    </row>
    <row r="193" spans="1:4" ht="12.75">
      <c r="A193" s="108" t="s">
        <v>89</v>
      </c>
      <c r="B193" s="470">
        <v>0.702</v>
      </c>
      <c r="C193" s="470">
        <v>0.29800000000000004</v>
      </c>
      <c r="D193" s="276">
        <f>B193+C193</f>
        <v>1</v>
      </c>
    </row>
    <row r="194" spans="1:4" ht="12.75">
      <c r="A194" s="111"/>
      <c r="B194" s="270"/>
      <c r="C194" s="270"/>
      <c r="D194" s="270"/>
    </row>
    <row r="195" spans="1:4" ht="12.75">
      <c r="A195" s="108" t="s">
        <v>93</v>
      </c>
      <c r="B195" s="387">
        <f>$B193*$D191</f>
        <v>23964.00860806137</v>
      </c>
      <c r="C195" s="387">
        <f>C193*D191</f>
        <v>10172.755790886453</v>
      </c>
      <c r="D195" s="387">
        <f>SUM(B195:C195)</f>
        <v>34136.764398947824</v>
      </c>
    </row>
    <row r="196" spans="1:4" ht="12.75">
      <c r="A196" s="111"/>
      <c r="B196" s="271"/>
      <c r="C196" s="271"/>
      <c r="D196" s="271"/>
    </row>
    <row r="197" spans="1:4" ht="12.75">
      <c r="A197" s="502" t="s">
        <v>87</v>
      </c>
      <c r="B197" s="503">
        <f>$C38</f>
        <v>27142799</v>
      </c>
      <c r="C197" s="277"/>
      <c r="D197" s="277"/>
    </row>
    <row r="198" spans="1:4" ht="12.75">
      <c r="A198" s="111"/>
      <c r="B198" s="272"/>
      <c r="C198" s="271"/>
      <c r="D198" s="271"/>
    </row>
    <row r="199" spans="1:4" ht="12.75">
      <c r="A199" s="108" t="s">
        <v>88</v>
      </c>
      <c r="B199" s="277"/>
      <c r="C199" s="473">
        <f>$D38</f>
        <v>895</v>
      </c>
      <c r="D199" s="277"/>
    </row>
    <row r="200" spans="1:4" ht="12.75">
      <c r="A200" s="111"/>
      <c r="B200" s="271"/>
      <c r="C200" s="272"/>
      <c r="D200" s="271"/>
    </row>
    <row r="201" spans="1:4" ht="12.75">
      <c r="A201" s="108" t="s">
        <v>153</v>
      </c>
      <c r="B201" s="388">
        <f>IF(ISERROR($B195/$B197),0,$B195/$B197)</f>
        <v>0.0008828864189010635</v>
      </c>
      <c r="C201" s="388"/>
      <c r="D201" s="279"/>
    </row>
    <row r="202" spans="1:4" ht="12.75">
      <c r="A202" s="111"/>
      <c r="B202" s="389"/>
      <c r="C202" s="389"/>
      <c r="D202" s="274"/>
    </row>
    <row r="203" spans="1:4" ht="12.75">
      <c r="A203" s="108" t="s">
        <v>154</v>
      </c>
      <c r="B203" s="390"/>
      <c r="C203" s="391">
        <f>IF(ISERROR($C195/$C199/12),0,$C195/$C199/12)</f>
        <v>0.9471839656318858</v>
      </c>
      <c r="D203" s="280"/>
    </row>
    <row r="204" spans="1:4" ht="12.75">
      <c r="A204" s="281"/>
      <c r="B204" s="282"/>
      <c r="C204" s="283"/>
      <c r="D204" s="282"/>
    </row>
    <row r="205" spans="1:4" ht="12.75">
      <c r="A205" s="281"/>
      <c r="B205" s="282"/>
      <c r="C205" s="283"/>
      <c r="D205" s="282"/>
    </row>
    <row r="206" ht="15">
      <c r="A206" s="53" t="s">
        <v>213</v>
      </c>
    </row>
    <row r="207" ht="15">
      <c r="A207" s="53"/>
    </row>
    <row r="208" ht="15">
      <c r="A208" s="130"/>
    </row>
    <row r="209" spans="1:4" ht="39.75" thickBot="1">
      <c r="A209" s="130"/>
      <c r="B209" s="267" t="s">
        <v>91</v>
      </c>
      <c r="C209" s="267" t="s">
        <v>185</v>
      </c>
      <c r="D209" s="267" t="s">
        <v>90</v>
      </c>
    </row>
    <row r="210" spans="1:3" ht="15">
      <c r="A210" s="130"/>
      <c r="B210" s="29"/>
      <c r="C210" s="29"/>
    </row>
    <row r="211" spans="1:4" ht="12.75">
      <c r="A211" s="108" t="s">
        <v>86</v>
      </c>
      <c r="B211" s="275"/>
      <c r="C211" s="275"/>
      <c r="D211" s="472">
        <f>$G39</f>
        <v>33143.99961119975</v>
      </c>
    </row>
    <row r="212" spans="1:4" ht="12.75">
      <c r="A212" s="111"/>
      <c r="B212" s="268"/>
      <c r="C212" s="268"/>
      <c r="D212" s="269"/>
    </row>
    <row r="213" spans="1:4" ht="12.75">
      <c r="A213" s="108" t="s">
        <v>89</v>
      </c>
      <c r="B213" s="470">
        <v>0.957</v>
      </c>
      <c r="C213" s="470">
        <v>0.04300000000000004</v>
      </c>
      <c r="D213" s="276">
        <f>B213+C213</f>
        <v>1</v>
      </c>
    </row>
    <row r="214" spans="1:4" ht="12.75">
      <c r="A214" s="111"/>
      <c r="B214" s="270"/>
      <c r="C214" s="270"/>
      <c r="D214" s="270"/>
    </row>
    <row r="215" spans="1:4" ht="12.75">
      <c r="A215" s="108" t="s">
        <v>93</v>
      </c>
      <c r="B215" s="387">
        <f>$B213*$D211</f>
        <v>31718.807627918162</v>
      </c>
      <c r="C215" s="387">
        <f>C213*D211</f>
        <v>1425.1919832815906</v>
      </c>
      <c r="D215" s="387">
        <f>SUM(B215:C215)</f>
        <v>33143.99961119975</v>
      </c>
    </row>
    <row r="216" spans="1:4" ht="12.75">
      <c r="A216" s="111"/>
      <c r="B216" s="271"/>
      <c r="C216" s="271"/>
      <c r="D216" s="271"/>
    </row>
    <row r="217" spans="1:4" ht="12.75">
      <c r="A217" s="504" t="s">
        <v>145</v>
      </c>
      <c r="B217" s="505">
        <f>$B39</f>
        <v>110843</v>
      </c>
      <c r="C217" s="277"/>
      <c r="D217" s="277"/>
    </row>
    <row r="218" spans="1:4" ht="12.75">
      <c r="A218" s="111"/>
      <c r="B218" s="272"/>
      <c r="C218" s="271"/>
      <c r="D218" s="271"/>
    </row>
    <row r="219" spans="1:4" ht="12.75">
      <c r="A219" s="108" t="s">
        <v>88</v>
      </c>
      <c r="B219" s="277"/>
      <c r="C219" s="473">
        <f>$D39</f>
        <v>68</v>
      </c>
      <c r="D219" s="277"/>
    </row>
    <row r="220" spans="1:4" ht="12.75">
      <c r="A220" s="111"/>
      <c r="B220" s="271"/>
      <c r="C220" s="272"/>
      <c r="D220" s="271"/>
    </row>
    <row r="221" spans="1:4" ht="12.75">
      <c r="A221" s="108" t="s">
        <v>153</v>
      </c>
      <c r="B221" s="388">
        <f>IF(ISERROR($B215/$B217),0,$B215/$B217)</f>
        <v>0.2861597721815375</v>
      </c>
      <c r="C221" s="388"/>
      <c r="D221" s="279"/>
    </row>
    <row r="222" spans="1:4" ht="12.75">
      <c r="A222" s="111"/>
      <c r="B222" s="389"/>
      <c r="C222" s="389"/>
      <c r="D222" s="274"/>
    </row>
    <row r="223" spans="1:4" ht="12.75">
      <c r="A223" s="108" t="s">
        <v>154</v>
      </c>
      <c r="B223" s="390"/>
      <c r="C223" s="391">
        <f>IF(ISERROR($C215/$C219/12),0,$C215/$C219/12)</f>
        <v>1.7465588030411652</v>
      </c>
      <c r="D223" s="280"/>
    </row>
  </sheetData>
  <sheetProtection/>
  <mergeCells count="6">
    <mergeCell ref="A45:G45"/>
    <mergeCell ref="B5:C5"/>
    <mergeCell ref="C43:F43"/>
    <mergeCell ref="A10:E10"/>
    <mergeCell ref="A18:E18"/>
    <mergeCell ref="B7:C7"/>
  </mergeCells>
  <dataValidations count="1">
    <dataValidation type="list" allowBlank="1" showInputMessage="1" showErrorMessage="1" sqref="G16 G12:G13">
      <formula1>$J$8:$J$9</formula1>
    </dataValidation>
  </dataValidations>
  <printOptions/>
  <pageMargins left="0.7480314960629921" right="0.7480314960629921" top="0.984251968503937" bottom="0.7874015748031497" header="0.5118110236220472" footer="0.5118110236220472"/>
  <pageSetup fitToHeight="0" horizontalDpi="600" verticalDpi="600" orientation="portrait" scale="63" r:id="rId1"/>
  <headerFooter alignWithMargins="0">
    <oddFooter>&amp;LHaldimand County Hydro Inc.
Page &amp;P of &amp;N&amp;R&amp;"Arial,Bold"&amp;F
&amp;A</oddFooter>
  </headerFooter>
  <rowBreaks count="3" manualBreakCount="3">
    <brk id="65" max="6" man="1"/>
    <brk id="145" max="6" man="1"/>
    <brk id="205" max="6" man="1"/>
  </rowBreaks>
</worksheet>
</file>

<file path=xl/worksheets/sheet4.xml><?xml version="1.0" encoding="utf-8"?>
<worksheet xmlns="http://schemas.openxmlformats.org/spreadsheetml/2006/main" xmlns:r="http://schemas.openxmlformats.org/officeDocument/2006/relationships">
  <dimension ref="A1:H72"/>
  <sheetViews>
    <sheetView view="pageBreakPreview" zoomScale="60" zoomScaleNormal="75" zoomScalePageLayoutView="0" workbookViewId="0" topLeftCell="A1">
      <pane ySplit="1" topLeftCell="A2" activePane="bottomLeft" state="frozen"/>
      <selection pane="topLeft" activeCell="H18" sqref="H18"/>
      <selection pane="bottomLeft" activeCell="D33" sqref="D33"/>
    </sheetView>
  </sheetViews>
  <sheetFormatPr defaultColWidth="9.140625" defaultRowHeight="12.75"/>
  <cols>
    <col min="1" max="1" width="38.8515625" style="8" customWidth="1"/>
    <col min="2" max="3" width="14.28125" style="8" customWidth="1"/>
    <col min="4" max="5" width="19.8515625" style="8" customWidth="1"/>
    <col min="6" max="6" width="14.8515625" style="8" customWidth="1"/>
    <col min="7" max="7" width="13.140625" style="8" customWidth="1"/>
    <col min="8" max="16384" width="9.140625" style="8" customWidth="1"/>
  </cols>
  <sheetData>
    <row r="1" ht="17.25">
      <c r="A1" s="36" t="s">
        <v>156</v>
      </c>
    </row>
    <row r="2" ht="13.5" thickBot="1"/>
    <row r="3" spans="1:7" ht="17.25">
      <c r="A3" s="286" t="str">
        <f>"Name of Utility:      "&amp;'Info Sheet'!B4</f>
        <v>Name of Utility:      Haldimand County Hydro Inc.</v>
      </c>
      <c r="B3" s="287"/>
      <c r="C3" s="375"/>
      <c r="D3" s="441" t="str">
        <f>'Info Sheet'!$B$21</f>
        <v>2005.V1.0</v>
      </c>
      <c r="E3" s="25"/>
      <c r="F3" s="30"/>
      <c r="G3" s="30"/>
    </row>
    <row r="4" spans="1:7" ht="17.25">
      <c r="A4" s="288" t="str">
        <f>"License Number:   "&amp;'Info Sheet'!B6</f>
        <v>License Number:   ED-2002-0539</v>
      </c>
      <c r="B4" s="26"/>
      <c r="C4" s="376"/>
      <c r="D4" s="380" t="str">
        <f>'Info Sheet'!B8</f>
        <v>RP-2005-0013</v>
      </c>
      <c r="E4" s="25"/>
      <c r="F4" s="30"/>
      <c r="G4" s="30"/>
    </row>
    <row r="5" spans="1:7" ht="15">
      <c r="A5" s="288" t="str">
        <f>"Name of Contact:  "&amp;'Info Sheet'!B12</f>
        <v>Name of Contact:  Jacqueline Scott - Finance Manager</v>
      </c>
      <c r="B5" s="542"/>
      <c r="C5" s="542"/>
      <c r="D5" s="380" t="str">
        <f>'Info Sheet'!B10</f>
        <v>EB-2005-0034</v>
      </c>
      <c r="E5" s="30"/>
      <c r="F5" s="30"/>
      <c r="G5" s="30"/>
    </row>
    <row r="6" spans="1:4" ht="17.25">
      <c r="A6" s="289" t="str">
        <f>"E- Mail Address:    "&amp;'Info Sheet'!B14</f>
        <v>E- Mail Address:    jscott@hchydro.ca</v>
      </c>
      <c r="B6" s="26"/>
      <c r="C6" s="377"/>
      <c r="D6" s="99"/>
    </row>
    <row r="7" spans="1:4" ht="15">
      <c r="A7" s="288" t="str">
        <f>"Phone Number:     "&amp;'Info Sheet'!B16</f>
        <v>Phone Number:     905-765-5211</v>
      </c>
      <c r="B7" s="536" t="str">
        <f>'Info Sheet'!$C$16&amp;" "&amp;'Info Sheet'!$D$16</f>
        <v>Extension: 237</v>
      </c>
      <c r="C7" s="536"/>
      <c r="D7" s="99"/>
    </row>
    <row r="8" spans="1:4" ht="15.75" thickBot="1">
      <c r="A8" s="290" t="str">
        <f>"Date:                      "&amp;('Info Sheet'!B18)</f>
        <v>Date:                      January 14, 2005</v>
      </c>
      <c r="B8" s="291"/>
      <c r="C8" s="378"/>
      <c r="D8" s="148"/>
    </row>
    <row r="9" spans="1:3" ht="17.25">
      <c r="A9" s="129"/>
      <c r="C9" s="7"/>
    </row>
    <row r="10" ht="13.5">
      <c r="A10" s="10"/>
    </row>
    <row r="12" spans="1:7" ht="15">
      <c r="A12" s="53" t="s">
        <v>208</v>
      </c>
      <c r="B12" s="51"/>
      <c r="C12" s="52"/>
      <c r="D12" s="9"/>
      <c r="E12" s="14"/>
      <c r="G12" s="14"/>
    </row>
    <row r="13" spans="2:7" ht="12.75">
      <c r="B13" s="14"/>
      <c r="C13" s="14"/>
      <c r="D13" s="24"/>
      <c r="E13" s="14"/>
      <c r="F13" s="14"/>
      <c r="G13" s="14"/>
    </row>
    <row r="14" spans="1:8" ht="12.75">
      <c r="A14" s="33" t="s">
        <v>0</v>
      </c>
      <c r="B14" s="22">
        <f>IF(OR(ISBLANK('1. 2002 Base Rate Schedule'!D19),'1. 2002 Base Rate Schedule'!D19=0),"",'1. 2002 Base Rate Schedule'!D19+'2. Adding Final 3rd MARR'!B61)</f>
        <v>0.015186609836807915</v>
      </c>
      <c r="C14" s="14"/>
      <c r="D14" s="367"/>
      <c r="E14" s="14"/>
      <c r="F14" s="284"/>
      <c r="G14" s="284"/>
      <c r="H14" s="284"/>
    </row>
    <row r="15" spans="2:7" ht="12.75">
      <c r="B15" s="14"/>
      <c r="C15" s="14"/>
      <c r="D15" s="367"/>
      <c r="E15" s="14"/>
      <c r="F15" s="14"/>
      <c r="G15" s="14"/>
    </row>
    <row r="16" spans="1:8" ht="12.75">
      <c r="A16" s="33" t="s">
        <v>11</v>
      </c>
      <c r="B16" s="50">
        <f>IF(OR(ISBLANK('1. 2002 Base Rate Schedule'!D21),'1. 2002 Base Rate Schedule'!D21=0),"",'1. 2002 Base Rate Schedule'!D21+'2. Adding Final 3rd MARR'!C63)</f>
        <v>9.919303766434421</v>
      </c>
      <c r="C16" s="14"/>
      <c r="D16" s="367"/>
      <c r="E16" s="14"/>
      <c r="F16" s="284"/>
      <c r="G16" s="264"/>
      <c r="H16" s="284"/>
    </row>
    <row r="17" spans="2:7" ht="12.75">
      <c r="B17" s="14"/>
      <c r="C17" s="14"/>
      <c r="D17" s="15"/>
      <c r="E17" s="14"/>
      <c r="F17" s="14"/>
      <c r="G17" s="14"/>
    </row>
    <row r="18" spans="2:7" ht="12.75">
      <c r="B18" s="14"/>
      <c r="C18" s="14"/>
      <c r="D18" s="24"/>
      <c r="E18" s="14"/>
      <c r="F18" s="14"/>
      <c r="G18" s="14"/>
    </row>
    <row r="19" spans="1:7" ht="15">
      <c r="A19" s="53" t="s">
        <v>215</v>
      </c>
      <c r="B19" s="51"/>
      <c r="C19" s="52"/>
      <c r="D19" s="24"/>
      <c r="E19" s="14"/>
      <c r="F19" s="14"/>
      <c r="G19" s="14"/>
    </row>
    <row r="20" spans="2:7" ht="12.75">
      <c r="B20" s="14"/>
      <c r="C20" s="14"/>
      <c r="D20" s="24"/>
      <c r="E20" s="14"/>
      <c r="F20" s="14"/>
      <c r="G20" s="14"/>
    </row>
    <row r="21" spans="1:8" ht="12.75">
      <c r="A21" s="33" t="s">
        <v>0</v>
      </c>
      <c r="B21" s="22">
        <f>IF(OR(ISBLANK('1. 2002 Base Rate Schedule'!D26),'1. 2002 Base Rate Schedule'!D26=0),"",'1. 2002 Base Rate Schedule'!D26+'2. Adding Final 3rd MARR'!B81)</f>
        <v>0.013762526837948121</v>
      </c>
      <c r="C21" s="14"/>
      <c r="D21" s="367"/>
      <c r="E21" s="14"/>
      <c r="F21" s="14"/>
      <c r="G21" s="285"/>
      <c r="H21" s="284"/>
    </row>
    <row r="22" spans="2:7" ht="12.75">
      <c r="B22" s="14"/>
      <c r="C22" s="14"/>
      <c r="D22" s="367"/>
      <c r="E22" s="14"/>
      <c r="F22" s="14"/>
      <c r="G22" s="285"/>
    </row>
    <row r="23" spans="1:8" ht="12.75">
      <c r="A23" s="33" t="s">
        <v>11</v>
      </c>
      <c r="B23" s="50">
        <f>IF(OR(ISBLANK('1. 2002 Base Rate Schedule'!D28),'1. 2002 Base Rate Schedule'!D28=0),"",'1. 2002 Base Rate Schedule'!D28+'2. Adding Final 3rd MARR'!C83)</f>
        <v>13.425423752205502</v>
      </c>
      <c r="C23" s="14"/>
      <c r="D23" s="367"/>
      <c r="E23" s="14"/>
      <c r="F23" s="14"/>
      <c r="G23" s="285"/>
      <c r="H23" s="284"/>
    </row>
    <row r="24" spans="2:7" ht="12.75">
      <c r="B24" s="14"/>
      <c r="C24" s="14"/>
      <c r="D24" s="24"/>
      <c r="E24" s="14"/>
      <c r="F24" s="14"/>
      <c r="G24" s="14"/>
    </row>
    <row r="25" spans="2:7" ht="12.75">
      <c r="B25" s="14"/>
      <c r="C25" s="14"/>
      <c r="D25" s="24"/>
      <c r="E25" s="14"/>
      <c r="F25" s="14"/>
      <c r="G25" s="14"/>
    </row>
    <row r="26" spans="1:7" ht="15">
      <c r="A26" s="53" t="s">
        <v>216</v>
      </c>
      <c r="B26" s="51"/>
      <c r="C26" s="52"/>
      <c r="D26" s="24"/>
      <c r="E26" s="14"/>
      <c r="F26" s="14"/>
      <c r="G26" s="14"/>
    </row>
    <row r="27" spans="2:7" ht="12.75">
      <c r="B27" s="14"/>
      <c r="C27" s="14"/>
      <c r="D27" s="24"/>
      <c r="E27" s="14"/>
      <c r="F27" s="14"/>
      <c r="G27" s="14"/>
    </row>
    <row r="28" spans="1:7" ht="12.75">
      <c r="A28" s="33" t="s">
        <v>1</v>
      </c>
      <c r="B28" s="22">
        <f>IF(OR(ISBLANK('1. 2002 Base Rate Schedule'!D33),'1. 2002 Base Rate Schedule'!D33=0),"",'1. 2002 Base Rate Schedule'!D33+'2. Adding Final 3rd MARR'!B101)</f>
        <v>4.177255763410187</v>
      </c>
      <c r="C28" s="14"/>
      <c r="D28" s="367"/>
      <c r="E28" s="14"/>
      <c r="F28" s="14"/>
      <c r="G28" s="14"/>
    </row>
    <row r="29" spans="2:7" ht="12.75">
      <c r="B29" s="14"/>
      <c r="C29" s="14"/>
      <c r="D29" s="367"/>
      <c r="E29" s="14"/>
      <c r="F29" s="14"/>
      <c r="G29" s="14"/>
    </row>
    <row r="30" spans="1:7" ht="12.75">
      <c r="A30" s="33" t="s">
        <v>11</v>
      </c>
      <c r="B30" s="50">
        <f>IF(OR(ISBLANK('1. 2002 Base Rate Schedule'!D35),'1. 2002 Base Rate Schedule'!D35=0),"",'1. 2002 Base Rate Schedule'!D35+'2. Adding Final 3rd MARR'!C103)</f>
        <v>25.52210788880356</v>
      </c>
      <c r="C30" s="14"/>
      <c r="D30" s="367"/>
      <c r="E30" s="14"/>
      <c r="F30" s="14"/>
      <c r="G30" s="14"/>
    </row>
    <row r="31" spans="2:7" ht="12.75">
      <c r="B31" s="14"/>
      <c r="C31" s="14"/>
      <c r="D31" s="24"/>
      <c r="E31" s="14"/>
      <c r="F31" s="14"/>
      <c r="G31" s="14"/>
    </row>
    <row r="32" spans="2:7" ht="12.75">
      <c r="B32" s="14"/>
      <c r="C32" s="14"/>
      <c r="D32" s="24"/>
      <c r="E32" s="14"/>
      <c r="F32" s="14"/>
      <c r="G32" s="14"/>
    </row>
    <row r="33" spans="1:7" ht="15">
      <c r="A33" s="53" t="s">
        <v>95</v>
      </c>
      <c r="B33" s="51"/>
      <c r="C33" s="52"/>
      <c r="D33" s="24"/>
      <c r="E33" s="14"/>
      <c r="F33" s="14"/>
      <c r="G33" s="14"/>
    </row>
    <row r="34" spans="1:7" ht="17.25">
      <c r="A34" s="7"/>
      <c r="B34" s="14"/>
      <c r="C34" s="14"/>
      <c r="D34" s="24"/>
      <c r="E34" s="14"/>
      <c r="F34" s="14"/>
      <c r="G34" s="14"/>
    </row>
    <row r="35" spans="1:7" ht="12.75">
      <c r="A35" s="33" t="s">
        <v>1</v>
      </c>
      <c r="B35" s="22">
        <f>IF(OR(ISBLANK('1. 2002 Base Rate Schedule'!D40),'1. 2002 Base Rate Schedule'!D40=0),"",'1. 2002 Base Rate Schedule'!D40+'2. Adding Final 3rd MARR'!B121)</f>
        <v>0.6941341519594845</v>
      </c>
      <c r="C35" s="14"/>
      <c r="D35" s="367"/>
      <c r="E35" s="14"/>
      <c r="F35" s="14"/>
      <c r="G35" s="14"/>
    </row>
    <row r="36" spans="2:7" ht="12.75">
      <c r="B36" s="14"/>
      <c r="C36" s="14"/>
      <c r="D36" s="367"/>
      <c r="E36" s="14"/>
      <c r="F36" s="14"/>
      <c r="G36" s="14"/>
    </row>
    <row r="37" spans="1:7" ht="12.75">
      <c r="A37" s="33" t="s">
        <v>11</v>
      </c>
      <c r="B37" s="50">
        <f>IF(OR(ISBLANK('1. 2002 Base Rate Schedule'!D42),'1. 2002 Base Rate Schedule'!D42=0),"",'1. 2002 Base Rate Schedule'!D42+'2. Adding Final 3rd MARR'!C123)</f>
        <v>9.365099899119182</v>
      </c>
      <c r="C37" s="14"/>
      <c r="D37" s="367"/>
      <c r="E37" s="14"/>
      <c r="F37" s="14"/>
      <c r="G37" s="14"/>
    </row>
    <row r="38" spans="2:7" ht="12.75">
      <c r="B38" s="14"/>
      <c r="C38" s="14"/>
      <c r="D38" s="24"/>
      <c r="E38" s="14"/>
      <c r="F38" s="14"/>
      <c r="G38" s="14"/>
    </row>
    <row r="39" spans="1:7" ht="12.75" customHeight="1">
      <c r="A39" s="7"/>
      <c r="B39" s="14"/>
      <c r="C39" s="14"/>
      <c r="D39" s="24"/>
      <c r="E39" s="14"/>
      <c r="F39" s="14"/>
      <c r="G39" s="14"/>
    </row>
    <row r="40" spans="1:7" ht="15">
      <c r="A40" s="53" t="s">
        <v>96</v>
      </c>
      <c r="B40" s="14"/>
      <c r="C40" s="14"/>
      <c r="D40" s="24"/>
      <c r="E40" s="14"/>
      <c r="F40" s="14"/>
      <c r="G40" s="14"/>
    </row>
    <row r="41" spans="2:7" ht="12.75">
      <c r="B41" s="14"/>
      <c r="C41" s="14"/>
      <c r="D41" s="24"/>
      <c r="E41" s="14"/>
      <c r="F41" s="14"/>
      <c r="G41" s="14"/>
    </row>
    <row r="42" spans="1:7" ht="12.75">
      <c r="A42" s="33" t="s">
        <v>1</v>
      </c>
      <c r="B42" s="22">
        <f>IF(OR(ISBLANK('1. 2002 Base Rate Schedule'!D47),'1. 2002 Base Rate Schedule'!D47=0),"",'1. 2002 Base Rate Schedule'!D47+'2. Adding Final 3rd MARR'!B141)</f>
        <v>1.7126136851806806</v>
      </c>
      <c r="C42" s="14"/>
      <c r="D42" s="367"/>
      <c r="E42" s="14"/>
      <c r="F42" s="14"/>
      <c r="G42" s="14"/>
    </row>
    <row r="43" spans="2:7" ht="12.75">
      <c r="B43" s="14"/>
      <c r="C43" s="14"/>
      <c r="D43" s="367"/>
      <c r="E43" s="14"/>
      <c r="F43" s="14"/>
      <c r="G43" s="14"/>
    </row>
    <row r="44" spans="1:7" ht="12.75">
      <c r="A44" s="33" t="s">
        <v>12</v>
      </c>
      <c r="B44" s="50">
        <f>IF(OR(ISBLANK('1. 2002 Base Rate Schedule'!D49),'1. 2002 Base Rate Schedule'!D49=0),"",'1. 2002 Base Rate Schedule'!D49+'2. Adding Final 3rd MARR'!C143)</f>
        <v>1.28254288801253</v>
      </c>
      <c r="C44" s="14"/>
      <c r="D44" s="367"/>
      <c r="E44" s="14"/>
      <c r="F44" s="14"/>
      <c r="G44" s="14"/>
    </row>
    <row r="45" spans="2:7" ht="12.75">
      <c r="B45" s="14"/>
      <c r="C45" s="14"/>
      <c r="D45" s="24"/>
      <c r="E45" s="14"/>
      <c r="F45" s="14"/>
      <c r="G45" s="14"/>
    </row>
    <row r="46" spans="2:7" ht="12.75">
      <c r="B46" s="14"/>
      <c r="C46" s="14"/>
      <c r="D46" s="24"/>
      <c r="E46" s="14"/>
      <c r="F46" s="14"/>
      <c r="G46" s="14"/>
    </row>
    <row r="47" spans="1:7" ht="15">
      <c r="A47" s="53" t="s">
        <v>97</v>
      </c>
      <c r="B47" s="14"/>
      <c r="C47" s="14"/>
      <c r="D47" s="24"/>
      <c r="E47" s="14"/>
      <c r="F47" s="14"/>
      <c r="G47" s="14"/>
    </row>
    <row r="48" spans="2:7" ht="12.75">
      <c r="B48" s="14"/>
      <c r="C48" s="14"/>
      <c r="D48" s="24"/>
      <c r="E48" s="14"/>
      <c r="F48" s="14"/>
      <c r="G48" s="14"/>
    </row>
    <row r="49" spans="1:7" ht="12.75">
      <c r="A49" s="33" t="s">
        <v>1</v>
      </c>
      <c r="B49" s="22">
        <f>IF(OR(ISBLANK('1. 2002 Base Rate Schedule'!D54),'1. 2002 Base Rate Schedule'!D54=0),"",'1. 2002 Base Rate Schedule'!D54+'2. Adding Final 3rd MARR'!B161)</f>
        <v>1.714466225980395</v>
      </c>
      <c r="C49" s="14"/>
      <c r="D49" s="367"/>
      <c r="E49" s="14"/>
      <c r="F49" s="14"/>
      <c r="G49" s="14"/>
    </row>
    <row r="50" spans="2:7" ht="12.75">
      <c r="B50" s="14"/>
      <c r="C50" s="14"/>
      <c r="D50" s="367"/>
      <c r="E50" s="14"/>
      <c r="F50" s="14"/>
      <c r="G50" s="14"/>
    </row>
    <row r="51" spans="1:7" ht="12.75">
      <c r="A51" s="33" t="s">
        <v>12</v>
      </c>
      <c r="B51" s="50">
        <f>IF(OR(ISBLANK('1. 2002 Base Rate Schedule'!D56),'1. 2002 Base Rate Schedule'!D56=0),"",'1. 2002 Base Rate Schedule'!D56+'2. Adding Final 3rd MARR'!C163)</f>
        <v>1.1180282324647195</v>
      </c>
      <c r="C51" s="14"/>
      <c r="D51" s="367"/>
      <c r="E51" s="14"/>
      <c r="F51" s="14"/>
      <c r="G51" s="14"/>
    </row>
    <row r="52" spans="2:7" ht="12.75">
      <c r="B52" s="14"/>
      <c r="C52" s="14"/>
      <c r="D52" s="24"/>
      <c r="E52" s="14"/>
      <c r="F52" s="14"/>
      <c r="G52" s="14"/>
    </row>
    <row r="53" spans="2:7" ht="12.75">
      <c r="B53" s="15"/>
      <c r="C53" s="15"/>
      <c r="D53" s="48"/>
      <c r="E53" s="14"/>
      <c r="F53" s="14"/>
      <c r="G53" s="14"/>
    </row>
    <row r="54" spans="1:7" ht="15">
      <c r="A54" s="53" t="s">
        <v>204</v>
      </c>
      <c r="B54" s="51"/>
      <c r="C54" s="15"/>
      <c r="D54" s="48"/>
      <c r="E54" s="14"/>
      <c r="F54" s="14"/>
      <c r="G54" s="14"/>
    </row>
    <row r="55" spans="2:7" ht="12.75">
      <c r="B55" s="14"/>
      <c r="C55" s="15"/>
      <c r="E55" s="14"/>
      <c r="F55" s="14"/>
      <c r="G55" s="14"/>
    </row>
    <row r="56" spans="1:7" ht="12.75">
      <c r="A56" s="33" t="s">
        <v>0</v>
      </c>
      <c r="B56" s="474">
        <f>IF(OR(ISBLANK('1. 2002 Base Rate Schedule'!D61),'1. 2002 Base Rate Schedule'!D61=0),"",'1. 2002 Base Rate Schedule'!D61+'2. Adding Final 3rd MARR'!B181)</f>
        <v>0.01636018371474014</v>
      </c>
      <c r="C56" s="14"/>
      <c r="D56" s="48"/>
      <c r="E56" s="14"/>
      <c r="F56" s="14"/>
      <c r="G56" s="14"/>
    </row>
    <row r="57" ht="12.75">
      <c r="B57" s="14"/>
    </row>
    <row r="58" spans="1:2" ht="12.75">
      <c r="A58" s="33" t="s">
        <v>11</v>
      </c>
      <c r="B58" s="475">
        <f>IF(OR(ISBLANK('1. 2002 Base Rate Schedule'!D63),'1. 2002 Base Rate Schedule'!D63=0),"",'1. 2002 Base Rate Schedule'!D63+'2. Adding Final 3rd MARR'!C183)</f>
        <v>11.391009552391258</v>
      </c>
    </row>
    <row r="59" ht="12.75">
      <c r="B59" s="48"/>
    </row>
    <row r="60" ht="12.75">
      <c r="B60" s="14"/>
    </row>
    <row r="61" spans="1:2" ht="15">
      <c r="A61" s="53" t="s">
        <v>217</v>
      </c>
      <c r="B61" s="51"/>
    </row>
    <row r="62" ht="15" customHeight="1">
      <c r="B62" s="14"/>
    </row>
    <row r="63" spans="1:2" ht="12.75">
      <c r="A63" s="33" t="s">
        <v>0</v>
      </c>
      <c r="B63" s="474">
        <f>IF(OR(ISBLANK('1. 2002 Base Rate Schedule'!D68),'1. 2002 Base Rate Schedule'!D68=0),"",'1. 2002 Base Rate Schedule'!D68+'2. Adding Final 3rd MARR'!B201)</f>
        <v>0.012828844574996577</v>
      </c>
    </row>
    <row r="64" ht="12.75">
      <c r="B64" s="14"/>
    </row>
    <row r="65" spans="1:2" ht="12.75">
      <c r="A65" s="33" t="s">
        <v>11</v>
      </c>
      <c r="B65" s="475">
        <f>IF(OR(ISBLANK('1. 2002 Base Rate Schedule'!D70),'1. 2002 Base Rate Schedule'!D70=0),"",'1. 2002 Base Rate Schedule'!D70+'2. Adding Final 3rd MARR'!C203)</f>
        <v>13.789027515748941</v>
      </c>
    </row>
    <row r="66" ht="12.75">
      <c r="B66" s="14"/>
    </row>
    <row r="67" ht="12.75">
      <c r="B67" s="14"/>
    </row>
    <row r="68" spans="1:2" ht="15">
      <c r="A68" s="53" t="s">
        <v>218</v>
      </c>
      <c r="B68" s="51"/>
    </row>
    <row r="69" ht="12.75">
      <c r="B69" s="14"/>
    </row>
    <row r="70" spans="1:2" ht="12.75">
      <c r="A70" s="33" t="s">
        <v>1</v>
      </c>
      <c r="B70" s="474">
        <f>IF(OR(ISBLANK('1. 2002 Base Rate Schedule'!D75),'1. 2002 Base Rate Schedule'!D75=0),"",'1. 2002 Base Rate Schedule'!D75+'2. Adding Final 3rd MARR'!B221)</f>
        <v>4.165095903473195</v>
      </c>
    </row>
    <row r="71" ht="12.75">
      <c r="B71" s="14"/>
    </row>
    <row r="72" spans="1:2" ht="12.75">
      <c r="A72" s="33" t="s">
        <v>11</v>
      </c>
      <c r="B72" s="475">
        <f>IF(OR(ISBLANK('1. 2002 Base Rate Schedule'!D77),'1. 2002 Base Rate Schedule'!D77=0),"",'1. 2002 Base Rate Schedule'!D77+'2. Adding Final 3rd MARR'!C223)</f>
        <v>25.415302837827074</v>
      </c>
    </row>
  </sheetData>
  <sheetProtection/>
  <mergeCells count="2">
    <mergeCell ref="B5:C5"/>
    <mergeCell ref="B7:C7"/>
  </mergeCells>
  <printOptions/>
  <pageMargins left="0.7480314960629921" right="0.7480314960629921" top="0.984251968503937" bottom="0.7874015748031497" header="0.5118110236220472" footer="0.5118110236220472"/>
  <pageSetup horizontalDpi="600" verticalDpi="600" orientation="portrait" scale="92" r:id="rId1"/>
  <headerFooter alignWithMargins="0">
    <oddFooter>&amp;LHaldimand County Hydro Inc.
Page &amp;P of &amp;N&amp;R&amp;"Arial,Bold"&amp;F
&amp;A</oddFooter>
  </headerFooter>
  <rowBreaks count="1" manualBreakCount="1">
    <brk id="52" max="3" man="1"/>
  </rowBreaks>
</worksheet>
</file>

<file path=xl/worksheets/sheet5.xml><?xml version="1.0" encoding="utf-8"?>
<worksheet xmlns="http://schemas.openxmlformats.org/spreadsheetml/2006/main" xmlns:r="http://schemas.openxmlformats.org/officeDocument/2006/relationships">
  <dimension ref="A1:Q190"/>
  <sheetViews>
    <sheetView view="pageBreakPreview" zoomScale="60" zoomScaleNormal="75" zoomScalePageLayoutView="0" workbookViewId="0" topLeftCell="A26">
      <selection activeCell="A192" sqref="A192"/>
    </sheetView>
  </sheetViews>
  <sheetFormatPr defaultColWidth="9.140625" defaultRowHeight="12.75"/>
  <cols>
    <col min="1" max="1" width="51.421875" style="8" customWidth="1"/>
    <col min="2" max="2" width="18.28125" style="8" bestFit="1" customWidth="1"/>
    <col min="3" max="3" width="14.140625" style="8" customWidth="1"/>
    <col min="4" max="4" width="14.28125" style="8" customWidth="1"/>
    <col min="5" max="5" width="14.421875" style="8" bestFit="1" customWidth="1"/>
    <col min="6" max="6" width="11.7109375" style="8" customWidth="1"/>
    <col min="7" max="7" width="15.421875" style="8" bestFit="1" customWidth="1"/>
    <col min="8" max="8" width="15.28125" style="8" customWidth="1"/>
  </cols>
  <sheetData>
    <row r="1" ht="17.25">
      <c r="A1" s="36" t="s">
        <v>137</v>
      </c>
    </row>
    <row r="2" ht="18" thickBot="1">
      <c r="A2" s="115"/>
    </row>
    <row r="3" spans="1:7" ht="17.25">
      <c r="A3" s="286" t="str">
        <f>"Name of Utility:      "&amp;'Info Sheet'!B4</f>
        <v>Name of Utility:      Haldimand County Hydro Inc.</v>
      </c>
      <c r="B3" s="442"/>
      <c r="C3" s="443"/>
      <c r="D3" s="441" t="str">
        <f>'Info Sheet'!$B$21</f>
        <v>2005.V1.0</v>
      </c>
      <c r="E3" s="35"/>
      <c r="F3" s="115"/>
      <c r="G3" s="116"/>
    </row>
    <row r="4" spans="1:7" ht="17.25">
      <c r="A4" s="288" t="str">
        <f>"License Number:   "&amp;'Info Sheet'!B6</f>
        <v>License Number:   ED-2002-0539</v>
      </c>
      <c r="B4" s="444"/>
      <c r="C4" s="374"/>
      <c r="D4" s="380" t="str">
        <f>'Info Sheet'!B8</f>
        <v>RP-2005-0013</v>
      </c>
      <c r="E4" s="35"/>
      <c r="F4" s="115"/>
      <c r="G4" s="116"/>
    </row>
    <row r="5" spans="1:4" ht="15">
      <c r="A5" s="288" t="str">
        <f>"Name of Contact:  "&amp;'Info Sheet'!B12</f>
        <v>Name of Contact:  Jacqueline Scott - Finance Manager</v>
      </c>
      <c r="B5" s="545" t="str">
        <f>'Info Sheet'!B10</f>
        <v>EB-2005-0034</v>
      </c>
      <c r="C5" s="545"/>
      <c r="D5" s="546"/>
    </row>
    <row r="6" spans="1:4" ht="15">
      <c r="A6" s="289" t="str">
        <f>"E- Mail Address:    "&amp;'Info Sheet'!B14</f>
        <v>E- Mail Address:    jscott@hchydro.ca</v>
      </c>
      <c r="B6" s="444"/>
      <c r="C6" s="27"/>
      <c r="D6" s="449"/>
    </row>
    <row r="7" spans="1:4" ht="15">
      <c r="A7" s="288" t="str">
        <f>"Phone Number:     "&amp;'Info Sheet'!B16</f>
        <v>Phone Number:     905-765-5211</v>
      </c>
      <c r="B7" s="536" t="str">
        <f>'Info Sheet'!$C$16&amp;" "&amp;'Info Sheet'!$D$16</f>
        <v>Extension: 237</v>
      </c>
      <c r="C7" s="536"/>
      <c r="D7" s="449"/>
    </row>
    <row r="8" spans="1:4" ht="15.75" thickBot="1">
      <c r="A8" s="290" t="str">
        <f>"Date:                      "&amp;('Info Sheet'!B18)</f>
        <v>Date:                      January 14, 2005</v>
      </c>
      <c r="B8" s="446"/>
      <c r="C8" s="447"/>
      <c r="D8" s="450"/>
    </row>
    <row r="9" spans="1:16" ht="15">
      <c r="A9" s="27"/>
      <c r="B9" s="28"/>
      <c r="C9" s="26"/>
      <c r="O9" s="5"/>
      <c r="P9" s="1"/>
    </row>
    <row r="10" spans="1:15" ht="13.5">
      <c r="A10" s="135" t="s">
        <v>158</v>
      </c>
      <c r="B10" s="136"/>
      <c r="C10" s="136"/>
      <c r="D10" s="136"/>
      <c r="E10" s="136"/>
      <c r="F10" s="136"/>
      <c r="G10" s="136"/>
      <c r="O10" s="5"/>
    </row>
    <row r="11" spans="1:7" ht="12.75" customHeight="1">
      <c r="A11" s="135" t="s">
        <v>176</v>
      </c>
      <c r="B11" s="136"/>
      <c r="C11" s="136"/>
      <c r="D11" s="136"/>
      <c r="E11" s="136"/>
      <c r="F11" s="136"/>
      <c r="G11" s="136"/>
    </row>
    <row r="12" spans="1:15" ht="15">
      <c r="A12" s="117"/>
      <c r="O12" s="5"/>
    </row>
    <row r="13" spans="2:17" ht="12.75">
      <c r="B13" s="105"/>
      <c r="C13" s="55"/>
      <c r="P13" s="2"/>
      <c r="Q13" s="3"/>
    </row>
    <row r="14" spans="1:17" ht="13.5">
      <c r="A14" s="541" t="s">
        <v>127</v>
      </c>
      <c r="B14" s="541"/>
      <c r="C14" s="541"/>
      <c r="D14" s="541"/>
      <c r="E14" s="33"/>
      <c r="F14" s="247"/>
      <c r="G14" s="248">
        <v>1179314.402234972</v>
      </c>
      <c r="O14" s="5"/>
      <c r="P14" s="2"/>
      <c r="Q14" s="4"/>
    </row>
    <row r="15" spans="1:7" ht="14.25">
      <c r="A15" s="139"/>
      <c r="B15" s="140"/>
      <c r="C15" s="141"/>
      <c r="D15" s="142"/>
      <c r="E15" s="142"/>
      <c r="F15" s="55"/>
      <c r="G15" s="55"/>
    </row>
    <row r="16" ht="12.75">
      <c r="C16" s="119"/>
    </row>
    <row r="17" spans="1:7" ht="13.5">
      <c r="A17" s="135" t="s">
        <v>159</v>
      </c>
      <c r="B17" s="136"/>
      <c r="C17" s="136"/>
      <c r="D17" s="136"/>
      <c r="E17" s="136"/>
      <c r="F17" s="136"/>
      <c r="G17" s="136"/>
    </row>
    <row r="19" ht="13.5" thickBot="1"/>
    <row r="20" spans="1:8" ht="39.75" thickBot="1">
      <c r="A20" s="149" t="s">
        <v>157</v>
      </c>
      <c r="B20" s="150" t="s">
        <v>5</v>
      </c>
      <c r="C20" s="150" t="s">
        <v>6</v>
      </c>
      <c r="D20" s="150" t="s">
        <v>13</v>
      </c>
      <c r="E20" s="150" t="s">
        <v>7</v>
      </c>
      <c r="F20" s="150" t="s">
        <v>84</v>
      </c>
      <c r="G20" s="151" t="s">
        <v>129</v>
      </c>
      <c r="H20" s="120"/>
    </row>
    <row r="21" spans="1:7" ht="12.75">
      <c r="A21" s="85"/>
      <c r="B21" s="30"/>
      <c r="C21" s="121"/>
      <c r="D21" s="121"/>
      <c r="E21" s="30"/>
      <c r="F21" s="30"/>
      <c r="G21" s="99"/>
    </row>
    <row r="22" spans="1:8" ht="12.75">
      <c r="A22" s="146" t="s">
        <v>201</v>
      </c>
      <c r="B22" s="250" t="s">
        <v>229</v>
      </c>
      <c r="C22" s="250">
        <v>94477503</v>
      </c>
      <c r="D22" s="250">
        <v>11954</v>
      </c>
      <c r="E22" s="382">
        <v>3311085.53</v>
      </c>
      <c r="F22" s="251">
        <f aca="true" t="shared" si="0" ref="F22:F33">IF(ISERROR(E22/E$35),"",E22/E$35)</f>
        <v>0.3833962261747719</v>
      </c>
      <c r="G22" s="385">
        <f>IF(ISERROR($G$36*F22),0,$G$36*F22)</f>
        <v>452144.6912904453</v>
      </c>
      <c r="H22" s="253"/>
    </row>
    <row r="23" spans="1:8" ht="12.75">
      <c r="A23" s="146" t="s">
        <v>202</v>
      </c>
      <c r="B23" s="250" t="s">
        <v>229</v>
      </c>
      <c r="C23" s="250">
        <v>24094558</v>
      </c>
      <c r="D23" s="250">
        <v>937</v>
      </c>
      <c r="E23" s="382">
        <v>567921.98</v>
      </c>
      <c r="F23" s="251">
        <f t="shared" si="0"/>
        <v>0.06576065218517756</v>
      </c>
      <c r="G23" s="385">
        <f aca="true" t="shared" si="1" ref="G23:G33">IF(ISERROR($G$36*F23),0,$G$36*F23)</f>
        <v>77552.48422234457</v>
      </c>
      <c r="H23" s="253"/>
    </row>
    <row r="24" spans="1:8" ht="12.75">
      <c r="A24" s="146" t="s">
        <v>203</v>
      </c>
      <c r="B24" s="250">
        <v>114903.65</v>
      </c>
      <c r="C24" s="250">
        <v>40990753</v>
      </c>
      <c r="D24" s="250">
        <v>95</v>
      </c>
      <c r="E24" s="382">
        <v>550840.57</v>
      </c>
      <c r="F24" s="251">
        <f t="shared" si="0"/>
        <v>0.06378276666322186</v>
      </c>
      <c r="G24" s="385">
        <f t="shared" si="1"/>
        <v>75219.93534033018</v>
      </c>
      <c r="H24" s="253"/>
    </row>
    <row r="25" spans="1:8" ht="12.75">
      <c r="A25" s="146" t="s">
        <v>61</v>
      </c>
      <c r="B25" s="250">
        <v>62137.61</v>
      </c>
      <c r="C25" s="250">
        <v>16605131</v>
      </c>
      <c r="D25" s="250">
        <v>4</v>
      </c>
      <c r="E25" s="382">
        <v>44474.24</v>
      </c>
      <c r="F25" s="251">
        <f t="shared" si="0"/>
        <v>0.005149747906992632</v>
      </c>
      <c r="G25" s="385">
        <f t="shared" si="1"/>
        <v>6073.171874595813</v>
      </c>
      <c r="H25" s="255"/>
    </row>
    <row r="26" spans="1:8" ht="12.75">
      <c r="A26" s="146" t="s">
        <v>136</v>
      </c>
      <c r="B26" s="250">
        <v>0</v>
      </c>
      <c r="C26" s="250">
        <v>0</v>
      </c>
      <c r="D26" s="250">
        <v>0</v>
      </c>
      <c r="E26" s="382"/>
      <c r="F26" s="251">
        <f t="shared" si="0"/>
        <v>0</v>
      </c>
      <c r="G26" s="385">
        <f t="shared" si="1"/>
        <v>0</v>
      </c>
      <c r="H26" s="255"/>
    </row>
    <row r="27" spans="1:8" ht="12.75">
      <c r="A27" s="146" t="s">
        <v>62</v>
      </c>
      <c r="B27" s="250">
        <v>0</v>
      </c>
      <c r="C27" s="250">
        <v>0</v>
      </c>
      <c r="D27" s="250">
        <v>0</v>
      </c>
      <c r="E27" s="382"/>
      <c r="F27" s="251">
        <f t="shared" si="0"/>
        <v>0</v>
      </c>
      <c r="G27" s="385">
        <f t="shared" si="1"/>
        <v>0</v>
      </c>
      <c r="H27" s="255"/>
    </row>
    <row r="28" spans="1:8" ht="12.75">
      <c r="A28" s="146" t="s">
        <v>63</v>
      </c>
      <c r="B28" s="250">
        <v>1765.66</v>
      </c>
      <c r="C28" s="250">
        <v>531087</v>
      </c>
      <c r="D28" s="250">
        <v>867</v>
      </c>
      <c r="E28" s="382">
        <v>20564.97</v>
      </c>
      <c r="F28" s="251">
        <f t="shared" si="0"/>
        <v>0.0023812528604168675</v>
      </c>
      <c r="G28" s="385">
        <f t="shared" si="1"/>
        <v>2808.2457936528353</v>
      </c>
      <c r="H28" s="253"/>
    </row>
    <row r="29" spans="1:8" ht="12.75">
      <c r="A29" s="146" t="s">
        <v>64</v>
      </c>
      <c r="B29" s="250">
        <v>5769.72</v>
      </c>
      <c r="C29" s="250">
        <v>2082646</v>
      </c>
      <c r="D29" s="250">
        <v>2705</v>
      </c>
      <c r="E29" s="382">
        <v>48183.96</v>
      </c>
      <c r="F29" s="251">
        <f t="shared" si="0"/>
        <v>0.005579302696586084</v>
      </c>
      <c r="G29" s="385">
        <f t="shared" si="1"/>
        <v>6579.752024512385</v>
      </c>
      <c r="H29" s="256"/>
    </row>
    <row r="30" spans="1:8" ht="12.75">
      <c r="A30" s="146" t="s">
        <v>204</v>
      </c>
      <c r="B30" s="250" t="s">
        <v>229</v>
      </c>
      <c r="C30" s="250">
        <v>80613349</v>
      </c>
      <c r="D30" s="250">
        <v>5631</v>
      </c>
      <c r="E30" s="382">
        <v>2415250.88</v>
      </c>
      <c r="F30" s="501">
        <f t="shared" si="0"/>
        <v>0.2796660081013664</v>
      </c>
      <c r="G30" s="385">
        <f t="shared" si="1"/>
        <v>329814.15116950375</v>
      </c>
      <c r="H30" s="256"/>
    </row>
    <row r="31" spans="1:8" ht="12.75">
      <c r="A31" s="146" t="s">
        <v>205</v>
      </c>
      <c r="B31" s="250" t="s">
        <v>229</v>
      </c>
      <c r="C31" s="250">
        <v>27504693</v>
      </c>
      <c r="D31" s="250">
        <v>1391</v>
      </c>
      <c r="E31" s="382">
        <v>685053.65</v>
      </c>
      <c r="F31" s="501">
        <f t="shared" si="0"/>
        <v>0.07932352751312137</v>
      </c>
      <c r="G31" s="385">
        <f t="shared" si="1"/>
        <v>93547.37843230608</v>
      </c>
      <c r="H31" s="256"/>
    </row>
    <row r="32" spans="1:8" ht="12.75">
      <c r="A32" s="146" t="s">
        <v>206</v>
      </c>
      <c r="B32" s="250">
        <v>194765.76</v>
      </c>
      <c r="C32" s="250">
        <v>65519516</v>
      </c>
      <c r="D32" s="250">
        <v>102</v>
      </c>
      <c r="E32" s="382">
        <v>992821.72</v>
      </c>
      <c r="F32" s="501">
        <f t="shared" si="0"/>
        <v>0.1149605158983453</v>
      </c>
      <c r="G32" s="385">
        <f t="shared" si="1"/>
        <v>135574.59208728108</v>
      </c>
      <c r="H32" s="256"/>
    </row>
    <row r="33" spans="1:8" ht="12.75">
      <c r="A33" s="146" t="s">
        <v>207</v>
      </c>
      <c r="B33" s="258"/>
      <c r="C33" s="258"/>
      <c r="D33" s="258"/>
      <c r="E33" s="393"/>
      <c r="F33" s="501">
        <f t="shared" si="0"/>
        <v>0</v>
      </c>
      <c r="G33" s="386">
        <f t="shared" si="1"/>
        <v>0</v>
      </c>
      <c r="H33" s="256"/>
    </row>
    <row r="34" spans="1:8" ht="12.75">
      <c r="A34" s="146"/>
      <c r="B34" s="249"/>
      <c r="C34" s="260"/>
      <c r="D34" s="261"/>
      <c r="E34" s="249"/>
      <c r="F34" s="262"/>
      <c r="G34" s="252"/>
      <c r="H34" s="55"/>
    </row>
    <row r="35" spans="1:8" ht="12.75">
      <c r="A35" s="146" t="s">
        <v>8</v>
      </c>
      <c r="B35" s="30"/>
      <c r="C35" s="152">
        <f>SUM(C22:C33)</f>
        <v>352419236</v>
      </c>
      <c r="D35" s="152">
        <f>SUM(D22:D33)</f>
        <v>23686</v>
      </c>
      <c r="E35" s="396">
        <f>SUM(E22:E33)</f>
        <v>8636197.5</v>
      </c>
      <c r="F35" s="154">
        <f>SUM(F22:F33)</f>
        <v>1</v>
      </c>
      <c r="G35" s="394">
        <f>SUM(G22:G33)</f>
        <v>1179314.402234972</v>
      </c>
      <c r="H35" s="55"/>
    </row>
    <row r="36" spans="1:8" ht="12.75">
      <c r="A36" s="85"/>
      <c r="B36" s="30"/>
      <c r="C36" s="543" t="s">
        <v>130</v>
      </c>
      <c r="D36" s="543"/>
      <c r="E36" s="543"/>
      <c r="F36" s="544"/>
      <c r="G36" s="395">
        <f>G14</f>
        <v>1179314.402234972</v>
      </c>
      <c r="H36" s="263"/>
    </row>
    <row r="37" spans="1:7" ht="13.5" thickBot="1">
      <c r="A37" s="93"/>
      <c r="B37" s="147"/>
      <c r="C37" s="147"/>
      <c r="D37" s="147"/>
      <c r="E37" s="147"/>
      <c r="F37" s="147"/>
      <c r="G37" s="148"/>
    </row>
    <row r="39" ht="15">
      <c r="A39" s="162" t="s">
        <v>128</v>
      </c>
    </row>
    <row r="40" ht="10.5" customHeight="1">
      <c r="A40" s="53"/>
    </row>
    <row r="41" ht="15">
      <c r="A41" s="53" t="s">
        <v>208</v>
      </c>
    </row>
    <row r="42" ht="9" customHeight="1">
      <c r="A42" s="129"/>
    </row>
    <row r="43" ht="15">
      <c r="A43" s="130"/>
    </row>
    <row r="44" spans="1:7" ht="39.75" thickBot="1">
      <c r="A44" s="130"/>
      <c r="B44" s="267" t="s">
        <v>91</v>
      </c>
      <c r="C44" s="267" t="s">
        <v>92</v>
      </c>
      <c r="D44" s="267" t="s">
        <v>129</v>
      </c>
      <c r="E44" s="265"/>
      <c r="F44" s="265"/>
      <c r="G44" s="265"/>
    </row>
    <row r="45" spans="1:3" ht="15">
      <c r="A45" s="130"/>
      <c r="B45" s="29"/>
      <c r="C45" s="29"/>
    </row>
    <row r="46" spans="1:5" ht="13.5" customHeight="1">
      <c r="A46" s="108" t="s">
        <v>132</v>
      </c>
      <c r="B46" s="275"/>
      <c r="C46" s="275"/>
      <c r="D46" s="392">
        <f>$G22</f>
        <v>452144.6912904453</v>
      </c>
      <c r="E46" s="111"/>
    </row>
    <row r="47" spans="1:5" ht="12.75">
      <c r="A47" s="111"/>
      <c r="B47" s="268"/>
      <c r="C47" s="268"/>
      <c r="D47" s="269"/>
      <c r="E47" s="111"/>
    </row>
    <row r="48" spans="1:5" ht="12.75">
      <c r="A48" s="108" t="s">
        <v>89</v>
      </c>
      <c r="B48" s="276">
        <v>1</v>
      </c>
      <c r="C48" s="276">
        <v>0</v>
      </c>
      <c r="D48" s="276">
        <f>B48+C48</f>
        <v>1</v>
      </c>
      <c r="E48" s="111"/>
    </row>
    <row r="49" spans="1:5" ht="12.75">
      <c r="A49" s="111"/>
      <c r="B49" s="270"/>
      <c r="C49" s="270"/>
      <c r="D49" s="270"/>
      <c r="E49" s="111"/>
    </row>
    <row r="50" spans="1:5" ht="12.75">
      <c r="A50" s="108" t="s">
        <v>133</v>
      </c>
      <c r="B50" s="387">
        <f>$B48*$D46</f>
        <v>452144.6912904453</v>
      </c>
      <c r="C50" s="387">
        <f>C48*D46</f>
        <v>0</v>
      </c>
      <c r="D50" s="387">
        <f>SUM(B50:C50)</f>
        <v>452144.6912904453</v>
      </c>
      <c r="E50" s="111"/>
    </row>
    <row r="51" spans="1:5" ht="12.75">
      <c r="A51" s="111"/>
      <c r="B51" s="271"/>
      <c r="C51" s="271"/>
      <c r="D51" s="271"/>
      <c r="E51" s="111"/>
    </row>
    <row r="52" spans="1:5" ht="12.75">
      <c r="A52" s="108" t="s">
        <v>87</v>
      </c>
      <c r="B52" s="477">
        <f>$C22</f>
        <v>94477503</v>
      </c>
      <c r="C52" s="277"/>
      <c r="D52" s="277"/>
      <c r="E52" s="111"/>
    </row>
    <row r="53" spans="1:5" ht="12.75">
      <c r="A53" s="111"/>
      <c r="B53" s="272"/>
      <c r="C53" s="271"/>
      <c r="D53" s="271"/>
      <c r="E53" s="111"/>
    </row>
    <row r="54" spans="1:5" ht="12.75">
      <c r="A54" s="108" t="s">
        <v>160</v>
      </c>
      <c r="B54" s="397">
        <f>IF(ISERROR($B50/$B52),0,$B50/$B52)</f>
        <v>0.0047857392176256525</v>
      </c>
      <c r="C54" s="279"/>
      <c r="D54" s="279"/>
      <c r="E54" s="111"/>
    </row>
    <row r="55" spans="1:5" ht="12.75">
      <c r="A55" s="111"/>
      <c r="B55" s="273"/>
      <c r="C55" s="274"/>
      <c r="D55" s="274"/>
      <c r="E55" s="111"/>
    </row>
    <row r="56" spans="1:4" ht="15">
      <c r="A56" s="130"/>
      <c r="B56" s="55"/>
      <c r="C56" s="55"/>
      <c r="D56" s="55"/>
    </row>
    <row r="57" spans="2:4" ht="12.75">
      <c r="B57" s="55"/>
      <c r="C57" s="55"/>
      <c r="D57" s="55"/>
    </row>
    <row r="58" ht="15">
      <c r="A58" s="53" t="s">
        <v>209</v>
      </c>
    </row>
    <row r="59" ht="15">
      <c r="A59" s="129"/>
    </row>
    <row r="60" ht="10.5" customHeight="1">
      <c r="A60" s="130"/>
    </row>
    <row r="61" spans="1:7" ht="39.75" thickBot="1">
      <c r="A61" s="130"/>
      <c r="B61" s="267" t="s">
        <v>91</v>
      </c>
      <c r="C61" s="267" t="s">
        <v>92</v>
      </c>
      <c r="D61" s="267" t="s">
        <v>129</v>
      </c>
      <c r="E61" s="265"/>
      <c r="F61" s="265"/>
      <c r="G61" s="265"/>
    </row>
    <row r="62" spans="1:3" ht="13.5" customHeight="1">
      <c r="A62" s="130"/>
      <c r="B62" s="29"/>
      <c r="C62" s="29"/>
    </row>
    <row r="63" spans="1:5" ht="12.75">
      <c r="A63" s="108" t="s">
        <v>132</v>
      </c>
      <c r="B63" s="275"/>
      <c r="C63" s="275"/>
      <c r="D63" s="392">
        <f>$G23</f>
        <v>77552.48422234457</v>
      </c>
      <c r="E63" s="111"/>
    </row>
    <row r="64" spans="1:5" ht="12.75">
      <c r="A64" s="111"/>
      <c r="B64" s="268"/>
      <c r="C64" s="268"/>
      <c r="D64" s="269"/>
      <c r="E64" s="111"/>
    </row>
    <row r="65" spans="1:5" ht="12.75">
      <c r="A65" s="108" t="s">
        <v>89</v>
      </c>
      <c r="B65" s="276">
        <v>1</v>
      </c>
      <c r="C65" s="276">
        <v>0</v>
      </c>
      <c r="D65" s="276">
        <f>B65+C65</f>
        <v>1</v>
      </c>
      <c r="E65" s="111"/>
    </row>
    <row r="66" spans="1:5" ht="12.75">
      <c r="A66" s="111"/>
      <c r="B66" s="270"/>
      <c r="C66" s="270"/>
      <c r="D66" s="270"/>
      <c r="E66" s="111"/>
    </row>
    <row r="67" spans="1:5" ht="12.75">
      <c r="A67" s="108" t="s">
        <v>133</v>
      </c>
      <c r="B67" s="387">
        <f>$B65*$D63</f>
        <v>77552.48422234457</v>
      </c>
      <c r="C67" s="387">
        <f>C65*D63</f>
        <v>0</v>
      </c>
      <c r="D67" s="387">
        <f>SUM(B67:C67)</f>
        <v>77552.48422234457</v>
      </c>
      <c r="E67" s="111"/>
    </row>
    <row r="68" spans="1:5" ht="12.75">
      <c r="A68" s="111"/>
      <c r="B68" s="271"/>
      <c r="C68" s="271"/>
      <c r="D68" s="271"/>
      <c r="E68" s="111"/>
    </row>
    <row r="69" spans="1:5" ht="12.75">
      <c r="A69" s="108" t="s">
        <v>87</v>
      </c>
      <c r="B69" s="278">
        <f>$C23</f>
        <v>24094558</v>
      </c>
      <c r="C69" s="277"/>
      <c r="D69" s="277"/>
      <c r="E69" s="111"/>
    </row>
    <row r="70" spans="1:5" ht="12.75">
      <c r="A70" s="111"/>
      <c r="B70" s="272"/>
      <c r="C70" s="271"/>
      <c r="D70" s="271"/>
      <c r="E70" s="111"/>
    </row>
    <row r="71" spans="1:5" ht="12.75">
      <c r="A71" s="108" t="s">
        <v>160</v>
      </c>
      <c r="B71" s="397">
        <f>IF(ISERROR($B67/$B69),0,$B67/$B69)</f>
        <v>0.0032186722089836456</v>
      </c>
      <c r="C71" s="279"/>
      <c r="D71" s="279"/>
      <c r="E71" s="111"/>
    </row>
    <row r="72" spans="1:5" ht="12.75">
      <c r="A72" s="111"/>
      <c r="B72" s="273"/>
      <c r="C72" s="274"/>
      <c r="D72" s="274"/>
      <c r="E72" s="111"/>
    </row>
    <row r="73" spans="1:4" ht="15">
      <c r="A73" s="130"/>
      <c r="B73" s="55"/>
      <c r="C73" s="55"/>
      <c r="D73" s="55"/>
    </row>
    <row r="74" spans="2:4" ht="12.75">
      <c r="B74" s="55"/>
      <c r="C74" s="55"/>
      <c r="D74" s="55"/>
    </row>
    <row r="75" ht="15">
      <c r="A75" s="53" t="s">
        <v>210</v>
      </c>
    </row>
    <row r="76" ht="9" customHeight="1">
      <c r="A76" s="129"/>
    </row>
    <row r="77" ht="15">
      <c r="A77" s="130"/>
    </row>
    <row r="78" spans="1:7" ht="39.75" thickBot="1">
      <c r="A78" s="130"/>
      <c r="B78" s="267" t="s">
        <v>91</v>
      </c>
      <c r="C78" s="267" t="s">
        <v>92</v>
      </c>
      <c r="D78" s="267" t="s">
        <v>129</v>
      </c>
      <c r="E78" s="265"/>
      <c r="F78" s="265"/>
      <c r="G78" s="265"/>
    </row>
    <row r="79" spans="1:3" ht="15">
      <c r="A79" s="130"/>
      <c r="B79" s="29"/>
      <c r="C79" s="29"/>
    </row>
    <row r="80" spans="1:5" ht="12.75">
      <c r="A80" s="108" t="s">
        <v>132</v>
      </c>
      <c r="B80" s="275"/>
      <c r="C80" s="275"/>
      <c r="D80" s="392">
        <f>$G24</f>
        <v>75219.93534033018</v>
      </c>
      <c r="E80" s="111"/>
    </row>
    <row r="81" spans="1:5" ht="12.75">
      <c r="A81" s="111"/>
      <c r="B81" s="268"/>
      <c r="C81" s="268"/>
      <c r="D81" s="269"/>
      <c r="E81" s="111"/>
    </row>
    <row r="82" spans="1:5" ht="12.75">
      <c r="A82" s="108" t="s">
        <v>89</v>
      </c>
      <c r="B82" s="276">
        <v>1</v>
      </c>
      <c r="C82" s="276">
        <v>0</v>
      </c>
      <c r="D82" s="276">
        <f>B82+C82</f>
        <v>1</v>
      </c>
      <c r="E82" s="111"/>
    </row>
    <row r="83" spans="1:5" ht="12.75">
      <c r="A83" s="111"/>
      <c r="B83" s="270"/>
      <c r="C83" s="270"/>
      <c r="D83" s="270"/>
      <c r="E83" s="111"/>
    </row>
    <row r="84" spans="1:5" ht="12.75">
      <c r="A84" s="108" t="s">
        <v>133</v>
      </c>
      <c r="B84" s="387">
        <f>$B82*$D80</f>
        <v>75219.93534033018</v>
      </c>
      <c r="C84" s="387">
        <f>C82*D80</f>
        <v>0</v>
      </c>
      <c r="D84" s="387">
        <f>SUM(B84:C84)</f>
        <v>75219.93534033018</v>
      </c>
      <c r="E84" s="111"/>
    </row>
    <row r="85" spans="1:5" ht="12.75">
      <c r="A85" s="111"/>
      <c r="B85" s="271"/>
      <c r="C85" s="271"/>
      <c r="D85" s="271"/>
      <c r="E85" s="111"/>
    </row>
    <row r="86" spans="1:5" ht="12.75">
      <c r="A86" s="108" t="s">
        <v>145</v>
      </c>
      <c r="B86" s="278">
        <f>$B24</f>
        <v>114903.65</v>
      </c>
      <c r="C86" s="277"/>
      <c r="D86" s="277"/>
      <c r="E86" s="111"/>
    </row>
    <row r="87" spans="1:5" ht="12.75">
      <c r="A87" s="111"/>
      <c r="B87" s="272"/>
      <c r="C87" s="271"/>
      <c r="D87" s="271"/>
      <c r="E87" s="111"/>
    </row>
    <row r="88" spans="1:5" ht="12.75">
      <c r="A88" s="108" t="s">
        <v>161</v>
      </c>
      <c r="B88" s="397">
        <f>IF(ISERROR($B84/$B86),0,$B84/$B86)</f>
        <v>0.6546348644305919</v>
      </c>
      <c r="C88" s="279"/>
      <c r="D88" s="279"/>
      <c r="E88" s="111"/>
    </row>
    <row r="89" spans="1:8" ht="12.75">
      <c r="A89" s="281"/>
      <c r="B89" s="282"/>
      <c r="C89" s="283"/>
      <c r="D89" s="282"/>
      <c r="E89" s="281"/>
      <c r="F89" s="30"/>
      <c r="G89" s="30"/>
      <c r="H89" s="30"/>
    </row>
    <row r="90" spans="1:5" ht="12.75">
      <c r="A90" s="281"/>
      <c r="B90" s="282"/>
      <c r="C90" s="283"/>
      <c r="D90" s="282"/>
      <c r="E90" s="111"/>
    </row>
    <row r="91" spans="1:5" ht="12.75">
      <c r="A91" s="281"/>
      <c r="B91" s="282"/>
      <c r="C91" s="283"/>
      <c r="D91" s="282"/>
      <c r="E91" s="111"/>
    </row>
    <row r="92" ht="15">
      <c r="A92" s="53" t="s">
        <v>186</v>
      </c>
    </row>
    <row r="93" ht="15">
      <c r="A93" s="129"/>
    </row>
    <row r="94" ht="15">
      <c r="A94" s="130"/>
    </row>
    <row r="95" spans="1:7" ht="39.75" thickBot="1">
      <c r="A95" s="130"/>
      <c r="B95" s="267" t="s">
        <v>91</v>
      </c>
      <c r="C95" s="267" t="s">
        <v>92</v>
      </c>
      <c r="D95" s="267" t="s">
        <v>129</v>
      </c>
      <c r="E95" s="265"/>
      <c r="F95" s="265"/>
      <c r="G95" s="265"/>
    </row>
    <row r="96" spans="1:3" ht="15">
      <c r="A96" s="130"/>
      <c r="B96" s="29"/>
      <c r="C96" s="29"/>
    </row>
    <row r="97" spans="1:5" ht="12.75">
      <c r="A97" s="108" t="s">
        <v>132</v>
      </c>
      <c r="B97" s="275"/>
      <c r="C97" s="275"/>
      <c r="D97" s="392">
        <f>$G25</f>
        <v>6073.171874595813</v>
      </c>
      <c r="E97" s="111"/>
    </row>
    <row r="98" spans="1:5" ht="12.75">
      <c r="A98" s="111"/>
      <c r="B98" s="268"/>
      <c r="C98" s="268"/>
      <c r="D98" s="269"/>
      <c r="E98" s="111"/>
    </row>
    <row r="99" spans="1:5" ht="12.75">
      <c r="A99" s="108" t="s">
        <v>89</v>
      </c>
      <c r="B99" s="276">
        <v>1</v>
      </c>
      <c r="C99" s="276">
        <v>0</v>
      </c>
      <c r="D99" s="276">
        <f>B99+C99</f>
        <v>1</v>
      </c>
      <c r="E99" s="111"/>
    </row>
    <row r="100" spans="1:5" ht="12.75">
      <c r="A100" s="111"/>
      <c r="B100" s="270"/>
      <c r="C100" s="270"/>
      <c r="D100" s="270"/>
      <c r="E100" s="111"/>
    </row>
    <row r="101" spans="1:5" ht="12.75">
      <c r="A101" s="108" t="s">
        <v>133</v>
      </c>
      <c r="B101" s="387">
        <f>$B99*$D97</f>
        <v>6073.171874595813</v>
      </c>
      <c r="C101" s="387">
        <f>C99*D97</f>
        <v>0</v>
      </c>
      <c r="D101" s="387">
        <f>SUM(B101:C101)</f>
        <v>6073.171874595813</v>
      </c>
      <c r="E101" s="111"/>
    </row>
    <row r="102" spans="1:5" ht="12.75">
      <c r="A102" s="111"/>
      <c r="B102" s="271"/>
      <c r="C102" s="271"/>
      <c r="D102" s="271"/>
      <c r="E102" s="111"/>
    </row>
    <row r="103" spans="1:5" ht="12.75">
      <c r="A103" s="108" t="s">
        <v>145</v>
      </c>
      <c r="B103" s="278">
        <f>$B25</f>
        <v>62137.61</v>
      </c>
      <c r="C103" s="277"/>
      <c r="D103" s="277"/>
      <c r="E103" s="111"/>
    </row>
    <row r="104" spans="1:5" ht="12.75">
      <c r="A104" s="111"/>
      <c r="B104" s="272"/>
      <c r="C104" s="271"/>
      <c r="D104" s="271"/>
      <c r="E104" s="111"/>
    </row>
    <row r="105" spans="1:5" ht="12.75">
      <c r="A105" s="108" t="s">
        <v>161</v>
      </c>
      <c r="B105" s="397">
        <f>IF(ISERROR($B101/$B103),0,$B101/$B103)</f>
        <v>0.09773745521586384</v>
      </c>
      <c r="C105" s="279"/>
      <c r="D105" s="279"/>
      <c r="E105" s="111"/>
    </row>
    <row r="106" spans="1:8" ht="12.75">
      <c r="A106" s="281"/>
      <c r="B106" s="282"/>
      <c r="C106" s="283"/>
      <c r="D106" s="282"/>
      <c r="E106" s="281"/>
      <c r="F106" s="30"/>
      <c r="G106" s="30"/>
      <c r="H106" s="30"/>
    </row>
    <row r="107" spans="1:5" ht="12.75">
      <c r="A107" s="281"/>
      <c r="B107" s="282"/>
      <c r="C107" s="283"/>
      <c r="D107" s="282"/>
      <c r="E107" s="111"/>
    </row>
    <row r="108" spans="1:5" ht="12.75">
      <c r="A108" s="281"/>
      <c r="B108" s="282"/>
      <c r="C108" s="283"/>
      <c r="D108" s="282"/>
      <c r="E108" s="111"/>
    </row>
    <row r="109" ht="15">
      <c r="A109" s="53" t="s">
        <v>9</v>
      </c>
    </row>
    <row r="110" ht="15">
      <c r="A110" s="129"/>
    </row>
    <row r="111" ht="15">
      <c r="A111" s="130"/>
    </row>
    <row r="112" spans="1:7" ht="39.75" thickBot="1">
      <c r="A112" s="130"/>
      <c r="B112" s="267" t="s">
        <v>91</v>
      </c>
      <c r="C112" s="267" t="s">
        <v>92</v>
      </c>
      <c r="D112" s="267" t="s">
        <v>129</v>
      </c>
      <c r="E112" s="265"/>
      <c r="F112" s="265"/>
      <c r="G112" s="265"/>
    </row>
    <row r="113" spans="1:3" ht="15">
      <c r="A113" s="130"/>
      <c r="B113" s="29"/>
      <c r="C113" s="29"/>
    </row>
    <row r="114" spans="1:5" ht="12.75">
      <c r="A114" s="108" t="s">
        <v>132</v>
      </c>
      <c r="B114" s="275"/>
      <c r="C114" s="275"/>
      <c r="D114" s="392">
        <f>$G28</f>
        <v>2808.2457936528353</v>
      </c>
      <c r="E114" s="111"/>
    </row>
    <row r="115" spans="1:5" ht="12.75">
      <c r="A115" s="111"/>
      <c r="B115" s="268"/>
      <c r="C115" s="268"/>
      <c r="D115" s="269"/>
      <c r="E115" s="111"/>
    </row>
    <row r="116" spans="1:5" ht="12.75">
      <c r="A116" s="108" t="s">
        <v>89</v>
      </c>
      <c r="B116" s="276">
        <v>1</v>
      </c>
      <c r="C116" s="276">
        <v>0</v>
      </c>
      <c r="D116" s="276">
        <f>B116+C116</f>
        <v>1</v>
      </c>
      <c r="E116" s="111"/>
    </row>
    <row r="117" spans="1:5" ht="12.75">
      <c r="A117" s="111"/>
      <c r="B117" s="270"/>
      <c r="C117" s="270"/>
      <c r="D117" s="270"/>
      <c r="E117" s="111"/>
    </row>
    <row r="118" spans="1:5" ht="12.75">
      <c r="A118" s="108" t="s">
        <v>133</v>
      </c>
      <c r="B118" s="387">
        <f>$B116*$D114</f>
        <v>2808.2457936528353</v>
      </c>
      <c r="C118" s="387">
        <f>C116*D114</f>
        <v>0</v>
      </c>
      <c r="D118" s="387">
        <f>SUM(B118:C118)</f>
        <v>2808.2457936528353</v>
      </c>
      <c r="E118" s="111"/>
    </row>
    <row r="119" spans="1:5" ht="12.75">
      <c r="A119" s="111"/>
      <c r="B119" s="271"/>
      <c r="C119" s="271"/>
      <c r="D119" s="271"/>
      <c r="E119" s="111"/>
    </row>
    <row r="120" spans="1:5" ht="12.75">
      <c r="A120" s="108" t="s">
        <v>145</v>
      </c>
      <c r="B120" s="278">
        <f>$B28</f>
        <v>1765.66</v>
      </c>
      <c r="C120" s="277"/>
      <c r="D120" s="277"/>
      <c r="E120" s="111"/>
    </row>
    <row r="121" spans="1:5" ht="12.75">
      <c r="A121" s="111"/>
      <c r="B121" s="272"/>
      <c r="C121" s="271"/>
      <c r="D121" s="271"/>
      <c r="E121" s="111"/>
    </row>
    <row r="122" spans="1:5" ht="12.75">
      <c r="A122" s="108" t="s">
        <v>161</v>
      </c>
      <c r="B122" s="397">
        <f>IF(ISERROR($B118/$B120),0,$B118/$B120)</f>
        <v>1.5904793638938612</v>
      </c>
      <c r="C122" s="279"/>
      <c r="D122" s="279"/>
      <c r="E122" s="111"/>
    </row>
    <row r="123" spans="1:5" ht="12.75">
      <c r="A123" s="281"/>
      <c r="B123" s="282"/>
      <c r="C123" s="283"/>
      <c r="D123" s="282"/>
      <c r="E123" s="281"/>
    </row>
    <row r="124" spans="1:5" ht="12.75">
      <c r="A124" s="281"/>
      <c r="B124" s="282"/>
      <c r="C124" s="283"/>
      <c r="D124" s="282"/>
      <c r="E124" s="111"/>
    </row>
    <row r="125" spans="1:5" ht="12.75">
      <c r="A125" s="281"/>
      <c r="B125" s="282"/>
      <c r="C125" s="283"/>
      <c r="D125" s="282"/>
      <c r="E125" s="111"/>
    </row>
    <row r="126" ht="15">
      <c r="A126" s="53" t="s">
        <v>94</v>
      </c>
    </row>
    <row r="127" ht="15">
      <c r="A127" s="129"/>
    </row>
    <row r="128" ht="15">
      <c r="A128" s="130"/>
    </row>
    <row r="129" spans="1:7" ht="39.75" thickBot="1">
      <c r="A129" s="130"/>
      <c r="B129" s="267" t="s">
        <v>91</v>
      </c>
      <c r="C129" s="267" t="s">
        <v>92</v>
      </c>
      <c r="D129" s="267" t="s">
        <v>129</v>
      </c>
      <c r="E129" s="265"/>
      <c r="F129" s="265"/>
      <c r="G129" s="265"/>
    </row>
    <row r="130" spans="1:3" ht="15">
      <c r="A130" s="130"/>
      <c r="B130" s="29"/>
      <c r="C130" s="29"/>
    </row>
    <row r="131" spans="1:5" ht="12.75">
      <c r="A131" s="108" t="s">
        <v>132</v>
      </c>
      <c r="B131" s="275"/>
      <c r="C131" s="275"/>
      <c r="D131" s="392">
        <f>$G29</f>
        <v>6579.752024512385</v>
      </c>
      <c r="E131" s="111"/>
    </row>
    <row r="132" spans="1:5" ht="12.75">
      <c r="A132" s="111"/>
      <c r="B132" s="268"/>
      <c r="C132" s="268"/>
      <c r="D132" s="269"/>
      <c r="E132" s="111"/>
    </row>
    <row r="133" spans="1:5" ht="12.75">
      <c r="A133" s="108" t="s">
        <v>89</v>
      </c>
      <c r="B133" s="276">
        <v>1</v>
      </c>
      <c r="C133" s="276">
        <v>0</v>
      </c>
      <c r="D133" s="276">
        <f>B133+C133</f>
        <v>1</v>
      </c>
      <c r="E133" s="111"/>
    </row>
    <row r="134" spans="1:5" ht="12.75">
      <c r="A134" s="111"/>
      <c r="B134" s="270"/>
      <c r="C134" s="270"/>
      <c r="D134" s="270"/>
      <c r="E134" s="111"/>
    </row>
    <row r="135" spans="1:5" ht="12.75">
      <c r="A135" s="108" t="s">
        <v>133</v>
      </c>
      <c r="B135" s="387">
        <f>$B133*$D131</f>
        <v>6579.752024512385</v>
      </c>
      <c r="C135" s="387">
        <f>C133*D131</f>
        <v>0</v>
      </c>
      <c r="D135" s="387">
        <f>SUM(B135:C135)</f>
        <v>6579.752024512385</v>
      </c>
      <c r="E135" s="111"/>
    </row>
    <row r="136" spans="1:5" ht="12.75">
      <c r="A136" s="111"/>
      <c r="B136" s="271"/>
      <c r="C136" s="271"/>
      <c r="D136" s="271"/>
      <c r="E136" s="111"/>
    </row>
    <row r="137" spans="1:5" ht="12.75">
      <c r="A137" s="108" t="s">
        <v>145</v>
      </c>
      <c r="B137" s="278">
        <f>$B29</f>
        <v>5769.72</v>
      </c>
      <c r="C137" s="277"/>
      <c r="D137" s="277"/>
      <c r="E137" s="111"/>
    </row>
    <row r="138" spans="1:5" ht="12.75">
      <c r="A138" s="111"/>
      <c r="B138" s="272"/>
      <c r="C138" s="271"/>
      <c r="D138" s="271"/>
      <c r="E138" s="111"/>
    </row>
    <row r="139" spans="1:5" ht="12.75">
      <c r="A139" s="108" t="s">
        <v>161</v>
      </c>
      <c r="B139" s="397">
        <f>IF(ISERROR($B135/$B137),0,$B135/$B137)</f>
        <v>1.1403936455343386</v>
      </c>
      <c r="C139" s="279"/>
      <c r="D139" s="279"/>
      <c r="E139" s="111"/>
    </row>
    <row r="143" ht="15">
      <c r="A143" s="53" t="s">
        <v>211</v>
      </c>
    </row>
    <row r="144" ht="15">
      <c r="A144" s="129"/>
    </row>
    <row r="145" ht="15">
      <c r="A145" s="130"/>
    </row>
    <row r="146" spans="1:4" ht="39.75" thickBot="1">
      <c r="A146" s="130"/>
      <c r="B146" s="267" t="s">
        <v>91</v>
      </c>
      <c r="C146" s="267" t="s">
        <v>92</v>
      </c>
      <c r="D146" s="267" t="s">
        <v>129</v>
      </c>
    </row>
    <row r="147" spans="1:3" ht="15">
      <c r="A147" s="130"/>
      <c r="B147" s="29"/>
      <c r="C147" s="29"/>
    </row>
    <row r="148" spans="1:4" ht="12.75">
      <c r="A148" s="108" t="s">
        <v>132</v>
      </c>
      <c r="B148" s="275"/>
      <c r="C148" s="275"/>
      <c r="D148" s="472">
        <f>$G30</f>
        <v>329814.15116950375</v>
      </c>
    </row>
    <row r="149" spans="1:4" ht="12.75">
      <c r="A149" s="111"/>
      <c r="B149" s="268"/>
      <c r="C149" s="268"/>
      <c r="D149" s="269"/>
    </row>
    <row r="150" spans="1:4" ht="12.75">
      <c r="A150" s="108" t="s">
        <v>89</v>
      </c>
      <c r="B150" s="276">
        <v>1</v>
      </c>
      <c r="C150" s="276">
        <v>0</v>
      </c>
      <c r="D150" s="276">
        <f>B150+C150</f>
        <v>1</v>
      </c>
    </row>
    <row r="151" spans="1:4" ht="12.75">
      <c r="A151" s="111"/>
      <c r="B151" s="270"/>
      <c r="C151" s="270"/>
      <c r="D151" s="270"/>
    </row>
    <row r="152" spans="1:4" ht="12.75">
      <c r="A152" s="108" t="s">
        <v>133</v>
      </c>
      <c r="B152" s="387">
        <f>$B150*$D148</f>
        <v>329814.15116950375</v>
      </c>
      <c r="C152" s="387">
        <f>C150*D148</f>
        <v>0</v>
      </c>
      <c r="D152" s="387">
        <f>SUM(B152:C152)</f>
        <v>329814.15116950375</v>
      </c>
    </row>
    <row r="153" spans="1:4" ht="12.75">
      <c r="A153" s="111"/>
      <c r="B153" s="271"/>
      <c r="C153" s="271"/>
      <c r="D153" s="271"/>
    </row>
    <row r="154" spans="1:4" ht="12.75">
      <c r="A154" s="108" t="s">
        <v>87</v>
      </c>
      <c r="B154" s="473">
        <f>$C30</f>
        <v>80613349</v>
      </c>
      <c r="C154" s="277"/>
      <c r="D154" s="277"/>
    </row>
    <row r="155" spans="1:4" ht="12.75">
      <c r="A155" s="111"/>
      <c r="B155" s="272"/>
      <c r="C155" s="271"/>
      <c r="D155" s="271"/>
    </row>
    <row r="156" spans="1:4" ht="12.75">
      <c r="A156" s="108" t="s">
        <v>160</v>
      </c>
      <c r="B156" s="397">
        <f>IF(ISERROR($B152/$B154),0,$B152/$B154)</f>
        <v>0.004091309383133354</v>
      </c>
      <c r="C156" s="279"/>
      <c r="D156" s="279"/>
    </row>
    <row r="157" spans="1:4" ht="12.75">
      <c r="A157" s="111"/>
      <c r="B157" s="273"/>
      <c r="C157" s="274"/>
      <c r="D157" s="274"/>
    </row>
    <row r="158" spans="1:4" ht="15">
      <c r="A158" s="130"/>
      <c r="B158" s="55"/>
      <c r="C158" s="55"/>
      <c r="D158" s="55"/>
    </row>
    <row r="159" spans="2:4" ht="12.75">
      <c r="B159" s="55"/>
      <c r="C159" s="55"/>
      <c r="D159" s="55"/>
    </row>
    <row r="160" ht="15">
      <c r="A160" s="53" t="s">
        <v>212</v>
      </c>
    </row>
    <row r="161" ht="15">
      <c r="A161" s="129"/>
    </row>
    <row r="162" ht="15">
      <c r="A162" s="130"/>
    </row>
    <row r="163" spans="1:4" ht="39.75" thickBot="1">
      <c r="A163" s="130"/>
      <c r="B163" s="267" t="s">
        <v>91</v>
      </c>
      <c r="C163" s="267" t="s">
        <v>92</v>
      </c>
      <c r="D163" s="267" t="s">
        <v>129</v>
      </c>
    </row>
    <row r="164" spans="1:3" ht="15">
      <c r="A164" s="130"/>
      <c r="B164" s="29"/>
      <c r="C164" s="29"/>
    </row>
    <row r="165" spans="1:4" ht="12.75">
      <c r="A165" s="108" t="s">
        <v>132</v>
      </c>
      <c r="B165" s="275"/>
      <c r="C165" s="275"/>
      <c r="D165" s="472">
        <f>$G31</f>
        <v>93547.37843230608</v>
      </c>
    </row>
    <row r="166" spans="1:4" ht="12.75">
      <c r="A166" s="111"/>
      <c r="B166" s="268"/>
      <c r="C166" s="268"/>
      <c r="D166" s="269"/>
    </row>
    <row r="167" spans="1:4" ht="12.75">
      <c r="A167" s="108" t="s">
        <v>89</v>
      </c>
      <c r="B167" s="276">
        <v>1</v>
      </c>
      <c r="C167" s="276">
        <v>0</v>
      </c>
      <c r="D167" s="276">
        <f>B167+C167</f>
        <v>1</v>
      </c>
    </row>
    <row r="168" spans="1:4" ht="12.75">
      <c r="A168" s="111"/>
      <c r="B168" s="270"/>
      <c r="C168" s="270"/>
      <c r="D168" s="270"/>
    </row>
    <row r="169" spans="1:4" ht="12.75">
      <c r="A169" s="108" t="s">
        <v>133</v>
      </c>
      <c r="B169" s="387">
        <f>$B167*$D165</f>
        <v>93547.37843230608</v>
      </c>
      <c r="C169" s="387">
        <f>C167*D165</f>
        <v>0</v>
      </c>
      <c r="D169" s="387">
        <f>SUM(B169:C169)</f>
        <v>93547.37843230608</v>
      </c>
    </row>
    <row r="170" spans="1:4" ht="12.75">
      <c r="A170" s="111"/>
      <c r="B170" s="271"/>
      <c r="C170" s="271"/>
      <c r="D170" s="271"/>
    </row>
    <row r="171" spans="1:4" ht="12.75">
      <c r="A171" s="108" t="s">
        <v>87</v>
      </c>
      <c r="B171" s="473">
        <f>$C31</f>
        <v>27504693</v>
      </c>
      <c r="C171" s="277"/>
      <c r="D171" s="277"/>
    </row>
    <row r="172" spans="1:4" ht="12.75">
      <c r="A172" s="111"/>
      <c r="B172" s="272"/>
      <c r="C172" s="271"/>
      <c r="D172" s="271"/>
    </row>
    <row r="173" spans="1:4" ht="12.75">
      <c r="A173" s="108" t="s">
        <v>160</v>
      </c>
      <c r="B173" s="397">
        <f>IF(ISERROR($B169/$B171),0,$B169/$B171)</f>
        <v>0.003401142431668155</v>
      </c>
      <c r="C173" s="279"/>
      <c r="D173" s="279"/>
    </row>
    <row r="174" spans="1:4" ht="12.75">
      <c r="A174" s="111"/>
      <c r="B174" s="273"/>
      <c r="C174" s="274"/>
      <c r="D174" s="274"/>
    </row>
    <row r="175" spans="1:4" ht="15">
      <c r="A175" s="130"/>
      <c r="B175" s="55"/>
      <c r="C175" s="55"/>
      <c r="D175" s="55"/>
    </row>
    <row r="176" spans="2:4" ht="12.75">
      <c r="B176" s="55"/>
      <c r="C176" s="55"/>
      <c r="D176" s="55"/>
    </row>
    <row r="177" ht="15">
      <c r="A177" s="53" t="s">
        <v>213</v>
      </c>
    </row>
    <row r="178" ht="15">
      <c r="A178" s="129"/>
    </row>
    <row r="179" ht="15">
      <c r="A179" s="130"/>
    </row>
    <row r="180" spans="1:4" ht="39.75" thickBot="1">
      <c r="A180" s="130"/>
      <c r="B180" s="267" t="s">
        <v>91</v>
      </c>
      <c r="C180" s="267" t="s">
        <v>92</v>
      </c>
      <c r="D180" s="267" t="s">
        <v>129</v>
      </c>
    </row>
    <row r="181" spans="1:3" ht="15">
      <c r="A181" s="130"/>
      <c r="B181" s="29"/>
      <c r="C181" s="29"/>
    </row>
    <row r="182" spans="1:4" ht="12.75">
      <c r="A182" s="108" t="s">
        <v>132</v>
      </c>
      <c r="B182" s="275"/>
      <c r="C182" s="275"/>
      <c r="D182" s="472">
        <f>$G32</f>
        <v>135574.59208728108</v>
      </c>
    </row>
    <row r="183" spans="1:4" ht="12.75">
      <c r="A183" s="111"/>
      <c r="B183" s="268"/>
      <c r="C183" s="268"/>
      <c r="D183" s="269"/>
    </row>
    <row r="184" spans="1:4" ht="12.75">
      <c r="A184" s="108" t="s">
        <v>89</v>
      </c>
      <c r="B184" s="276">
        <v>1</v>
      </c>
      <c r="C184" s="276">
        <v>0</v>
      </c>
      <c r="D184" s="276">
        <f>B184+C184</f>
        <v>1</v>
      </c>
    </row>
    <row r="185" spans="1:4" ht="12.75">
      <c r="A185" s="111"/>
      <c r="B185" s="270"/>
      <c r="C185" s="270"/>
      <c r="D185" s="270"/>
    </row>
    <row r="186" spans="1:4" ht="12.75">
      <c r="A186" s="108" t="s">
        <v>133</v>
      </c>
      <c r="B186" s="387">
        <f>$B184*$D182</f>
        <v>135574.59208728108</v>
      </c>
      <c r="C186" s="387">
        <f>C184*D182</f>
        <v>0</v>
      </c>
      <c r="D186" s="387">
        <f>SUM(B186:C186)</f>
        <v>135574.59208728108</v>
      </c>
    </row>
    <row r="187" spans="1:4" ht="12.75">
      <c r="A187" s="111"/>
      <c r="B187" s="271"/>
      <c r="C187" s="271"/>
      <c r="D187" s="271"/>
    </row>
    <row r="188" spans="1:4" ht="12.75">
      <c r="A188" s="108" t="s">
        <v>145</v>
      </c>
      <c r="B188" s="473">
        <f>$B32</f>
        <v>194765.76</v>
      </c>
      <c r="C188" s="277"/>
      <c r="D188" s="277"/>
    </row>
    <row r="189" spans="1:4" ht="12.75">
      <c r="A189" s="111"/>
      <c r="B189" s="272"/>
      <c r="C189" s="271"/>
      <c r="D189" s="271"/>
    </row>
    <row r="190" spans="1:4" ht="12.75">
      <c r="A190" s="108" t="s">
        <v>161</v>
      </c>
      <c r="B190" s="397">
        <f>IF(ISERROR($B186/$B188),0,$B186/$B188)</f>
        <v>0.6960904837035066</v>
      </c>
      <c r="C190" s="279"/>
      <c r="D190" s="279"/>
    </row>
  </sheetData>
  <sheetProtection/>
  <mergeCells count="4">
    <mergeCell ref="A14:D14"/>
    <mergeCell ref="C36:F36"/>
    <mergeCell ref="B5:D5"/>
    <mergeCell ref="B7:C7"/>
  </mergeCells>
  <printOptions/>
  <pageMargins left="0.7480314960629921" right="0.7480314960629921" top="0.984251968503937" bottom="0.7874015748031497" header="0.5118110236220472" footer="0.5118110236220472"/>
  <pageSetup fitToHeight="0" horizontalDpi="600" verticalDpi="600" orientation="portrait" scale="65" r:id="rId1"/>
  <headerFooter alignWithMargins="0">
    <oddFooter>&amp;LHaldimand County Hydro Inc.
Page &amp;P of &amp;N&amp;R&amp;"Arial,Bold"&amp;F
&amp;A</oddFooter>
  </headerFooter>
</worksheet>
</file>

<file path=xl/worksheets/sheet6.xml><?xml version="1.0" encoding="utf-8"?>
<worksheet xmlns="http://schemas.openxmlformats.org/spreadsheetml/2006/main" xmlns:r="http://schemas.openxmlformats.org/officeDocument/2006/relationships">
  <dimension ref="A1:H76"/>
  <sheetViews>
    <sheetView view="pageBreakPreview" zoomScale="60" zoomScaleNormal="75" zoomScalePageLayoutView="0" workbookViewId="0" topLeftCell="A22">
      <selection activeCell="A48" sqref="A48:IV55"/>
    </sheetView>
  </sheetViews>
  <sheetFormatPr defaultColWidth="9.140625" defaultRowHeight="12.75"/>
  <cols>
    <col min="1" max="1" width="39.7109375" style="8" customWidth="1"/>
    <col min="2" max="3" width="14.28125" style="8" customWidth="1"/>
    <col min="4" max="5" width="19.8515625" style="8" customWidth="1"/>
    <col min="6" max="6" width="14.8515625" style="8" customWidth="1"/>
    <col min="7" max="7" width="13.140625" style="8" customWidth="1"/>
    <col min="8" max="16384" width="9.140625" style="8" customWidth="1"/>
  </cols>
  <sheetData>
    <row r="1" ht="17.25">
      <c r="A1" s="36" t="s">
        <v>138</v>
      </c>
    </row>
    <row r="2" ht="22.5" customHeight="1" thickBot="1"/>
    <row r="3" spans="1:5" ht="17.25">
      <c r="A3" s="286" t="str">
        <f>"Name of Utility:      "&amp;'Info Sheet'!B4</f>
        <v>Name of Utility:      Haldimand County Hydro Inc.</v>
      </c>
      <c r="B3" s="287"/>
      <c r="C3" s="375"/>
      <c r="D3" s="441" t="str">
        <f>'Info Sheet'!$B$21</f>
        <v>2005.V1.0</v>
      </c>
      <c r="E3" s="35"/>
    </row>
    <row r="4" spans="1:5" ht="17.25">
      <c r="A4" s="288" t="str">
        <f>"License Number:   "&amp;'Info Sheet'!B6</f>
        <v>License Number:   ED-2002-0539</v>
      </c>
      <c r="B4" s="26"/>
      <c r="C4" s="376"/>
      <c r="D4" s="380" t="str">
        <f>'Info Sheet'!B8</f>
        <v>RP-2005-0013</v>
      </c>
      <c r="E4" s="35"/>
    </row>
    <row r="5" spans="1:4" ht="15">
      <c r="A5" s="534" t="str">
        <f>"Name of Contact:  "&amp;'Info Sheet'!B12</f>
        <v>Name of Contact:  Jacqueline Scott - Finance Manager</v>
      </c>
      <c r="B5" s="535"/>
      <c r="C5" s="535"/>
      <c r="D5" s="380" t="str">
        <f>'Info Sheet'!B10</f>
        <v>EB-2005-0034</v>
      </c>
    </row>
    <row r="6" spans="1:4" ht="17.25">
      <c r="A6" s="289" t="str">
        <f>"E- Mail Address:    "&amp;'Info Sheet'!B14</f>
        <v>E- Mail Address:    jscott@hchydro.ca</v>
      </c>
      <c r="B6" s="26"/>
      <c r="C6" s="377"/>
      <c r="D6" s="99"/>
    </row>
    <row r="7" spans="1:4" ht="15">
      <c r="A7" s="288" t="str">
        <f>"Phone Number:     "&amp;'Info Sheet'!B16</f>
        <v>Phone Number:     905-765-5211</v>
      </c>
      <c r="B7" s="536" t="str">
        <f>'Info Sheet'!$C$16&amp;" "&amp;'Info Sheet'!$D$16</f>
        <v>Extension: 237</v>
      </c>
      <c r="C7" s="536"/>
      <c r="D7" s="99"/>
    </row>
    <row r="8" spans="1:4" ht="15.75" thickBot="1">
      <c r="A8" s="290" t="str">
        <f>"Date:                      "&amp;('Info Sheet'!B18)</f>
        <v>Date:                      January 14, 2005</v>
      </c>
      <c r="B8" s="291"/>
      <c r="C8" s="378"/>
      <c r="D8" s="148"/>
    </row>
    <row r="9" spans="1:3" ht="8.25" customHeight="1">
      <c r="A9" s="129"/>
      <c r="C9" s="7"/>
    </row>
    <row r="10" ht="8.25" customHeight="1">
      <c r="C10" s="7"/>
    </row>
    <row r="11" spans="1:2" ht="8.25" customHeight="1">
      <c r="A11" s="10"/>
      <c r="B11" s="11"/>
    </row>
    <row r="12" ht="8.25" customHeight="1">
      <c r="A12" s="10"/>
    </row>
    <row r="13" ht="8.25" customHeight="1"/>
    <row r="14" spans="1:7" ht="17.25">
      <c r="A14" s="54" t="s">
        <v>195</v>
      </c>
      <c r="B14" s="51"/>
      <c r="C14" s="52"/>
      <c r="E14" s="14"/>
      <c r="G14" s="14"/>
    </row>
    <row r="15" spans="2:7" ht="12.75">
      <c r="B15" s="14"/>
      <c r="C15" s="14"/>
      <c r="D15" s="48"/>
      <c r="E15" s="14"/>
      <c r="F15" s="14"/>
      <c r="G15" s="14"/>
    </row>
    <row r="16" spans="1:8" ht="12.75">
      <c r="A16" s="8" t="s">
        <v>0</v>
      </c>
      <c r="B16" s="14">
        <f>IF('3. 2005 Base Rate Schedule'!B14="","",'3. 2005 Base Rate Schedule'!B14+'4. 2003 Data &amp; 2005 PILs'!B54)</f>
        <v>0.01997234905443357</v>
      </c>
      <c r="C16" s="14"/>
      <c r="D16" s="48"/>
      <c r="E16" s="14"/>
      <c r="F16" s="284"/>
      <c r="G16" s="284"/>
      <c r="H16" s="284"/>
    </row>
    <row r="17" spans="2:7" ht="12.75">
      <c r="B17" s="14"/>
      <c r="C17" s="14"/>
      <c r="D17" s="48"/>
      <c r="E17" s="14"/>
      <c r="F17" s="14"/>
      <c r="G17" s="14"/>
    </row>
    <row r="18" spans="1:8" ht="12.75">
      <c r="A18" s="8" t="s">
        <v>11</v>
      </c>
      <c r="B18" s="48">
        <f>IF('3. 2005 Base Rate Schedule'!B16="","",'3. 2005 Base Rate Schedule'!B16)</f>
        <v>9.919303766434421</v>
      </c>
      <c r="C18" s="14"/>
      <c r="D18" s="48"/>
      <c r="E18" s="14"/>
      <c r="F18" s="284"/>
      <c r="G18" s="132"/>
      <c r="H18" s="284"/>
    </row>
    <row r="19" spans="2:7" ht="12.75">
      <c r="B19" s="14">
        <f>IF('3. 2005 Base Rate Schedule'!B17="","",'3. 2005 Base Rate Schedule'!B17+'4. 2003 Data &amp; 2005 PILs'!B57)</f>
      </c>
      <c r="C19" s="14"/>
      <c r="D19" s="48"/>
      <c r="E19" s="14"/>
      <c r="F19" s="14"/>
      <c r="G19" s="14"/>
    </row>
    <row r="20" spans="2:7" ht="12.75">
      <c r="B20" s="14"/>
      <c r="C20" s="14"/>
      <c r="D20" s="14"/>
      <c r="E20" s="14"/>
      <c r="F20" s="14"/>
      <c r="G20" s="14"/>
    </row>
    <row r="21" spans="1:7" ht="17.25">
      <c r="A21" s="476" t="s">
        <v>199</v>
      </c>
      <c r="B21" s="476"/>
      <c r="C21" s="52"/>
      <c r="D21" s="48"/>
      <c r="E21" s="14"/>
      <c r="F21" s="14"/>
      <c r="G21" s="14"/>
    </row>
    <row r="22" spans="2:7" ht="12.75">
      <c r="B22" s="14"/>
      <c r="C22" s="14"/>
      <c r="D22" s="48"/>
      <c r="E22" s="14"/>
      <c r="F22" s="14"/>
      <c r="G22" s="14"/>
    </row>
    <row r="23" spans="1:8" ht="12.75">
      <c r="A23" s="8" t="s">
        <v>0</v>
      </c>
      <c r="B23" s="14">
        <f>IF('3. 2005 Base Rate Schedule'!B21="","",'3. 2005 Base Rate Schedule'!B21+'4. 2003 Data &amp; 2005 PILs'!B71)</f>
        <v>0.016981199046931766</v>
      </c>
      <c r="C23" s="14"/>
      <c r="D23" s="48"/>
      <c r="E23" s="14"/>
      <c r="F23" s="14"/>
      <c r="G23" s="285"/>
      <c r="H23" s="284"/>
    </row>
    <row r="24" spans="2:7" ht="12.75">
      <c r="B24" s="14"/>
      <c r="C24" s="14"/>
      <c r="D24" s="48"/>
      <c r="E24" s="14"/>
      <c r="F24" s="14"/>
      <c r="G24" s="285"/>
    </row>
    <row r="25" spans="1:8" ht="12.75">
      <c r="A25" s="8" t="s">
        <v>11</v>
      </c>
      <c r="B25" s="48">
        <f>IF('3. 2005 Base Rate Schedule'!B23="","",'3. 2005 Base Rate Schedule'!B23)</f>
        <v>13.425423752205502</v>
      </c>
      <c r="C25" s="14"/>
      <c r="D25" s="48"/>
      <c r="E25" s="14"/>
      <c r="F25" s="14"/>
      <c r="G25" s="285"/>
      <c r="H25" s="284"/>
    </row>
    <row r="26" spans="2:7" ht="12.75">
      <c r="B26" s="14">
        <f>IF('3. 2005 Base Rate Schedule'!B24="","",'3. 2005 Base Rate Schedule'!B24+'4. 2003 Data &amp; 2005 PILs'!B71)</f>
      </c>
      <c r="C26" s="14"/>
      <c r="D26" s="48"/>
      <c r="E26" s="14"/>
      <c r="F26" s="14"/>
      <c r="G26" s="14"/>
    </row>
    <row r="27" spans="2:7" ht="12.75">
      <c r="B27" s="14">
        <f>IF('3. 2005 Base Rate Schedule'!B25="","",'3. 2005 Base Rate Schedule'!B25+'4. 2003 Data &amp; 2005 PILs'!B72)</f>
      </c>
      <c r="C27" s="14"/>
      <c r="D27" s="48"/>
      <c r="E27" s="14"/>
      <c r="F27" s="14"/>
      <c r="G27" s="14"/>
    </row>
    <row r="28" spans="1:7" ht="17.25">
      <c r="A28" s="476" t="s">
        <v>200</v>
      </c>
      <c r="B28" s="476"/>
      <c r="C28" s="476"/>
      <c r="D28" s="48"/>
      <c r="E28" s="14"/>
      <c r="F28" s="14"/>
      <c r="G28" s="14"/>
    </row>
    <row r="29" spans="2:7" ht="12.75">
      <c r="B29" s="14">
        <f>IF('3. 2005 Base Rate Schedule'!B27="","",'3. 2005 Base Rate Schedule'!B27+'4. 2003 Data &amp; 2005 PILs'!B74)</f>
      </c>
      <c r="C29" s="14"/>
      <c r="D29" s="48"/>
      <c r="E29" s="14"/>
      <c r="F29" s="14"/>
      <c r="G29" s="14"/>
    </row>
    <row r="30" spans="1:7" ht="12.75">
      <c r="A30" s="8" t="s">
        <v>1</v>
      </c>
      <c r="B30" s="14">
        <f>IF('3. 2005 Base Rate Schedule'!B28="","",'4. 2003 Data &amp; 2005 PILs'!B88+'3. 2005 Base Rate Schedule'!B28)</f>
        <v>4.831890627840779</v>
      </c>
      <c r="C30" s="14"/>
      <c r="D30" s="48"/>
      <c r="E30" s="14"/>
      <c r="F30" s="14"/>
      <c r="G30" s="14"/>
    </row>
    <row r="31" spans="2:7" ht="12.75">
      <c r="B31" s="14"/>
      <c r="C31" s="14"/>
      <c r="D31" s="48"/>
      <c r="E31" s="14"/>
      <c r="F31" s="14"/>
      <c r="G31" s="14"/>
    </row>
    <row r="32" spans="1:7" ht="12.75">
      <c r="A32" s="8" t="s">
        <v>11</v>
      </c>
      <c r="B32" s="48">
        <f>IF('3. 2005 Base Rate Schedule'!B30="","",'3. 2005 Base Rate Schedule'!B30)</f>
        <v>25.52210788880356</v>
      </c>
      <c r="C32" s="14"/>
      <c r="D32" s="48"/>
      <c r="E32" s="14"/>
      <c r="F32" s="14"/>
      <c r="G32" s="14"/>
    </row>
    <row r="33" spans="2:7" ht="12.75">
      <c r="B33" s="14"/>
      <c r="C33" s="14"/>
      <c r="D33" s="48"/>
      <c r="E33" s="14"/>
      <c r="F33" s="14"/>
      <c r="G33" s="14"/>
    </row>
    <row r="34" spans="2:7" ht="12.75">
      <c r="B34" s="14"/>
      <c r="C34" s="14"/>
      <c r="D34" s="48"/>
      <c r="E34" s="14"/>
      <c r="F34" s="14"/>
      <c r="G34" s="14"/>
    </row>
    <row r="35" spans="1:7" ht="17.25">
      <c r="A35" s="54" t="s">
        <v>2</v>
      </c>
      <c r="B35" s="51"/>
      <c r="C35" s="52"/>
      <c r="D35" s="48"/>
      <c r="E35" s="14"/>
      <c r="F35" s="14"/>
      <c r="G35" s="14"/>
    </row>
    <row r="36" spans="1:7" ht="17.25">
      <c r="A36" s="7"/>
      <c r="B36" s="14"/>
      <c r="C36" s="14"/>
      <c r="D36" s="48"/>
      <c r="E36" s="14"/>
      <c r="F36" s="14"/>
      <c r="G36" s="14"/>
    </row>
    <row r="37" spans="1:7" ht="12.75">
      <c r="A37" s="8" t="s">
        <v>1</v>
      </c>
      <c r="B37" s="14">
        <f>IF('3. 2005 Base Rate Schedule'!B35="","",'4. 2003 Data &amp; 2005 PILs'!B105+'3. 2005 Base Rate Schedule'!B35)</f>
        <v>0.7918716071753483</v>
      </c>
      <c r="C37" s="14"/>
      <c r="D37" s="48"/>
      <c r="E37" s="14"/>
      <c r="F37" s="14"/>
      <c r="G37" s="14"/>
    </row>
    <row r="38" spans="2:7" ht="12.75">
      <c r="B38" s="14"/>
      <c r="C38" s="14"/>
      <c r="D38" s="48"/>
      <c r="E38" s="14"/>
      <c r="F38" s="14"/>
      <c r="G38" s="14"/>
    </row>
    <row r="39" spans="1:7" ht="12.75">
      <c r="A39" s="8" t="s">
        <v>11</v>
      </c>
      <c r="B39" s="48">
        <f>IF('3. 2005 Base Rate Schedule'!B37="","",'3. 2005 Base Rate Schedule'!B37)</f>
        <v>9.365099899119182</v>
      </c>
      <c r="C39" s="14"/>
      <c r="D39" s="48"/>
      <c r="E39" s="14"/>
      <c r="F39" s="14"/>
      <c r="G39" s="14"/>
    </row>
    <row r="40" spans="2:7" ht="12.75">
      <c r="B40" s="14"/>
      <c r="C40" s="14"/>
      <c r="D40" s="48"/>
      <c r="E40" s="14"/>
      <c r="F40" s="14"/>
      <c r="G40" s="14"/>
    </row>
    <row r="41" spans="1:7" ht="12.75" customHeight="1">
      <c r="A41" s="7"/>
      <c r="B41" s="14"/>
      <c r="C41" s="14"/>
      <c r="D41" s="48"/>
      <c r="E41" s="14"/>
      <c r="F41" s="14"/>
      <c r="G41" s="14"/>
    </row>
    <row r="42" spans="1:7" ht="17.25">
      <c r="A42" s="54" t="s">
        <v>3</v>
      </c>
      <c r="B42" s="14"/>
      <c r="C42" s="14"/>
      <c r="D42" s="48"/>
      <c r="E42" s="14"/>
      <c r="F42" s="14"/>
      <c r="G42" s="14"/>
    </row>
    <row r="43" spans="2:7" ht="12.75">
      <c r="B43" s="14"/>
      <c r="C43" s="14"/>
      <c r="D43" s="48"/>
      <c r="E43" s="14"/>
      <c r="F43" s="14"/>
      <c r="G43" s="14"/>
    </row>
    <row r="44" spans="1:7" ht="12.75">
      <c r="A44" s="8" t="s">
        <v>1</v>
      </c>
      <c r="B44" s="14">
        <f>IF('3. 2005 Base Rate Schedule'!B42="","",'4. 2003 Data &amp; 2005 PILs'!B122+'3. 2005 Base Rate Schedule'!B42)</f>
        <v>3.303093049074542</v>
      </c>
      <c r="C44" s="14"/>
      <c r="D44" s="48"/>
      <c r="E44" s="14"/>
      <c r="F44" s="14"/>
      <c r="G44" s="14"/>
    </row>
    <row r="45" spans="2:7" ht="12.75">
      <c r="B45" s="14"/>
      <c r="C45" s="14"/>
      <c r="D45" s="48"/>
      <c r="E45" s="14"/>
      <c r="F45" s="14"/>
      <c r="G45" s="14"/>
    </row>
    <row r="46" spans="1:7" ht="12.75">
      <c r="A46" s="8" t="s">
        <v>12</v>
      </c>
      <c r="B46" s="48">
        <f>IF('3. 2005 Base Rate Schedule'!B44="","",'3. 2005 Base Rate Schedule'!B44)</f>
        <v>1.28254288801253</v>
      </c>
      <c r="C46" s="14"/>
      <c r="D46" s="48"/>
      <c r="E46" s="14"/>
      <c r="F46" s="14"/>
      <c r="G46" s="14"/>
    </row>
    <row r="47" spans="2:7" ht="12.75">
      <c r="B47" s="14"/>
      <c r="C47" s="14"/>
      <c r="D47" s="48"/>
      <c r="E47" s="14"/>
      <c r="F47" s="14"/>
      <c r="G47" s="14"/>
    </row>
    <row r="48" spans="2:7" ht="12.75">
      <c r="B48" s="14"/>
      <c r="C48" s="14"/>
      <c r="D48" s="48"/>
      <c r="E48" s="14"/>
      <c r="F48" s="14"/>
      <c r="G48" s="14"/>
    </row>
    <row r="49" spans="1:7" ht="17.25">
      <c r="A49" s="54" t="s">
        <v>4</v>
      </c>
      <c r="B49" s="14"/>
      <c r="C49" s="14"/>
      <c r="D49" s="48"/>
      <c r="E49" s="14"/>
      <c r="F49" s="14"/>
      <c r="G49" s="14"/>
    </row>
    <row r="50" spans="2:7" ht="12.75">
      <c r="B50" s="14"/>
      <c r="C50" s="14"/>
      <c r="D50" s="48"/>
      <c r="E50" s="14"/>
      <c r="F50" s="14"/>
      <c r="G50" s="14"/>
    </row>
    <row r="51" spans="1:7" ht="12.75">
      <c r="A51" s="8" t="s">
        <v>1</v>
      </c>
      <c r="B51" s="14">
        <f>IF('3. 2005 Base Rate Schedule'!B49="","",'4. 2003 Data &amp; 2005 PILs'!B139+'3. 2005 Base Rate Schedule'!B49)</f>
        <v>2.8548598715147335</v>
      </c>
      <c r="C51" s="14"/>
      <c r="D51" s="48"/>
      <c r="E51" s="14"/>
      <c r="F51" s="14"/>
      <c r="G51" s="14"/>
    </row>
    <row r="52" spans="2:7" ht="12.75">
      <c r="B52" s="14"/>
      <c r="C52" s="14"/>
      <c r="D52" s="48"/>
      <c r="E52" s="14"/>
      <c r="F52" s="14"/>
      <c r="G52" s="14"/>
    </row>
    <row r="53" spans="1:7" ht="12.75">
      <c r="A53" s="8" t="s">
        <v>12</v>
      </c>
      <c r="B53" s="48">
        <f>IF('3. 2005 Base Rate Schedule'!B51="","",'3. 2005 Base Rate Schedule'!B51)</f>
        <v>1.1180282324647195</v>
      </c>
      <c r="C53" s="14"/>
      <c r="D53" s="48"/>
      <c r="E53" s="14"/>
      <c r="F53" s="14"/>
      <c r="G53" s="14"/>
    </row>
    <row r="54" spans="2:7" ht="12.75">
      <c r="B54" s="14"/>
      <c r="C54" s="14"/>
      <c r="D54" s="48"/>
      <c r="E54" s="14"/>
      <c r="F54" s="14"/>
      <c r="G54" s="14"/>
    </row>
    <row r="55" spans="1:7" ht="17.25">
      <c r="A55" s="476" t="s">
        <v>196</v>
      </c>
      <c r="B55" s="51"/>
      <c r="C55" s="52"/>
      <c r="D55" s="48"/>
      <c r="E55" s="14"/>
      <c r="F55" s="14"/>
      <c r="G55" s="14"/>
    </row>
    <row r="56" spans="2:7" ht="12.75">
      <c r="B56" s="14"/>
      <c r="C56" s="14"/>
      <c r="E56" s="14"/>
      <c r="F56" s="14"/>
      <c r="G56" s="14"/>
    </row>
    <row r="57" spans="1:7" ht="12.75">
      <c r="A57" s="8" t="s">
        <v>0</v>
      </c>
      <c r="B57" s="480">
        <f>IF('3. 2005 Base Rate Schedule'!B56="","",'3. 2005 Base Rate Schedule'!B56+'4. 2003 Data &amp; 2005 PILs'!B156)</f>
        <v>0.02045149309787349</v>
      </c>
      <c r="C57" s="14"/>
      <c r="D57" s="48"/>
      <c r="E57" s="14"/>
      <c r="F57" s="14"/>
      <c r="G57" s="14"/>
    </row>
    <row r="58" spans="2:3" ht="12.75">
      <c r="B58" s="14"/>
      <c r="C58" s="14"/>
    </row>
    <row r="59" spans="1:3" ht="12.75">
      <c r="A59" s="8" t="s">
        <v>11</v>
      </c>
      <c r="B59" s="481">
        <f>IF('3. 2005 Base Rate Schedule'!B58="","",'3. 2005 Base Rate Schedule'!B58)</f>
        <v>11.391009552391258</v>
      </c>
      <c r="C59" s="14"/>
    </row>
    <row r="60" spans="2:3" ht="12.75">
      <c r="B60" s="14">
        <f>IF('3. 2005 Base Rate Schedule'!B59="","",'3. 2005 Base Rate Schedule'!B59+'4. 2003 Data &amp; 2005 PILs'!#REF!)</f>
      </c>
      <c r="C60" s="14"/>
    </row>
    <row r="61" spans="2:3" ht="12.75">
      <c r="B61" s="14"/>
      <c r="C61" s="14"/>
    </row>
    <row r="62" spans="1:3" ht="17.25">
      <c r="A62" s="476" t="s">
        <v>197</v>
      </c>
      <c r="B62" s="476"/>
      <c r="C62" s="52"/>
    </row>
    <row r="63" spans="2:3" ht="12.75">
      <c r="B63" s="14"/>
      <c r="C63" s="14"/>
    </row>
    <row r="64" spans="1:3" ht="12.75">
      <c r="A64" s="8" t="s">
        <v>0</v>
      </c>
      <c r="B64" s="480">
        <f>IF('3. 2005 Base Rate Schedule'!B63="","",'3. 2005 Base Rate Schedule'!B63+'4. 2003 Data &amp; 2005 PILs'!B173)</f>
        <v>0.016229987006664733</v>
      </c>
      <c r="C64" s="14"/>
    </row>
    <row r="65" spans="2:3" ht="12.75">
      <c r="B65" s="14"/>
      <c r="C65" s="14"/>
    </row>
    <row r="66" spans="1:3" ht="12.75">
      <c r="A66" s="8" t="s">
        <v>11</v>
      </c>
      <c r="B66" s="481">
        <f>IF('3. 2005 Base Rate Schedule'!B65="","",'3. 2005 Base Rate Schedule'!B65)</f>
        <v>13.789027515748941</v>
      </c>
      <c r="C66" s="14"/>
    </row>
    <row r="67" spans="2:3" ht="12.75">
      <c r="B67" s="14">
        <f>IF('3. 2005 Base Rate Schedule'!B66="","",'3. 2005 Base Rate Schedule'!B66+'4. 2003 Data &amp; 2005 PILs'!B109)</f>
      </c>
      <c r="C67" s="14"/>
    </row>
    <row r="68" spans="2:3" ht="12.75">
      <c r="B68" s="14">
        <f>IF('3. 2005 Base Rate Schedule'!B67="","",'3. 2005 Base Rate Schedule'!B67+'4. 2003 Data &amp; 2005 PILs'!B110)</f>
      </c>
      <c r="C68" s="14"/>
    </row>
    <row r="69" spans="1:3" ht="17.25">
      <c r="A69" s="476" t="s">
        <v>198</v>
      </c>
      <c r="B69" s="476"/>
      <c r="C69" s="476"/>
    </row>
    <row r="70" spans="2:3" ht="12.75">
      <c r="B70" s="14">
        <f>IF('3. 2005 Base Rate Schedule'!B69="","",'3. 2005 Base Rate Schedule'!B69+'4. 2003 Data &amp; 2005 PILs'!B112)</f>
      </c>
      <c r="C70" s="14"/>
    </row>
    <row r="71" spans="1:4" ht="12.75">
      <c r="A71" s="8" t="s">
        <v>1</v>
      </c>
      <c r="B71" s="480">
        <f>IF('3. 2005 Base Rate Schedule'!B70="","",'4. 2003 Data &amp; 2005 PILs'!B190+'3. 2005 Base Rate Schedule'!B70)</f>
        <v>4.861186387176701</v>
      </c>
      <c r="C71" s="14"/>
      <c r="D71" s="524"/>
    </row>
    <row r="72" spans="2:3" ht="12.75">
      <c r="B72" s="14"/>
      <c r="C72" s="14"/>
    </row>
    <row r="73" spans="1:3" ht="12.75">
      <c r="A73" s="8" t="s">
        <v>11</v>
      </c>
      <c r="B73" s="481">
        <f>IF('3. 2005 Base Rate Schedule'!B72="","",'3. 2005 Base Rate Schedule'!B72)</f>
        <v>25.415302837827074</v>
      </c>
      <c r="C73" s="14"/>
    </row>
    <row r="74" ht="12.75">
      <c r="B74" s="14"/>
    </row>
    <row r="76" ht="12.75">
      <c r="B76" s="14"/>
    </row>
  </sheetData>
  <sheetProtection/>
  <mergeCells count="2">
    <mergeCell ref="A5:C5"/>
    <mergeCell ref="B7:C7"/>
  </mergeCells>
  <printOptions/>
  <pageMargins left="0.7480314960629921" right="0.7480314960629921" top="0.984251968503937" bottom="0.7874015748031497" header="0.5118110236220472" footer="0.5118110236220472"/>
  <pageSetup horizontalDpi="600" verticalDpi="600" orientation="portrait" scale="91" r:id="rId1"/>
  <headerFooter alignWithMargins="0">
    <oddFooter>&amp;LHaldimand County Hydro Inc.
Page &amp;P of &amp;N&amp;R&amp;"Arial,Bold"&amp;F
&amp;A</oddFooter>
  </headerFooter>
  <rowBreaks count="1" manualBreakCount="1">
    <brk id="53" max="3" man="1"/>
  </rowBreaks>
</worksheet>
</file>

<file path=xl/worksheets/sheet7.xml><?xml version="1.0" encoding="utf-8"?>
<worksheet xmlns="http://schemas.openxmlformats.org/spreadsheetml/2006/main" xmlns:r="http://schemas.openxmlformats.org/officeDocument/2006/relationships">
  <dimension ref="A1:F206"/>
  <sheetViews>
    <sheetView view="pageBreakPreview" zoomScale="60" zoomScaleNormal="75" zoomScalePageLayoutView="0" workbookViewId="0" topLeftCell="A1">
      <pane ySplit="1" topLeftCell="A41" activePane="bottomLeft" state="frozen"/>
      <selection pane="topLeft" activeCell="H18" sqref="H18"/>
      <selection pane="bottomLeft" activeCell="D74" sqref="D74"/>
    </sheetView>
  </sheetViews>
  <sheetFormatPr defaultColWidth="9.140625" defaultRowHeight="12.75"/>
  <cols>
    <col min="1" max="1" width="44.8515625" style="8" customWidth="1"/>
    <col min="2" max="2" width="21.8515625" style="8" customWidth="1"/>
    <col min="3" max="3" width="18.140625" style="8" customWidth="1"/>
    <col min="4" max="4" width="17.8515625" style="8" customWidth="1"/>
    <col min="5" max="5" width="2.57421875" style="8" customWidth="1"/>
    <col min="6" max="6" width="17.57421875" style="8" customWidth="1"/>
    <col min="7" max="7" width="9.140625" style="8" customWidth="1"/>
    <col min="8" max="8" width="11.28125" style="8" customWidth="1"/>
    <col min="9" max="9" width="12.140625" style="8" customWidth="1"/>
    <col min="10" max="10" width="13.00390625" style="8" customWidth="1"/>
    <col min="11" max="16384" width="9.140625" style="8" customWidth="1"/>
  </cols>
  <sheetData>
    <row r="1" spans="1:4" ht="17.25">
      <c r="A1" s="36" t="s">
        <v>134</v>
      </c>
      <c r="B1" s="34"/>
      <c r="C1" s="34"/>
      <c r="D1" s="9"/>
    </row>
    <row r="2" ht="13.5" thickBot="1"/>
    <row r="3" spans="1:3" ht="15">
      <c r="A3" s="286" t="str">
        <f>"Name of Utility:      "&amp;'Info Sheet'!B4</f>
        <v>Name of Utility:      Haldimand County Hydro Inc.</v>
      </c>
      <c r="B3" s="442"/>
      <c r="C3" s="441" t="str">
        <f>'Info Sheet'!$B$21</f>
        <v>2005.V1.0</v>
      </c>
    </row>
    <row r="4" spans="1:3" ht="15">
      <c r="A4" s="288" t="str">
        <f>"License Number:   "&amp;'Info Sheet'!B6</f>
        <v>License Number:   ED-2002-0539</v>
      </c>
      <c r="B4" s="444"/>
      <c r="C4" s="380" t="str">
        <f>'Info Sheet'!B8</f>
        <v>RP-2005-0013</v>
      </c>
    </row>
    <row r="5" spans="1:3" ht="18" customHeight="1">
      <c r="A5" s="288" t="str">
        <f>"Name of Contact:  "&amp;'Info Sheet'!B12</f>
        <v>Name of Contact:  Jacqueline Scott - Finance Manager</v>
      </c>
      <c r="B5" s="451"/>
      <c r="C5" s="380" t="str">
        <f>'Info Sheet'!B10</f>
        <v>EB-2005-0034</v>
      </c>
    </row>
    <row r="6" spans="1:3" ht="15">
      <c r="A6" s="289" t="str">
        <f>"E- Mail Address:    "&amp;'Info Sheet'!B14</f>
        <v>E- Mail Address:    jscott@hchydro.ca</v>
      </c>
      <c r="B6" s="444"/>
      <c r="C6" s="449"/>
    </row>
    <row r="7" spans="1:4" ht="21">
      <c r="A7" s="288" t="str">
        <f>"Phone Number:     "&amp;'Info Sheet'!B16</f>
        <v>Phone Number:     905-765-5211</v>
      </c>
      <c r="B7" s="536" t="str">
        <f>'Info Sheet'!$C$16&amp;" "&amp;'Info Sheet'!$D$16</f>
        <v>Extension: 237</v>
      </c>
      <c r="C7" s="548"/>
      <c r="D7" s="12"/>
    </row>
    <row r="8" spans="1:4" ht="21" thickBot="1">
      <c r="A8" s="290" t="str">
        <f>"Date:                      "&amp;('Info Sheet'!B18)</f>
        <v>Date:                      January 14, 2005</v>
      </c>
      <c r="B8" s="446"/>
      <c r="C8" s="452"/>
      <c r="D8" s="12"/>
    </row>
    <row r="9" spans="2:4" ht="12" customHeight="1">
      <c r="B9" s="28"/>
      <c r="C9" s="26"/>
      <c r="D9" s="12"/>
    </row>
    <row r="10" spans="1:4" ht="64.5" customHeight="1">
      <c r="A10" s="547" t="s">
        <v>193</v>
      </c>
      <c r="B10" s="547"/>
      <c r="C10" s="547"/>
      <c r="D10" s="547"/>
    </row>
    <row r="11" spans="1:4" ht="13.5" customHeight="1">
      <c r="A11" s="37"/>
      <c r="B11" s="38"/>
      <c r="C11" s="39"/>
      <c r="D11" s="550" t="s">
        <v>142</v>
      </c>
    </row>
    <row r="12" spans="1:4" ht="15" customHeight="1">
      <c r="A12" s="552" t="s">
        <v>22</v>
      </c>
      <c r="B12" s="550" t="s">
        <v>48</v>
      </c>
      <c r="C12" s="39" t="s">
        <v>147</v>
      </c>
      <c r="D12" s="550"/>
    </row>
    <row r="13" spans="1:4" ht="15" customHeight="1">
      <c r="A13" s="553"/>
      <c r="B13" s="551"/>
      <c r="C13" s="40"/>
      <c r="D13" s="551"/>
    </row>
    <row r="14" spans="1:5" ht="14.25" customHeight="1">
      <c r="A14" s="41"/>
      <c r="C14" s="42"/>
      <c r="E14" s="14"/>
    </row>
    <row r="15" spans="1:5" ht="16.5" customHeight="1" thickBot="1">
      <c r="A15" s="10"/>
      <c r="B15" s="16"/>
      <c r="C15" s="16"/>
      <c r="D15" s="43"/>
      <c r="E15" s="14"/>
    </row>
    <row r="16" spans="1:5" ht="13.5">
      <c r="A16" s="308" t="s">
        <v>23</v>
      </c>
      <c r="B16" s="309">
        <v>1580</v>
      </c>
      <c r="C16" s="310"/>
      <c r="D16" s="311">
        <f>646367.47+56200.41+12480.06</f>
        <v>715047.9400000001</v>
      </c>
      <c r="E16" s="14"/>
    </row>
    <row r="17" spans="1:5" ht="13.5">
      <c r="A17" s="312" t="s">
        <v>27</v>
      </c>
      <c r="B17" s="57">
        <v>1582</v>
      </c>
      <c r="C17" s="58"/>
      <c r="D17" s="313">
        <f>0+0</f>
        <v>0</v>
      </c>
      <c r="E17" s="14"/>
    </row>
    <row r="18" spans="1:5" ht="13.5">
      <c r="A18" s="312" t="s">
        <v>24</v>
      </c>
      <c r="B18" s="57">
        <v>1584</v>
      </c>
      <c r="C18" s="58"/>
      <c r="D18" s="313">
        <f>-162713.27+7857.1</f>
        <v>-154856.16999999998</v>
      </c>
      <c r="E18" s="14"/>
    </row>
    <row r="19" spans="1:5" ht="13.5">
      <c r="A19" s="312" t="s">
        <v>25</v>
      </c>
      <c r="B19" s="57">
        <v>1586</v>
      </c>
      <c r="C19" s="58"/>
      <c r="D19" s="313">
        <f>-250078.09-1586.76</f>
        <v>-251664.85</v>
      </c>
      <c r="E19" s="14"/>
    </row>
    <row r="20" spans="1:5" ht="13.5">
      <c r="A20" s="312" t="s">
        <v>26</v>
      </c>
      <c r="B20" s="57">
        <v>1588</v>
      </c>
      <c r="C20" s="58"/>
      <c r="D20" s="313">
        <f>964815.61-267420.98</f>
        <v>697394.63</v>
      </c>
      <c r="E20" s="14"/>
    </row>
    <row r="21" spans="1:5" ht="13.5">
      <c r="A21" s="314" t="s">
        <v>106</v>
      </c>
      <c r="B21" s="315"/>
      <c r="C21" s="316"/>
      <c r="D21" s="317">
        <f>SUM(D16:D20)</f>
        <v>1005921.55</v>
      </c>
      <c r="E21" s="14"/>
    </row>
    <row r="22" spans="1:5" ht="13.5">
      <c r="A22" s="100"/>
      <c r="B22" s="306"/>
      <c r="C22" s="20"/>
      <c r="D22" s="86"/>
      <c r="E22" s="14"/>
    </row>
    <row r="23" spans="1:5" ht="13.5">
      <c r="A23" s="549" t="s">
        <v>181</v>
      </c>
      <c r="B23" s="541"/>
      <c r="C23" s="541"/>
      <c r="D23" s="313">
        <v>888975.0654545453</v>
      </c>
      <c r="E23" s="14"/>
    </row>
    <row r="24" spans="1:5" ht="13.5">
      <c r="A24" s="100"/>
      <c r="B24" s="306"/>
      <c r="C24" s="20"/>
      <c r="D24" s="86"/>
      <c r="E24" s="14"/>
    </row>
    <row r="25" spans="1:5" ht="14.25" thickBot="1">
      <c r="A25" s="318" t="s">
        <v>108</v>
      </c>
      <c r="B25" s="319"/>
      <c r="C25" s="320"/>
      <c r="D25" s="321">
        <f>D21-D23</f>
        <v>116946.48454545473</v>
      </c>
      <c r="E25" s="14"/>
    </row>
    <row r="26" ht="13.5" thickBot="1"/>
    <row r="27" spans="1:5" ht="13.5">
      <c r="A27" s="308" t="s">
        <v>28</v>
      </c>
      <c r="B27" s="309">
        <v>1508</v>
      </c>
      <c r="C27" s="310"/>
      <c r="D27" s="525">
        <v>0</v>
      </c>
      <c r="E27" s="14"/>
    </row>
    <row r="28" spans="1:5" ht="13.5">
      <c r="A28" s="322" t="s">
        <v>29</v>
      </c>
      <c r="B28" s="59">
        <v>1518</v>
      </c>
      <c r="C28" s="60"/>
      <c r="D28" s="525">
        <v>110983.81</v>
      </c>
      <c r="E28" s="14"/>
    </row>
    <row r="29" spans="1:5" ht="13.5">
      <c r="A29" s="322" t="s">
        <v>30</v>
      </c>
      <c r="B29" s="59">
        <v>1548</v>
      </c>
      <c r="C29" s="61"/>
      <c r="D29" s="525">
        <v>10366.82</v>
      </c>
      <c r="E29" s="14"/>
    </row>
    <row r="30" spans="1:5" ht="13.5">
      <c r="A30" s="322" t="s">
        <v>31</v>
      </c>
      <c r="B30" s="59">
        <v>1525</v>
      </c>
      <c r="C30" s="60"/>
      <c r="D30" s="525">
        <v>57115.82</v>
      </c>
      <c r="E30" s="14"/>
    </row>
    <row r="31" spans="1:5" ht="13.5">
      <c r="A31" s="322" t="s">
        <v>32</v>
      </c>
      <c r="B31" s="59">
        <v>1562</v>
      </c>
      <c r="C31" s="60"/>
      <c r="D31" s="525">
        <v>-360322.89</v>
      </c>
      <c r="E31" s="14"/>
    </row>
    <row r="32" spans="1:5" ht="14.25">
      <c r="A32" s="323" t="s">
        <v>45</v>
      </c>
      <c r="B32" s="59">
        <v>1563</v>
      </c>
      <c r="C32" s="60"/>
      <c r="D32" s="525"/>
      <c r="E32" s="14"/>
    </row>
    <row r="33" spans="1:5" ht="13.5">
      <c r="A33" s="322" t="s">
        <v>33</v>
      </c>
      <c r="B33" s="59">
        <v>1570</v>
      </c>
      <c r="C33" s="60"/>
      <c r="D33" s="525">
        <v>861477.14</v>
      </c>
      <c r="E33" s="14"/>
    </row>
    <row r="34" spans="1:5" ht="13.5">
      <c r="A34" s="322" t="s">
        <v>42</v>
      </c>
      <c r="B34" s="59">
        <v>1571</v>
      </c>
      <c r="C34" s="60"/>
      <c r="D34" s="525">
        <v>640629.35</v>
      </c>
      <c r="E34" s="14"/>
    </row>
    <row r="35" spans="1:5" ht="13.5">
      <c r="A35" s="322" t="s">
        <v>34</v>
      </c>
      <c r="B35" s="59">
        <v>1572</v>
      </c>
      <c r="C35" s="60"/>
      <c r="D35" s="525">
        <v>0</v>
      </c>
      <c r="E35" s="14"/>
    </row>
    <row r="36" spans="1:5" ht="13.5">
      <c r="A36" s="322" t="s">
        <v>35</v>
      </c>
      <c r="B36" s="59">
        <v>1574</v>
      </c>
      <c r="C36" s="62"/>
      <c r="D36" s="525">
        <v>0</v>
      </c>
      <c r="E36" s="14"/>
    </row>
    <row r="37" spans="1:5" ht="13.5">
      <c r="A37" s="322" t="s">
        <v>36</v>
      </c>
      <c r="B37" s="59">
        <v>2425</v>
      </c>
      <c r="C37" s="62"/>
      <c r="D37" s="526">
        <v>0</v>
      </c>
      <c r="E37" s="14"/>
    </row>
    <row r="38" spans="1:5" ht="13.5">
      <c r="A38" s="314" t="s">
        <v>107</v>
      </c>
      <c r="B38" s="315"/>
      <c r="C38" s="316"/>
      <c r="D38" s="317">
        <f>SUM(D27:D37)</f>
        <v>1320250.0499999998</v>
      </c>
      <c r="E38" s="14"/>
    </row>
    <row r="39" spans="1:5" ht="13.5">
      <c r="A39" s="91"/>
      <c r="B39" s="306"/>
      <c r="C39" s="69"/>
      <c r="D39" s="324"/>
      <c r="E39" s="14"/>
    </row>
    <row r="40" spans="1:5" ht="13.5">
      <c r="A40" s="549" t="s">
        <v>182</v>
      </c>
      <c r="B40" s="541"/>
      <c r="C40" s="541"/>
      <c r="D40" s="313">
        <v>4718.9918181817475</v>
      </c>
      <c r="E40" s="14"/>
    </row>
    <row r="41" spans="1:5" ht="13.5">
      <c r="A41" s="100"/>
      <c r="B41" s="306"/>
      <c r="C41" s="20"/>
      <c r="D41" s="86"/>
      <c r="E41" s="14"/>
    </row>
    <row r="42" spans="1:5" ht="14.25" thickBot="1">
      <c r="A42" s="318" t="s">
        <v>109</v>
      </c>
      <c r="B42" s="319"/>
      <c r="C42" s="320"/>
      <c r="D42" s="321">
        <f>D38-D40</f>
        <v>1315531.058181818</v>
      </c>
      <c r="E42" s="14"/>
    </row>
    <row r="43" spans="1:5" ht="14.25" thickBot="1">
      <c r="A43" s="244"/>
      <c r="B43" s="306"/>
      <c r="C43" s="20"/>
      <c r="D43" s="307"/>
      <c r="E43" s="14"/>
    </row>
    <row r="44" spans="1:5" ht="14.25" thickBot="1">
      <c r="A44" s="63" t="s">
        <v>101</v>
      </c>
      <c r="B44" s="64"/>
      <c r="C44" s="76"/>
      <c r="D44" s="65">
        <f>D25+D42</f>
        <v>1432477.542727273</v>
      </c>
      <c r="E44" s="14"/>
    </row>
    <row r="45" spans="1:5" ht="14.25" thickTop="1">
      <c r="A45" s="10"/>
      <c r="B45" s="45"/>
      <c r="C45" s="77"/>
      <c r="D45" s="43"/>
      <c r="E45" s="14"/>
    </row>
    <row r="46" spans="1:5" ht="14.25" thickBot="1">
      <c r="A46" s="329"/>
      <c r="B46" s="330"/>
      <c r="C46" s="331"/>
      <c r="D46" s="332"/>
      <c r="E46" s="14"/>
    </row>
    <row r="47" spans="1:5" ht="15" thickBot="1" thickTop="1">
      <c r="A47" s="325" t="s">
        <v>102</v>
      </c>
      <c r="B47" s="326"/>
      <c r="C47" s="327"/>
      <c r="D47" s="328">
        <f>D44*1/3</f>
        <v>477492.51424242434</v>
      </c>
      <c r="E47" s="14"/>
    </row>
    <row r="48" spans="1:5" ht="14.25" thickTop="1">
      <c r="A48" s="10"/>
      <c r="B48" s="45"/>
      <c r="C48" s="77"/>
      <c r="D48" s="43"/>
      <c r="E48" s="14"/>
    </row>
    <row r="49" spans="1:6" ht="6" customHeight="1">
      <c r="A49" s="46"/>
      <c r="B49" s="47"/>
      <c r="C49" s="78"/>
      <c r="D49" s="44"/>
      <c r="E49" s="14"/>
      <c r="F49" s="17"/>
    </row>
    <row r="50" spans="1:6" ht="8.25" customHeight="1">
      <c r="A50" s="67"/>
      <c r="E50" s="14"/>
      <c r="F50" s="17"/>
    </row>
    <row r="51" spans="1:6" ht="17.25">
      <c r="A51" s="556" t="str">
        <f>IF(D47&gt;D25,"---------------------------------------- Please go to Section 2 ----------------------------------------",IF(D47&lt;D25,"---------------------------------------- Please go to Section 1 ----------------------------------------",""))</f>
        <v>---------------------------------------- Please go to Section 2 ----------------------------------------</v>
      </c>
      <c r="B51" s="556"/>
      <c r="C51" s="556"/>
      <c r="D51" s="556"/>
      <c r="E51" s="14"/>
      <c r="F51" s="17"/>
    </row>
    <row r="52" spans="1:6" ht="17.25">
      <c r="A52" s="66"/>
      <c r="E52" s="14"/>
      <c r="F52" s="17"/>
    </row>
    <row r="53" spans="1:6" ht="13.5" thickBot="1">
      <c r="A53" s="30"/>
      <c r="B53" s="30"/>
      <c r="E53" s="14"/>
      <c r="F53" s="17"/>
    </row>
    <row r="54" spans="1:5" ht="13.5">
      <c r="A54" s="81" t="s">
        <v>110</v>
      </c>
      <c r="B54" s="96"/>
      <c r="C54" s="83"/>
      <c r="D54" s="84"/>
      <c r="E54" s="14"/>
    </row>
    <row r="55" spans="1:5" ht="13.5">
      <c r="A55" s="97"/>
      <c r="B55" s="30"/>
      <c r="C55" s="19"/>
      <c r="D55" s="86"/>
      <c r="E55" s="14"/>
    </row>
    <row r="56" spans="1:5" ht="12.75">
      <c r="A56" s="85"/>
      <c r="B56" s="49"/>
      <c r="C56" s="19"/>
      <c r="D56" s="88"/>
      <c r="E56" s="14"/>
    </row>
    <row r="57" spans="1:5" ht="31.5" customHeight="1">
      <c r="A57" s="557" t="s">
        <v>112</v>
      </c>
      <c r="B57" s="558"/>
      <c r="C57" s="72" t="s">
        <v>43</v>
      </c>
      <c r="D57" s="101" t="str">
        <f>IF(D47&lt;D25,D25,"N/A")</f>
        <v>N/A</v>
      </c>
      <c r="E57" s="14"/>
    </row>
    <row r="58" spans="1:6" ht="13.5">
      <c r="A58" s="87"/>
      <c r="B58" s="20"/>
      <c r="C58" s="20"/>
      <c r="D58" s="86"/>
      <c r="E58" s="14"/>
      <c r="F58" s="21"/>
    </row>
    <row r="59" spans="1:6" ht="13.5">
      <c r="A59" s="549" t="s">
        <v>102</v>
      </c>
      <c r="B59" s="541"/>
      <c r="C59" s="72" t="s">
        <v>44</v>
      </c>
      <c r="D59" s="101" t="str">
        <f>IF(D47&lt;D25,D47,"N/A")</f>
        <v>N/A</v>
      </c>
      <c r="E59" s="14"/>
      <c r="F59" s="20"/>
    </row>
    <row r="60" spans="1:6" ht="14.25" thickBot="1">
      <c r="A60" s="91"/>
      <c r="B60" s="20"/>
      <c r="C60" s="20"/>
      <c r="D60" s="98"/>
      <c r="E60" s="14"/>
      <c r="F60" s="10"/>
    </row>
    <row r="61" spans="1:6" ht="14.25" thickBot="1">
      <c r="A61" s="87" t="s">
        <v>116</v>
      </c>
      <c r="B61" s="20"/>
      <c r="C61" s="20"/>
      <c r="D61" s="103" t="str">
        <f>IF(D47&lt;D25,D57-D59,"N/A")</f>
        <v>N/A</v>
      </c>
      <c r="E61" s="14"/>
      <c r="F61" s="10"/>
    </row>
    <row r="62" spans="1:5" ht="13.5" thickTop="1">
      <c r="A62" s="85"/>
      <c r="B62" s="30"/>
      <c r="C62" s="30"/>
      <c r="D62" s="99"/>
      <c r="E62" s="14"/>
    </row>
    <row r="63" spans="1:5" ht="13.5" thickBot="1">
      <c r="A63" s="93"/>
      <c r="B63" s="94"/>
      <c r="C63" s="94"/>
      <c r="D63" s="95"/>
      <c r="E63" s="14"/>
    </row>
    <row r="64" spans="2:5" ht="12.75">
      <c r="B64" s="14"/>
      <c r="C64" s="14"/>
      <c r="D64" s="48"/>
      <c r="E64" s="14"/>
    </row>
    <row r="65" spans="1:5" ht="13.5">
      <c r="A65" s="46"/>
      <c r="B65" s="14"/>
      <c r="C65" s="14"/>
      <c r="D65" s="48"/>
      <c r="E65" s="14"/>
    </row>
    <row r="66" spans="1:5" ht="12" customHeight="1" thickBot="1">
      <c r="A66" s="80"/>
      <c r="B66" s="51"/>
      <c r="C66" s="52"/>
      <c r="D66" s="48"/>
      <c r="E66" s="14"/>
    </row>
    <row r="67" spans="1:5" ht="13.5">
      <c r="A67" s="81" t="s">
        <v>111</v>
      </c>
      <c r="B67" s="82"/>
      <c r="C67" s="83"/>
      <c r="D67" s="84"/>
      <c r="E67" s="14"/>
    </row>
    <row r="68" spans="1:5" ht="13.5">
      <c r="A68" s="85"/>
      <c r="B68" s="19"/>
      <c r="C68" s="19"/>
      <c r="D68" s="86"/>
      <c r="E68" s="14"/>
    </row>
    <row r="69" spans="1:5" ht="13.5">
      <c r="A69" s="87"/>
      <c r="B69" s="49"/>
      <c r="C69" s="19"/>
      <c r="D69" s="88"/>
      <c r="E69" s="14"/>
    </row>
    <row r="70" spans="1:5" ht="13.5">
      <c r="A70" s="557" t="s">
        <v>113</v>
      </c>
      <c r="B70" s="558"/>
      <c r="C70" s="72"/>
      <c r="D70" s="101">
        <f>IF(D47&gt;D25,D47,"N/A")</f>
        <v>477492.51424242434</v>
      </c>
      <c r="E70" s="14"/>
    </row>
    <row r="71" spans="1:5" ht="13.5">
      <c r="A71" s="87"/>
      <c r="B71" s="20"/>
      <c r="C71" s="73"/>
      <c r="D71" s="89"/>
      <c r="E71" s="14"/>
    </row>
    <row r="72" spans="1:5" ht="13.5">
      <c r="A72" s="549" t="s">
        <v>112</v>
      </c>
      <c r="B72" s="541"/>
      <c r="C72" s="72"/>
      <c r="D72" s="102">
        <f>IF(D47&gt;D25,D25,"N/A")</f>
        <v>116946.48454545473</v>
      </c>
      <c r="E72" s="14"/>
    </row>
    <row r="73" spans="1:6" ht="13.5">
      <c r="A73" s="87"/>
      <c r="B73" s="20"/>
      <c r="C73" s="73"/>
      <c r="D73" s="90"/>
      <c r="E73" s="14"/>
      <c r="F73" s="20"/>
    </row>
    <row r="74" spans="1:6" ht="13.5">
      <c r="A74" s="549" t="s">
        <v>115</v>
      </c>
      <c r="B74" s="541"/>
      <c r="C74" s="74"/>
      <c r="D74" s="102">
        <f>IF(D47&gt;D25,D72,"N/A")</f>
        <v>116946.48454545473</v>
      </c>
      <c r="E74" s="14"/>
      <c r="F74" s="10"/>
    </row>
    <row r="75" spans="1:5" ht="13.5">
      <c r="A75" s="91"/>
      <c r="B75" s="20"/>
      <c r="C75" s="73"/>
      <c r="D75" s="92"/>
      <c r="E75" s="14"/>
    </row>
    <row r="76" spans="1:5" ht="13.5">
      <c r="A76" s="549" t="s">
        <v>114</v>
      </c>
      <c r="B76" s="541"/>
      <c r="C76" s="75"/>
      <c r="D76" s="102">
        <f>IF(D47&gt;D25,D70-D74,"N/A")</f>
        <v>360546.0296969696</v>
      </c>
      <c r="E76" s="14"/>
    </row>
    <row r="77" spans="1:6" ht="13.5">
      <c r="A77" s="87"/>
      <c r="B77" s="20"/>
      <c r="C77" s="20"/>
      <c r="D77" s="90"/>
      <c r="E77" s="14"/>
      <c r="F77" s="21"/>
    </row>
    <row r="78" spans="1:5" ht="13.5" thickBot="1">
      <c r="A78" s="93"/>
      <c r="B78" s="94"/>
      <c r="C78" s="94"/>
      <c r="D78" s="95"/>
      <c r="E78" s="14"/>
    </row>
    <row r="79" spans="2:5" ht="12.75">
      <c r="B79" s="14"/>
      <c r="C79" s="14"/>
      <c r="D79" s="48"/>
      <c r="E79" s="14"/>
    </row>
    <row r="80" spans="2:5" ht="12.75">
      <c r="B80" s="14"/>
      <c r="C80" s="14"/>
      <c r="D80" s="48"/>
      <c r="E80" s="14"/>
    </row>
    <row r="81" spans="1:5" ht="14.25" customHeight="1">
      <c r="A81" s="53" t="s">
        <v>46</v>
      </c>
      <c r="B81" s="51"/>
      <c r="C81" s="52"/>
      <c r="D81" s="23"/>
      <c r="E81" s="14"/>
    </row>
    <row r="82" spans="2:5" ht="12.75">
      <c r="B82" s="14"/>
      <c r="C82" s="14"/>
      <c r="D82" s="15"/>
      <c r="E82" s="14"/>
    </row>
    <row r="83" spans="1:5" ht="24.75" customHeight="1">
      <c r="A83" s="554" t="s">
        <v>55</v>
      </c>
      <c r="B83" s="554"/>
      <c r="C83" s="18"/>
      <c r="D83" s="79"/>
      <c r="E83" s="14"/>
    </row>
    <row r="84" spans="1:5" ht="21" customHeight="1">
      <c r="A84" s="555"/>
      <c r="B84" s="555"/>
      <c r="C84" s="22"/>
      <c r="D84" s="50"/>
      <c r="E84" s="14"/>
    </row>
    <row r="85" spans="2:5" ht="12.75">
      <c r="B85" s="48"/>
      <c r="C85" s="14"/>
      <c r="D85" s="48"/>
      <c r="E85" s="14"/>
    </row>
    <row r="86" spans="2:5" ht="12.75">
      <c r="B86" s="14"/>
      <c r="C86" s="14"/>
      <c r="D86" s="48"/>
      <c r="E86" s="14"/>
    </row>
    <row r="87" spans="1:5" ht="23.25" customHeight="1">
      <c r="A87" s="554" t="s">
        <v>56</v>
      </c>
      <c r="B87" s="554"/>
      <c r="C87" s="18"/>
      <c r="D87" s="79"/>
      <c r="E87" s="14"/>
    </row>
    <row r="88" spans="1:5" ht="24.75" customHeight="1">
      <c r="A88" s="555"/>
      <c r="B88" s="555"/>
      <c r="C88" s="22"/>
      <c r="D88" s="50"/>
      <c r="E88" s="14"/>
    </row>
    <row r="89" spans="2:5" ht="12.75">
      <c r="B89" s="14"/>
      <c r="C89" s="14"/>
      <c r="D89" s="48"/>
      <c r="E89" s="14"/>
    </row>
    <row r="90" spans="2:5" ht="12.75">
      <c r="B90" s="14"/>
      <c r="C90" s="14"/>
      <c r="D90" s="48"/>
      <c r="E90" s="14"/>
    </row>
    <row r="91" spans="2:5" ht="12.75">
      <c r="B91" s="14"/>
      <c r="C91" s="14"/>
      <c r="D91" s="48"/>
      <c r="E91" s="14"/>
    </row>
    <row r="92" spans="2:5" ht="12.75">
      <c r="B92" s="14"/>
      <c r="C92" s="14"/>
      <c r="D92" s="48"/>
      <c r="E92" s="14"/>
    </row>
    <row r="93" spans="1:5" ht="17.25">
      <c r="A93" s="54"/>
      <c r="B93" s="51"/>
      <c r="C93" s="52"/>
      <c r="D93" s="48"/>
      <c r="E93" s="14"/>
    </row>
    <row r="94" spans="1:5" ht="17.25">
      <c r="A94" s="7"/>
      <c r="B94" s="14"/>
      <c r="C94" s="14"/>
      <c r="D94" s="48"/>
      <c r="E94" s="14"/>
    </row>
    <row r="95" spans="2:5" ht="12.75">
      <c r="B95" s="14"/>
      <c r="C95" s="14"/>
      <c r="D95" s="48"/>
      <c r="E95" s="14"/>
    </row>
    <row r="96" spans="2:5" ht="12.75">
      <c r="B96" s="14"/>
      <c r="C96" s="14"/>
      <c r="D96" s="48"/>
      <c r="E96" s="14"/>
    </row>
    <row r="97" spans="2:5" ht="12.75">
      <c r="B97" s="48"/>
      <c r="C97" s="14"/>
      <c r="D97" s="48"/>
      <c r="E97" s="14"/>
    </row>
    <row r="98" spans="2:5" ht="12.75">
      <c r="B98" s="14"/>
      <c r="C98" s="14"/>
      <c r="D98" s="48"/>
      <c r="E98" s="14"/>
    </row>
    <row r="99" spans="2:5" ht="12.75">
      <c r="B99" s="15"/>
      <c r="C99" s="15"/>
      <c r="D99" s="15"/>
      <c r="E99" s="15"/>
    </row>
    <row r="100" spans="2:5" ht="12.75">
      <c r="B100" s="15"/>
      <c r="C100" s="15"/>
      <c r="D100" s="15"/>
      <c r="E100" s="15"/>
    </row>
    <row r="101" spans="2:5" ht="12.75">
      <c r="B101" s="15"/>
      <c r="C101" s="15"/>
      <c r="D101" s="15"/>
      <c r="E101" s="15"/>
    </row>
    <row r="102" spans="1:5" ht="12.75" customHeight="1">
      <c r="A102" s="7"/>
      <c r="B102" s="24"/>
      <c r="C102" s="24"/>
      <c r="D102" s="15"/>
      <c r="E102" s="15"/>
    </row>
    <row r="103" spans="1:5" ht="12.75" customHeight="1">
      <c r="A103" s="7"/>
      <c r="B103" s="14"/>
      <c r="C103" s="14"/>
      <c r="D103" s="14"/>
      <c r="E103" s="14"/>
    </row>
    <row r="104" spans="1:5" ht="12.75" customHeight="1">
      <c r="A104" s="7"/>
      <c r="B104" s="14"/>
      <c r="C104" s="14"/>
      <c r="D104" s="14"/>
      <c r="E104" s="14"/>
    </row>
    <row r="105" spans="1:5" ht="11.25" customHeight="1">
      <c r="A105" s="7"/>
      <c r="B105" s="14"/>
      <c r="C105" s="14"/>
      <c r="D105" s="48"/>
      <c r="E105" s="14"/>
    </row>
    <row r="106" spans="1:5" ht="17.25">
      <c r="A106" s="54"/>
      <c r="B106" s="14"/>
      <c r="C106" s="14"/>
      <c r="D106" s="48"/>
      <c r="E106" s="14"/>
    </row>
    <row r="107" spans="2:5" ht="12.75">
      <c r="B107" s="14"/>
      <c r="C107" s="14"/>
      <c r="D107" s="48"/>
      <c r="E107" s="14"/>
    </row>
    <row r="108" spans="2:5" ht="12.75">
      <c r="B108" s="14"/>
      <c r="C108" s="14"/>
      <c r="D108" s="48"/>
      <c r="E108" s="14"/>
    </row>
    <row r="109" spans="2:5" ht="12.75">
      <c r="B109" s="14"/>
      <c r="C109" s="14"/>
      <c r="D109" s="48"/>
      <c r="E109" s="14"/>
    </row>
    <row r="110" spans="2:5" ht="12.75">
      <c r="B110" s="48"/>
      <c r="C110" s="14"/>
      <c r="D110" s="48"/>
      <c r="E110" s="14"/>
    </row>
    <row r="111" spans="2:5" ht="12.75">
      <c r="B111" s="14"/>
      <c r="C111" s="14"/>
      <c r="D111" s="48"/>
      <c r="E111" s="14"/>
    </row>
    <row r="112" spans="2:5" ht="12.75">
      <c r="B112" s="15"/>
      <c r="C112" s="15"/>
      <c r="D112" s="15"/>
      <c r="E112" s="15"/>
    </row>
    <row r="113" spans="2:5" ht="12.75">
      <c r="B113" s="15"/>
      <c r="C113" s="15"/>
      <c r="D113" s="15"/>
      <c r="E113" s="15"/>
    </row>
    <row r="114" spans="2:5" ht="12.75">
      <c r="B114" s="15"/>
      <c r="C114" s="15"/>
      <c r="D114" s="15"/>
      <c r="E114" s="15"/>
    </row>
    <row r="115" spans="1:5" ht="12.75">
      <c r="A115" s="11"/>
      <c r="B115" s="24"/>
      <c r="C115" s="24"/>
      <c r="D115" s="15"/>
      <c r="E115" s="15"/>
    </row>
    <row r="116" spans="2:5" ht="12.75">
      <c r="B116" s="14"/>
      <c r="C116" s="14"/>
      <c r="D116" s="48"/>
      <c r="E116" s="14"/>
    </row>
    <row r="117" spans="2:5" ht="12.75">
      <c r="B117" s="14"/>
      <c r="C117" s="14"/>
      <c r="D117" s="48"/>
      <c r="E117" s="14"/>
    </row>
    <row r="118" spans="2:5" ht="12.75">
      <c r="B118" s="14"/>
      <c r="C118" s="14"/>
      <c r="D118" s="48"/>
      <c r="E118" s="14"/>
    </row>
    <row r="119" spans="1:5" ht="17.25">
      <c r="A119" s="54"/>
      <c r="B119" s="14"/>
      <c r="C119" s="14"/>
      <c r="D119" s="48"/>
      <c r="E119" s="14"/>
    </row>
    <row r="120" spans="2:5" ht="12.75">
      <c r="B120" s="14"/>
      <c r="C120" s="14"/>
      <c r="D120" s="48"/>
      <c r="E120" s="14"/>
    </row>
    <row r="121" spans="2:5" ht="12.75">
      <c r="B121" s="14"/>
      <c r="C121" s="14"/>
      <c r="D121" s="48"/>
      <c r="E121" s="14"/>
    </row>
    <row r="122" spans="2:5" ht="12.75">
      <c r="B122" s="14"/>
      <c r="C122" s="14"/>
      <c r="D122" s="48"/>
      <c r="E122" s="14"/>
    </row>
    <row r="123" spans="2:5" ht="12.75">
      <c r="B123" s="48"/>
      <c r="C123" s="14"/>
      <c r="D123" s="48"/>
      <c r="E123" s="14"/>
    </row>
    <row r="124" spans="2:5" ht="12.75">
      <c r="B124" s="14"/>
      <c r="C124" s="14"/>
      <c r="D124" s="48"/>
      <c r="E124" s="14"/>
    </row>
    <row r="125" spans="2:5" ht="12.75">
      <c r="B125" s="15"/>
      <c r="C125" s="15"/>
      <c r="D125" s="15"/>
      <c r="E125" s="15"/>
    </row>
    <row r="126" spans="2:5" ht="12.75">
      <c r="B126" s="15"/>
      <c r="C126" s="15"/>
      <c r="D126" s="15"/>
      <c r="E126" s="15"/>
    </row>
    <row r="127" spans="2:5" ht="12.75">
      <c r="B127" s="15"/>
      <c r="C127" s="15"/>
      <c r="D127" s="15"/>
      <c r="E127" s="15"/>
    </row>
    <row r="128" spans="1:5" ht="12.75">
      <c r="A128" s="11"/>
      <c r="B128" s="15"/>
      <c r="C128" s="15"/>
      <c r="D128" s="15"/>
      <c r="E128" s="15"/>
    </row>
    <row r="129" spans="1:5" ht="12.75">
      <c r="A129" s="11"/>
      <c r="B129" s="14"/>
      <c r="C129" s="14"/>
      <c r="D129" s="14"/>
      <c r="E129" s="14"/>
    </row>
    <row r="130" spans="1:5" ht="12.75">
      <c r="A130" s="11"/>
      <c r="B130" s="14"/>
      <c r="C130" s="14"/>
      <c r="D130" s="14"/>
      <c r="E130" s="14"/>
    </row>
    <row r="131" spans="3:5" ht="12.75">
      <c r="C131" s="14"/>
      <c r="E131" s="14"/>
    </row>
    <row r="132" spans="1:5" ht="17.25">
      <c r="A132" s="54"/>
      <c r="B132" s="14"/>
      <c r="C132" s="14"/>
      <c r="D132" s="48"/>
      <c r="E132" s="14"/>
    </row>
    <row r="133" spans="2:5" ht="12.75">
      <c r="B133" s="14"/>
      <c r="C133" s="14"/>
      <c r="D133" s="48"/>
      <c r="E133" s="14"/>
    </row>
    <row r="134" spans="2:5" ht="12.75">
      <c r="B134" s="14"/>
      <c r="C134" s="14"/>
      <c r="D134" s="48"/>
      <c r="E134" s="14"/>
    </row>
    <row r="135" spans="2:5" ht="12.75">
      <c r="B135" s="14"/>
      <c r="C135" s="14"/>
      <c r="D135" s="48"/>
      <c r="E135" s="14"/>
    </row>
    <row r="136" spans="2:5" ht="12.75">
      <c r="B136" s="48"/>
      <c r="C136" s="14"/>
      <c r="D136" s="48"/>
      <c r="E136" s="14"/>
    </row>
    <row r="137" spans="2:5" ht="12.75">
      <c r="B137" s="14"/>
      <c r="C137" s="14"/>
      <c r="D137" s="48"/>
      <c r="E137" s="14"/>
    </row>
    <row r="138" spans="2:5" ht="12.75">
      <c r="B138" s="14"/>
      <c r="C138" s="14"/>
      <c r="D138" s="48"/>
      <c r="E138" s="14"/>
    </row>
    <row r="139" spans="2:5" ht="12.75">
      <c r="B139" s="14"/>
      <c r="C139" s="14"/>
      <c r="D139" s="48"/>
      <c r="E139" s="14"/>
    </row>
    <row r="140" spans="1:5" ht="12.75">
      <c r="A140" s="11"/>
      <c r="B140" s="14"/>
      <c r="C140" s="14"/>
      <c r="D140" s="48"/>
      <c r="E140" s="14"/>
    </row>
    <row r="141" spans="2:5" ht="12.75">
      <c r="B141" s="14"/>
      <c r="C141" s="14"/>
      <c r="D141" s="48"/>
      <c r="E141" s="14"/>
    </row>
    <row r="142" spans="1:5" ht="17.25">
      <c r="A142" s="54"/>
      <c r="B142" s="14"/>
      <c r="C142" s="14"/>
      <c r="D142" s="48"/>
      <c r="E142" s="14"/>
    </row>
    <row r="143" spans="2:5" ht="12.75">
      <c r="B143" s="14"/>
      <c r="C143" s="14"/>
      <c r="D143" s="48"/>
      <c r="E143" s="14"/>
    </row>
    <row r="144" spans="2:5" ht="12.75">
      <c r="B144" s="14"/>
      <c r="C144" s="14"/>
      <c r="D144" s="48"/>
      <c r="E144" s="14"/>
    </row>
    <row r="145" spans="2:5" ht="12.75">
      <c r="B145" s="14"/>
      <c r="C145" s="14"/>
      <c r="D145" s="48"/>
      <c r="E145" s="14"/>
    </row>
    <row r="146" spans="2:5" ht="12.75">
      <c r="B146" s="48"/>
      <c r="C146" s="14"/>
      <c r="D146" s="48"/>
      <c r="E146" s="14"/>
    </row>
    <row r="147" spans="2:5" ht="12.75">
      <c r="B147" s="14"/>
      <c r="C147" s="14"/>
      <c r="D147" s="48"/>
      <c r="E147" s="14"/>
    </row>
    <row r="148" spans="2:5" ht="12.75">
      <c r="B148" s="15"/>
      <c r="C148" s="15"/>
      <c r="D148" s="48"/>
      <c r="E148" s="14"/>
    </row>
    <row r="149" spans="2:5" ht="12.75">
      <c r="B149" s="15"/>
      <c r="C149" s="15"/>
      <c r="D149" s="48"/>
      <c r="E149" s="14"/>
    </row>
    <row r="150" spans="2:5" ht="12.75">
      <c r="B150" s="15"/>
      <c r="C150" s="15"/>
      <c r="D150" s="48"/>
      <c r="E150" s="14"/>
    </row>
    <row r="151" spans="1:5" ht="12.75" customHeight="1">
      <c r="A151" s="7"/>
      <c r="B151" s="14"/>
      <c r="C151" s="14"/>
      <c r="D151" s="48"/>
      <c r="E151" s="14"/>
    </row>
    <row r="152" spans="1:5" ht="14.25" customHeight="1">
      <c r="A152" s="7"/>
      <c r="B152" s="14"/>
      <c r="C152" s="14"/>
      <c r="D152" s="48"/>
      <c r="E152" s="14"/>
    </row>
    <row r="153" spans="2:5" ht="12.75">
      <c r="B153" s="14"/>
      <c r="C153" s="14"/>
      <c r="D153" s="48"/>
      <c r="E153" s="14"/>
    </row>
    <row r="154" spans="1:5" ht="17.25">
      <c r="A154" s="54"/>
      <c r="B154" s="14"/>
      <c r="C154" s="14"/>
      <c r="D154" s="48"/>
      <c r="E154" s="14"/>
    </row>
    <row r="155" spans="2:5" ht="12.75">
      <c r="B155" s="14"/>
      <c r="C155" s="14"/>
      <c r="D155" s="48"/>
      <c r="E155" s="14"/>
    </row>
    <row r="156" spans="2:5" ht="12.75">
      <c r="B156" s="14"/>
      <c r="C156" s="14"/>
      <c r="D156" s="48"/>
      <c r="E156" s="14"/>
    </row>
    <row r="157" spans="2:5" ht="12.75">
      <c r="B157" s="14"/>
      <c r="C157" s="14"/>
      <c r="D157" s="48"/>
      <c r="E157" s="14"/>
    </row>
    <row r="158" spans="2:5" ht="12.75">
      <c r="B158" s="48"/>
      <c r="C158" s="14"/>
      <c r="D158" s="48"/>
      <c r="E158" s="14"/>
    </row>
    <row r="159" spans="2:5" ht="12.75">
      <c r="B159" s="14"/>
      <c r="C159" s="14"/>
      <c r="D159" s="48"/>
      <c r="E159" s="14"/>
    </row>
    <row r="160" spans="2:5" ht="12.75">
      <c r="B160" s="14"/>
      <c r="C160" s="14"/>
      <c r="D160" s="48"/>
      <c r="E160" s="14"/>
    </row>
    <row r="161" spans="2:5" ht="12.75">
      <c r="B161" s="14"/>
      <c r="C161" s="14"/>
      <c r="D161" s="48"/>
      <c r="E161" s="14"/>
    </row>
    <row r="162" spans="1:5" ht="12.75">
      <c r="A162" s="11"/>
      <c r="B162" s="14"/>
      <c r="C162" s="14"/>
      <c r="D162" s="48"/>
      <c r="E162" s="14"/>
    </row>
    <row r="163" spans="2:5" ht="12.75">
      <c r="B163" s="14"/>
      <c r="C163" s="14"/>
      <c r="D163" s="48"/>
      <c r="E163" s="14"/>
    </row>
    <row r="164" spans="1:5" ht="17.25">
      <c r="A164" s="54"/>
      <c r="B164" s="14"/>
      <c r="C164" s="14"/>
      <c r="D164" s="48"/>
      <c r="E164" s="14"/>
    </row>
    <row r="165" spans="2:5" ht="12.75">
      <c r="B165" s="14"/>
      <c r="C165" s="14"/>
      <c r="D165" s="48"/>
      <c r="E165" s="14"/>
    </row>
    <row r="166" spans="2:5" ht="12.75">
      <c r="B166" s="14"/>
      <c r="C166" s="14"/>
      <c r="D166" s="48"/>
      <c r="E166" s="14"/>
    </row>
    <row r="167" spans="2:5" ht="12.75">
      <c r="B167" s="14"/>
      <c r="C167" s="14"/>
      <c r="D167" s="48"/>
      <c r="E167" s="14"/>
    </row>
    <row r="168" spans="2:5" ht="12.75">
      <c r="B168" s="48"/>
      <c r="C168" s="14"/>
      <c r="D168" s="48"/>
      <c r="E168" s="14"/>
    </row>
    <row r="169" spans="2:5" ht="12.75">
      <c r="B169" s="14"/>
      <c r="C169" s="14"/>
      <c r="D169" s="48"/>
      <c r="E169" s="14"/>
    </row>
    <row r="170" spans="2:5" ht="12.75">
      <c r="B170" s="15"/>
      <c r="C170" s="15"/>
      <c r="D170" s="48"/>
      <c r="E170" s="14"/>
    </row>
    <row r="171" spans="2:5" ht="12.75">
      <c r="B171" s="15"/>
      <c r="C171" s="15"/>
      <c r="D171" s="48"/>
      <c r="E171" s="14"/>
    </row>
    <row r="172" spans="2:5" ht="12.75">
      <c r="B172" s="15"/>
      <c r="C172" s="15"/>
      <c r="E172" s="14"/>
    </row>
    <row r="173" spans="2:5" ht="12.75">
      <c r="B173" s="14"/>
      <c r="C173" s="14"/>
      <c r="D173" s="48"/>
      <c r="E173" s="14"/>
    </row>
    <row r="174" spans="2:5" ht="12.75">
      <c r="B174" s="14"/>
      <c r="C174" s="14"/>
      <c r="D174" s="48"/>
      <c r="E174" s="14"/>
    </row>
    <row r="176" ht="17.25">
      <c r="A176" s="54"/>
    </row>
    <row r="178" ht="13.5">
      <c r="A178" s="10"/>
    </row>
    <row r="179" ht="13.5">
      <c r="A179" s="10"/>
    </row>
    <row r="180" ht="13.5">
      <c r="A180" s="10"/>
    </row>
    <row r="183" spans="2:3" ht="12.75">
      <c r="B183" s="55"/>
      <c r="C183" s="55"/>
    </row>
    <row r="184" spans="2:3" ht="12.75">
      <c r="B184" s="55"/>
      <c r="C184" s="55"/>
    </row>
    <row r="185" spans="2:3" ht="12.75">
      <c r="B185" s="55"/>
      <c r="C185" s="55"/>
    </row>
    <row r="186" spans="2:3" ht="12.75">
      <c r="B186" s="55"/>
      <c r="C186" s="55"/>
    </row>
    <row r="187" spans="2:3" ht="12.75">
      <c r="B187" s="55"/>
      <c r="C187" s="55"/>
    </row>
    <row r="188" spans="2:3" ht="12.75">
      <c r="B188" s="55"/>
      <c r="C188" s="55"/>
    </row>
    <row r="189" spans="2:3" ht="12.75">
      <c r="B189" s="55"/>
      <c r="C189" s="55"/>
    </row>
    <row r="190" spans="2:3" ht="12.75">
      <c r="B190" s="55"/>
      <c r="C190" s="55"/>
    </row>
    <row r="191" spans="2:3" ht="12.75">
      <c r="B191" s="56"/>
      <c r="C191" s="56"/>
    </row>
    <row r="192" spans="2:3" ht="12.75">
      <c r="B192" s="55"/>
      <c r="C192" s="55"/>
    </row>
    <row r="193" spans="2:3" ht="12.75">
      <c r="B193" s="55"/>
      <c r="C193" s="55"/>
    </row>
    <row r="194" spans="2:3" ht="12.75">
      <c r="B194" s="55"/>
      <c r="C194" s="55"/>
    </row>
    <row r="195" spans="2:3" ht="12.75">
      <c r="B195" s="55"/>
      <c r="C195" s="55"/>
    </row>
    <row r="196" spans="2:3" ht="12.75">
      <c r="B196" s="55"/>
      <c r="C196" s="55"/>
    </row>
    <row r="197" spans="2:3" ht="12.75">
      <c r="B197" s="55"/>
      <c r="C197" s="55"/>
    </row>
    <row r="198" spans="2:3" ht="12.75">
      <c r="B198" s="55"/>
      <c r="C198" s="55"/>
    </row>
    <row r="199" spans="2:3" ht="12.75">
      <c r="B199" s="55"/>
      <c r="C199" s="55"/>
    </row>
    <row r="200" spans="2:3" ht="12.75">
      <c r="B200" s="55"/>
      <c r="C200" s="55"/>
    </row>
    <row r="201" spans="2:3" ht="12.75">
      <c r="B201" s="55"/>
      <c r="C201" s="55"/>
    </row>
    <row r="202" spans="2:3" ht="12.75">
      <c r="B202" s="55"/>
      <c r="C202" s="55"/>
    </row>
    <row r="203" spans="2:3" ht="12.75">
      <c r="B203" s="55"/>
      <c r="C203" s="55"/>
    </row>
    <row r="204" spans="2:3" ht="12.75">
      <c r="B204" s="55"/>
      <c r="C204" s="55"/>
    </row>
    <row r="205" ht="12.75">
      <c r="C205" s="55"/>
    </row>
    <row r="206" ht="12.75">
      <c r="C206" s="55"/>
    </row>
  </sheetData>
  <sheetProtection/>
  <mergeCells count="16">
    <mergeCell ref="A83:B84"/>
    <mergeCell ref="A87:B88"/>
    <mergeCell ref="A72:B72"/>
    <mergeCell ref="A74:B74"/>
    <mergeCell ref="A76:B76"/>
    <mergeCell ref="A51:D51"/>
    <mergeCell ref="A57:B57"/>
    <mergeCell ref="A70:B70"/>
    <mergeCell ref="A59:B59"/>
    <mergeCell ref="A10:D10"/>
    <mergeCell ref="B7:C7"/>
    <mergeCell ref="A23:C23"/>
    <mergeCell ref="A40:C40"/>
    <mergeCell ref="D11:D13"/>
    <mergeCell ref="B12:B13"/>
    <mergeCell ref="A12:A13"/>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7480314960629921" right="0.7480314960629921" top="0.984251968503937" bottom="0.7874015748031497" header="0.5118110236220472" footer="0.5118110236220472"/>
  <pageSetup fitToHeight="0" horizontalDpi="600" verticalDpi="600" orientation="portrait" scale="86" r:id="rId3"/>
  <headerFooter alignWithMargins="0">
    <oddFooter>&amp;LHaldimand County Hydro Inc.
Page &amp;P of &amp;N&amp;R&amp;"Arial,Bold"&amp;F
&amp;A</oddFooter>
  </headerFooter>
  <rowBreaks count="1" manualBreakCount="1">
    <brk id="51" max="255" man="1"/>
  </rowBreaks>
  <drawing r:id="rId2"/>
  <legacyDrawing r:id="rId1"/>
</worksheet>
</file>

<file path=xl/worksheets/sheet8.xml><?xml version="1.0" encoding="utf-8"?>
<worksheet xmlns="http://schemas.openxmlformats.org/spreadsheetml/2006/main" xmlns:r="http://schemas.openxmlformats.org/officeDocument/2006/relationships">
  <dimension ref="A1:H207"/>
  <sheetViews>
    <sheetView view="pageBreakPreview" zoomScale="60" zoomScaleNormal="75" zoomScalePageLayoutView="0" workbookViewId="0" topLeftCell="A70">
      <selection activeCell="A143" sqref="A143"/>
    </sheetView>
  </sheetViews>
  <sheetFormatPr defaultColWidth="9.140625" defaultRowHeight="12.75"/>
  <cols>
    <col min="1" max="1" width="51.421875" style="8" customWidth="1"/>
    <col min="2" max="2" width="13.140625" style="8" customWidth="1"/>
    <col min="3" max="3" width="17.57421875" style="8" bestFit="1" customWidth="1"/>
    <col min="4" max="4" width="14.7109375" style="8" customWidth="1"/>
    <col min="5" max="5" width="24.57421875" style="8" bestFit="1" customWidth="1"/>
    <col min="6" max="6" width="11.7109375" style="8" customWidth="1"/>
    <col min="7" max="7" width="15.7109375" style="8" bestFit="1" customWidth="1"/>
    <col min="8" max="8" width="15.28125" style="8" customWidth="1"/>
    <col min="9" max="16384" width="9.140625" style="8" customWidth="1"/>
  </cols>
  <sheetData>
    <row r="1" ht="17.25">
      <c r="A1" s="36" t="s">
        <v>162</v>
      </c>
    </row>
    <row r="2" ht="18" thickBot="1">
      <c r="A2" s="115"/>
    </row>
    <row r="3" spans="1:7" ht="17.25">
      <c r="A3" s="286" t="str">
        <f>"Name of Utility:      "&amp;'Info Sheet'!B4</f>
        <v>Name of Utility:      Haldimand County Hydro Inc.</v>
      </c>
      <c r="B3" s="442"/>
      <c r="C3" s="453"/>
      <c r="D3" s="441" t="str">
        <f>'Info Sheet'!$B$21</f>
        <v>2005.V1.0</v>
      </c>
      <c r="E3" s="35"/>
      <c r="F3" s="115"/>
      <c r="G3" s="116"/>
    </row>
    <row r="4" spans="1:7" ht="17.25">
      <c r="A4" s="288" t="str">
        <f>"License Number:   "&amp;'Info Sheet'!B6</f>
        <v>License Number:   ED-2002-0539</v>
      </c>
      <c r="B4" s="444"/>
      <c r="C4" s="374"/>
      <c r="D4" s="380" t="str">
        <f>'Info Sheet'!B8</f>
        <v>RP-2005-0013</v>
      </c>
      <c r="E4" s="35"/>
      <c r="F4" s="115"/>
      <c r="G4" s="116"/>
    </row>
    <row r="5" spans="1:4" ht="15">
      <c r="A5" s="288" t="str">
        <f>"Name of Contact:  "&amp;'Info Sheet'!B12</f>
        <v>Name of Contact:  Jacqueline Scott - Finance Manager</v>
      </c>
      <c r="B5" s="451"/>
      <c r="C5" s="451"/>
      <c r="D5" s="380" t="str">
        <f>'Info Sheet'!B10</f>
        <v>EB-2005-0034</v>
      </c>
    </row>
    <row r="6" spans="1:4" ht="15">
      <c r="A6" s="289" t="str">
        <f>"E- Mail Address:    "&amp;'Info Sheet'!B14</f>
        <v>E- Mail Address:    jscott@hchydro.ca</v>
      </c>
      <c r="B6" s="444"/>
      <c r="C6" s="27"/>
      <c r="D6" s="449"/>
    </row>
    <row r="7" spans="1:4" ht="15">
      <c r="A7" s="288" t="str">
        <f>"Phone Number:     "&amp;'Info Sheet'!B16</f>
        <v>Phone Number:     905-765-5211</v>
      </c>
      <c r="B7" s="536" t="str">
        <f>'Info Sheet'!$C$16&amp;" "&amp;'Info Sheet'!$D$16</f>
        <v>Extension: 237</v>
      </c>
      <c r="C7" s="536"/>
      <c r="D7" s="449"/>
    </row>
    <row r="8" spans="1:4" ht="15.75" thickBot="1">
      <c r="A8" s="290" t="str">
        <f>"Date:                      "&amp;('Info Sheet'!B18)</f>
        <v>Date:                      January 14, 2005</v>
      </c>
      <c r="B8" s="446"/>
      <c r="C8" s="447"/>
      <c r="D8" s="450"/>
    </row>
    <row r="9" spans="1:3" ht="15">
      <c r="A9" s="27"/>
      <c r="B9" s="28"/>
      <c r="C9" s="26"/>
    </row>
    <row r="10" spans="1:7" ht="13.5">
      <c r="A10" s="135"/>
      <c r="B10" s="136"/>
      <c r="C10" s="136"/>
      <c r="D10" s="136"/>
      <c r="E10" s="136"/>
      <c r="F10" s="136"/>
      <c r="G10" s="136"/>
    </row>
    <row r="11" spans="1:7" ht="13.5">
      <c r="A11" s="135"/>
      <c r="B11" s="136"/>
      <c r="C11" s="136"/>
      <c r="D11" s="136"/>
      <c r="E11" s="136"/>
      <c r="F11" s="136"/>
      <c r="G11" s="136"/>
    </row>
    <row r="12" ht="12.75" customHeight="1">
      <c r="A12" s="117"/>
    </row>
    <row r="13" spans="2:3" ht="12.75">
      <c r="B13" s="105"/>
      <c r="C13" s="104"/>
    </row>
    <row r="14" spans="1:7" ht="13.5">
      <c r="A14" s="541" t="s">
        <v>98</v>
      </c>
      <c r="B14" s="541"/>
      <c r="C14" s="541"/>
      <c r="D14" s="541"/>
      <c r="E14" s="33"/>
      <c r="F14" s="137"/>
      <c r="G14" s="368">
        <f>IF('6. Dec. 31, 2003 Reg. Assets'!D59="N/A",'6. Dec. 31, 2003 Reg. Assets'!D74,'6. Dec. 31, 2003 Reg. Assets'!D59)</f>
        <v>116946.48454545473</v>
      </c>
    </row>
    <row r="15" spans="1:7" ht="14.25">
      <c r="A15" s="139"/>
      <c r="B15" s="140"/>
      <c r="C15" s="141"/>
      <c r="D15" s="142"/>
      <c r="E15" s="142"/>
      <c r="F15" s="104"/>
      <c r="G15" s="104"/>
    </row>
    <row r="16" spans="1:7" ht="14.25">
      <c r="A16" s="139"/>
      <c r="B16" s="140"/>
      <c r="C16" s="141"/>
      <c r="D16" s="142"/>
      <c r="E16" s="142"/>
      <c r="F16" s="104"/>
      <c r="G16" s="118"/>
    </row>
    <row r="17" spans="1:7" ht="13.5">
      <c r="A17" s="369" t="s">
        <v>163</v>
      </c>
      <c r="B17" s="136"/>
      <c r="C17" s="136"/>
      <c r="D17" s="136"/>
      <c r="E17" s="136"/>
      <c r="F17" s="136"/>
      <c r="G17" s="136"/>
    </row>
    <row r="18" spans="2:7" ht="12.75">
      <c r="B18" s="136"/>
      <c r="C18" s="136"/>
      <c r="D18" s="136"/>
      <c r="E18" s="136"/>
      <c r="F18" s="136"/>
      <c r="G18" s="136"/>
    </row>
    <row r="19" ht="13.5" thickBot="1"/>
    <row r="20" spans="1:8" ht="36.75" thickBot="1">
      <c r="A20" s="149" t="s">
        <v>157</v>
      </c>
      <c r="B20" s="150" t="s">
        <v>5</v>
      </c>
      <c r="C20" s="150" t="s">
        <v>6</v>
      </c>
      <c r="D20" s="150" t="s">
        <v>13</v>
      </c>
      <c r="E20" s="150" t="s">
        <v>7</v>
      </c>
      <c r="F20" s="150" t="s">
        <v>118</v>
      </c>
      <c r="G20" s="151" t="s">
        <v>119</v>
      </c>
      <c r="H20" s="120"/>
    </row>
    <row r="21" spans="1:7" ht="12.75">
      <c r="A21" s="85"/>
      <c r="B21" s="30"/>
      <c r="C21" s="121"/>
      <c r="D21" s="121"/>
      <c r="E21" s="30"/>
      <c r="F21" s="30"/>
      <c r="G21" s="99"/>
    </row>
    <row r="22" spans="1:8" ht="12.75">
      <c r="A22" s="146" t="s">
        <v>201</v>
      </c>
      <c r="B22" s="122" t="str">
        <f>'4. 2003 Data &amp; 2005 PILs'!B22</f>
        <v>-</v>
      </c>
      <c r="C22" s="122">
        <f>'4. 2003 Data &amp; 2005 PILs'!C22</f>
        <v>94477503</v>
      </c>
      <c r="D22" s="122">
        <f>'4. 2003 Data &amp; 2005 PILs'!D22</f>
        <v>11954</v>
      </c>
      <c r="E22" s="363">
        <f>'4. 2003 Data &amp; 2005 PILs'!E22</f>
        <v>3311085.53</v>
      </c>
      <c r="F22" s="143">
        <f>IF(ISERROR(C22/C$35),"",C22/C$35)</f>
        <v>0.26808270760793546</v>
      </c>
      <c r="G22" s="401">
        <f>IF(ISERROR($G$36*F22),0,$G$36*F22)</f>
        <v>31351.330222175082</v>
      </c>
      <c r="H22" s="123"/>
    </row>
    <row r="23" spans="1:8" ht="12.75">
      <c r="A23" s="146" t="s">
        <v>202</v>
      </c>
      <c r="B23" s="122" t="str">
        <f>'4. 2003 Data &amp; 2005 PILs'!B23</f>
        <v>-</v>
      </c>
      <c r="C23" s="122">
        <f>'4. 2003 Data &amp; 2005 PILs'!C23</f>
        <v>24094558</v>
      </c>
      <c r="D23" s="122">
        <f>'4. 2003 Data &amp; 2005 PILs'!D23</f>
        <v>937</v>
      </c>
      <c r="E23" s="363">
        <f>'4. 2003 Data &amp; 2005 PILs'!E23</f>
        <v>567921.98</v>
      </c>
      <c r="F23" s="143">
        <f aca="true" t="shared" si="0" ref="F23:F28">IF(ISERROR(C23/C$35),"",C23/C$35)</f>
        <v>0.06836902058320109</v>
      </c>
      <c r="G23" s="401">
        <f aca="true" t="shared" si="1" ref="G23:G33">IF(ISERROR($G$36*F23),0,$G$36*F23)</f>
        <v>7995.516609021202</v>
      </c>
      <c r="H23" s="123"/>
    </row>
    <row r="24" spans="1:8" ht="12.75">
      <c r="A24" s="146" t="s">
        <v>203</v>
      </c>
      <c r="B24" s="122">
        <f>'4. 2003 Data &amp; 2005 PILs'!B24</f>
        <v>114903.65</v>
      </c>
      <c r="C24" s="122">
        <f>'4. 2003 Data &amp; 2005 PILs'!C24</f>
        <v>40990753</v>
      </c>
      <c r="D24" s="122">
        <f>'4. 2003 Data &amp; 2005 PILs'!D24</f>
        <v>95</v>
      </c>
      <c r="E24" s="363">
        <f>'4. 2003 Data &amp; 2005 PILs'!E24</f>
        <v>550840.57</v>
      </c>
      <c r="F24" s="143">
        <f t="shared" si="0"/>
        <v>0.11631247336340063</v>
      </c>
      <c r="G24" s="401">
        <f t="shared" si="1"/>
        <v>13602.334868636546</v>
      </c>
      <c r="H24" s="123"/>
    </row>
    <row r="25" spans="1:8" ht="12.75">
      <c r="A25" s="146" t="s">
        <v>61</v>
      </c>
      <c r="B25" s="122">
        <f>'4. 2003 Data &amp; 2005 PILs'!B25</f>
        <v>62137.61</v>
      </c>
      <c r="C25" s="122">
        <f>'4. 2003 Data &amp; 2005 PILs'!C25</f>
        <v>16605131</v>
      </c>
      <c r="D25" s="122">
        <f>'4. 2003 Data &amp; 2005 PILs'!D25</f>
        <v>4</v>
      </c>
      <c r="E25" s="363">
        <f>'4. 2003 Data &amp; 2005 PILs'!E25</f>
        <v>44474.24</v>
      </c>
      <c r="F25" s="143">
        <f t="shared" si="0"/>
        <v>0.04711755007606906</v>
      </c>
      <c r="G25" s="401">
        <f t="shared" si="1"/>
        <v>5510.2318417907</v>
      </c>
      <c r="H25" s="124"/>
    </row>
    <row r="26" spans="1:8" ht="12.75">
      <c r="A26" s="146" t="s">
        <v>136</v>
      </c>
      <c r="B26" s="122">
        <f>'4. 2003 Data &amp; 2005 PILs'!B26</f>
        <v>0</v>
      </c>
      <c r="C26" s="122">
        <f>'4. 2003 Data &amp; 2005 PILs'!C26</f>
        <v>0</v>
      </c>
      <c r="D26" s="122">
        <f>'4. 2003 Data &amp; 2005 PILs'!D26</f>
        <v>0</v>
      </c>
      <c r="E26" s="363">
        <f>'4. 2003 Data &amp; 2005 PILs'!E26</f>
        <v>0</v>
      </c>
      <c r="F26" s="143">
        <f t="shared" si="0"/>
        <v>0</v>
      </c>
      <c r="G26" s="401">
        <f t="shared" si="1"/>
        <v>0</v>
      </c>
      <c r="H26" s="124"/>
    </row>
    <row r="27" spans="1:8" ht="12.75">
      <c r="A27" s="146" t="s">
        <v>62</v>
      </c>
      <c r="B27" s="122">
        <f>'4. 2003 Data &amp; 2005 PILs'!B27</f>
        <v>0</v>
      </c>
      <c r="C27" s="122">
        <f>'4. 2003 Data &amp; 2005 PILs'!C27</f>
        <v>0</v>
      </c>
      <c r="D27" s="122">
        <f>'4. 2003 Data &amp; 2005 PILs'!D27</f>
        <v>0</v>
      </c>
      <c r="E27" s="363">
        <f>'4. 2003 Data &amp; 2005 PILs'!E27</f>
        <v>0</v>
      </c>
      <c r="F27" s="143">
        <f t="shared" si="0"/>
        <v>0</v>
      </c>
      <c r="G27" s="401">
        <f t="shared" si="1"/>
        <v>0</v>
      </c>
      <c r="H27" s="124"/>
    </row>
    <row r="28" spans="1:8" ht="12.75">
      <c r="A28" s="146" t="s">
        <v>63</v>
      </c>
      <c r="B28" s="122">
        <f>'4. 2003 Data &amp; 2005 PILs'!B28</f>
        <v>1765.66</v>
      </c>
      <c r="C28" s="122">
        <f>'4. 2003 Data &amp; 2005 PILs'!C28</f>
        <v>531087</v>
      </c>
      <c r="D28" s="122">
        <f>'4. 2003 Data &amp; 2005 PILs'!D28</f>
        <v>867</v>
      </c>
      <c r="E28" s="363">
        <f>'4. 2003 Data &amp; 2005 PILs'!E28</f>
        <v>20564.97</v>
      </c>
      <c r="F28" s="143">
        <f t="shared" si="0"/>
        <v>0.001506975061940149</v>
      </c>
      <c r="G28" s="401">
        <f t="shared" si="1"/>
        <v>176.23543579156933</v>
      </c>
      <c r="H28" s="123"/>
    </row>
    <row r="29" spans="1:8" ht="12.75">
      <c r="A29" s="146" t="s">
        <v>64</v>
      </c>
      <c r="B29" s="122">
        <f>'4. 2003 Data &amp; 2005 PILs'!B29</f>
        <v>5769.72</v>
      </c>
      <c r="C29" s="122">
        <f>'4. 2003 Data &amp; 2005 PILs'!C29</f>
        <v>2082646</v>
      </c>
      <c r="D29" s="122">
        <f>'4. 2003 Data &amp; 2005 PILs'!D29</f>
        <v>2705</v>
      </c>
      <c r="E29" s="363">
        <f>'4. 2003 Data &amp; 2005 PILs'!E29</f>
        <v>48183.96</v>
      </c>
      <c r="F29" s="143">
        <f>IF(ISERROR(C29/C$35),"",C29/C$35)</f>
        <v>0.005909569590009553</v>
      </c>
      <c r="G29" s="401">
        <f t="shared" si="1"/>
        <v>691.1033887283414</v>
      </c>
      <c r="H29" s="125"/>
    </row>
    <row r="30" spans="1:8" ht="12.75">
      <c r="A30" s="146" t="s">
        <v>204</v>
      </c>
      <c r="B30" s="122" t="str">
        <f>'4. 2003 Data &amp; 2005 PILs'!B30</f>
        <v>-</v>
      </c>
      <c r="C30" s="122">
        <f>'4. 2003 Data &amp; 2005 PILs'!C30</f>
        <v>80613349</v>
      </c>
      <c r="D30" s="122">
        <f>'4. 2003 Data &amp; 2005 PILs'!D30</f>
        <v>5631</v>
      </c>
      <c r="E30" s="363">
        <f>'4. 2003 Data &amp; 2005 PILs'!E30</f>
        <v>2415250.88</v>
      </c>
      <c r="F30" s="143">
        <f>IF(ISERROR(C30/C$35),"",C30/C$35)</f>
        <v>0.22874276079527056</v>
      </c>
      <c r="G30" s="401">
        <f t="shared" si="1"/>
        <v>26750.661740228756</v>
      </c>
      <c r="H30" s="125"/>
    </row>
    <row r="31" spans="1:8" ht="12.75">
      <c r="A31" s="146" t="s">
        <v>205</v>
      </c>
      <c r="B31" s="122" t="str">
        <f>'4. 2003 Data &amp; 2005 PILs'!B31</f>
        <v>-</v>
      </c>
      <c r="C31" s="122">
        <f>'4. 2003 Data &amp; 2005 PILs'!C31</f>
        <v>27504693</v>
      </c>
      <c r="D31" s="122">
        <f>'4. 2003 Data &amp; 2005 PILs'!D31</f>
        <v>1391</v>
      </c>
      <c r="E31" s="363">
        <f>'4. 2003 Data &amp; 2005 PILs'!E31</f>
        <v>685053.65</v>
      </c>
      <c r="F31" s="143">
        <f>IF(ISERROR(C31/C$35),"",C31/C$35)</f>
        <v>0.07804537945255632</v>
      </c>
      <c r="G31" s="401">
        <f t="shared" si="1"/>
        <v>9127.132761992529</v>
      </c>
      <c r="H31" s="125"/>
    </row>
    <row r="32" spans="1:8" ht="12.75">
      <c r="A32" s="146" t="s">
        <v>206</v>
      </c>
      <c r="B32" s="122">
        <f>'4. 2003 Data &amp; 2005 PILs'!B32</f>
        <v>194765.76</v>
      </c>
      <c r="C32" s="122">
        <f>'4. 2003 Data &amp; 2005 PILs'!C32</f>
        <v>65519516</v>
      </c>
      <c r="D32" s="122">
        <f>'4. 2003 Data &amp; 2005 PILs'!D32</f>
        <v>102</v>
      </c>
      <c r="E32" s="363">
        <f>'4. 2003 Data &amp; 2005 PILs'!E32</f>
        <v>992821.72</v>
      </c>
      <c r="F32" s="143">
        <f>IF(ISERROR(C32/C$35),"",C32/C$35)</f>
        <v>0.18591356346961718</v>
      </c>
      <c r="G32" s="401">
        <f t="shared" si="1"/>
        <v>21741.93767709</v>
      </c>
      <c r="H32" s="125"/>
    </row>
    <row r="33" spans="1:8" ht="12.75">
      <c r="A33" s="146" t="s">
        <v>207</v>
      </c>
      <c r="B33" s="347">
        <f>'4. 2003 Data &amp; 2005 PILs'!B33</f>
        <v>0</v>
      </c>
      <c r="C33" s="347">
        <f>'4. 2003 Data &amp; 2005 PILs'!C33</f>
        <v>0</v>
      </c>
      <c r="D33" s="347">
        <f>'4. 2003 Data &amp; 2005 PILs'!D33</f>
        <v>0</v>
      </c>
      <c r="E33" s="364">
        <f>'4. 2003 Data &amp; 2005 PILs'!E33</f>
        <v>0</v>
      </c>
      <c r="F33" s="144">
        <f>IF(ISERROR(C33/C$35),"",C33/C$35)</f>
        <v>0</v>
      </c>
      <c r="G33" s="402">
        <f t="shared" si="1"/>
        <v>0</v>
      </c>
      <c r="H33" s="125"/>
    </row>
    <row r="34" spans="1:8" ht="12.75">
      <c r="A34" s="146"/>
      <c r="B34" s="118"/>
      <c r="C34" s="126"/>
      <c r="D34" s="127"/>
      <c r="E34" s="118"/>
      <c r="F34" s="145"/>
      <c r="G34" s="401"/>
      <c r="H34" s="104"/>
    </row>
    <row r="35" spans="1:8" ht="12.75">
      <c r="A35" s="146" t="s">
        <v>8</v>
      </c>
      <c r="B35" s="30"/>
      <c r="C35" s="152">
        <f>SUM(C22:C33)</f>
        <v>352419236</v>
      </c>
      <c r="D35" s="152">
        <f>SUM(D22:D33)</f>
        <v>23686</v>
      </c>
      <c r="E35" s="153">
        <f>SUM(E22:E33)</f>
        <v>8636197.5</v>
      </c>
      <c r="F35" s="500">
        <f>SUM(F22:F33)</f>
        <v>1</v>
      </c>
      <c r="G35" s="394">
        <f>SUM(G22:G33)</f>
        <v>116946.48454545472</v>
      </c>
      <c r="H35" s="104"/>
    </row>
    <row r="36" spans="1:8" ht="12.75">
      <c r="A36" s="85"/>
      <c r="B36" s="30"/>
      <c r="C36" s="543" t="s">
        <v>190</v>
      </c>
      <c r="D36" s="543"/>
      <c r="E36" s="543"/>
      <c r="F36" s="544"/>
      <c r="G36" s="403">
        <f>G14</f>
        <v>116946.48454545473</v>
      </c>
      <c r="H36" s="128"/>
    </row>
    <row r="37" spans="1:7" ht="13.5" thickBot="1">
      <c r="A37" s="93"/>
      <c r="B37" s="147"/>
      <c r="C37" s="147"/>
      <c r="D37" s="147"/>
      <c r="E37" s="147"/>
      <c r="F37" s="147"/>
      <c r="G37" s="148"/>
    </row>
    <row r="39" ht="15">
      <c r="A39" s="162" t="s">
        <v>164</v>
      </c>
    </row>
    <row r="40" ht="15">
      <c r="A40" s="53"/>
    </row>
    <row r="41" ht="15">
      <c r="A41" s="53" t="s">
        <v>208</v>
      </c>
    </row>
    <row r="42" ht="10.5" customHeight="1">
      <c r="A42" s="129"/>
    </row>
    <row r="43" ht="9" customHeight="1">
      <c r="A43" s="130"/>
    </row>
    <row r="44" spans="1:7" ht="39.75" thickBot="1">
      <c r="A44" s="130"/>
      <c r="B44" s="267" t="s">
        <v>91</v>
      </c>
      <c r="C44" s="267" t="s">
        <v>92</v>
      </c>
      <c r="D44" s="267" t="s">
        <v>122</v>
      </c>
      <c r="E44" s="265"/>
      <c r="F44" s="265"/>
      <c r="G44" s="265"/>
    </row>
    <row r="45" spans="1:3" ht="15">
      <c r="A45" s="130"/>
      <c r="B45" s="29"/>
      <c r="C45" s="29"/>
    </row>
    <row r="46" spans="1:5" ht="12.75">
      <c r="A46" s="108" t="s">
        <v>120</v>
      </c>
      <c r="B46" s="275"/>
      <c r="C46" s="275"/>
      <c r="D46" s="392">
        <f>$G22</f>
        <v>31351.330222175082</v>
      </c>
      <c r="E46" s="111"/>
    </row>
    <row r="47" spans="1:5" ht="7.5" customHeight="1">
      <c r="A47" s="111"/>
      <c r="B47" s="268"/>
      <c r="C47" s="268"/>
      <c r="D47" s="269"/>
      <c r="E47" s="111"/>
    </row>
    <row r="48" spans="1:5" ht="12.75">
      <c r="A48" s="108" t="s">
        <v>89</v>
      </c>
      <c r="B48" s="276">
        <v>1</v>
      </c>
      <c r="C48" s="276">
        <v>0</v>
      </c>
      <c r="D48" s="276">
        <f>B48+C48</f>
        <v>1</v>
      </c>
      <c r="E48" s="111"/>
    </row>
    <row r="49" spans="1:5" ht="7.5" customHeight="1">
      <c r="A49" s="111"/>
      <c r="B49" s="270"/>
      <c r="C49" s="270"/>
      <c r="D49" s="270"/>
      <c r="E49" s="111"/>
    </row>
    <row r="50" spans="1:5" ht="13.5" customHeight="1">
      <c r="A50" s="108" t="s">
        <v>121</v>
      </c>
      <c r="B50" s="387">
        <f>$B48*$D46</f>
        <v>31351.330222175082</v>
      </c>
      <c r="C50" s="387">
        <f>C48*D46</f>
        <v>0</v>
      </c>
      <c r="D50" s="387">
        <f>SUM(B50:C50)</f>
        <v>31351.330222175082</v>
      </c>
      <c r="E50" s="111"/>
    </row>
    <row r="51" spans="1:5" ht="7.5" customHeight="1">
      <c r="A51" s="111"/>
      <c r="B51" s="271"/>
      <c r="C51" s="271"/>
      <c r="D51" s="271"/>
      <c r="E51" s="111"/>
    </row>
    <row r="52" spans="1:5" ht="13.5" customHeight="1">
      <c r="A52" s="108" t="s">
        <v>87</v>
      </c>
      <c r="B52" s="473">
        <f>$C22</f>
        <v>94477503</v>
      </c>
      <c r="C52" s="277"/>
      <c r="D52" s="277"/>
      <c r="E52" s="111"/>
    </row>
    <row r="53" spans="1:5" ht="7.5" customHeight="1">
      <c r="A53" s="111"/>
      <c r="B53" s="272"/>
      <c r="C53" s="271"/>
      <c r="D53" s="271"/>
      <c r="E53" s="111"/>
    </row>
    <row r="54" spans="1:5" ht="13.5" customHeight="1">
      <c r="A54" s="108" t="s">
        <v>165</v>
      </c>
      <c r="B54" s="397">
        <f>IF(ISERROR($B50/$B52),0,$B50/$B52)</f>
        <v>0.0003318391069477681</v>
      </c>
      <c r="C54" s="279"/>
      <c r="D54" s="279"/>
      <c r="E54" s="111"/>
    </row>
    <row r="55" spans="1:5" ht="12.75">
      <c r="A55" s="111"/>
      <c r="B55" s="273"/>
      <c r="C55" s="274"/>
      <c r="D55" s="274"/>
      <c r="E55" s="111"/>
    </row>
    <row r="56" spans="1:4" ht="15">
      <c r="A56" s="130"/>
      <c r="B56" s="55"/>
      <c r="C56" s="55"/>
      <c r="D56" s="55"/>
    </row>
    <row r="57" spans="2:4" ht="12.75">
      <c r="B57" s="55"/>
      <c r="C57" s="55"/>
      <c r="D57" s="55"/>
    </row>
    <row r="58" ht="15">
      <c r="A58" s="53" t="s">
        <v>209</v>
      </c>
    </row>
    <row r="59" ht="10.5" customHeight="1">
      <c r="A59" s="129"/>
    </row>
    <row r="60" ht="9" customHeight="1">
      <c r="A60" s="130"/>
    </row>
    <row r="61" spans="1:7" ht="39.75" thickBot="1">
      <c r="A61" s="130"/>
      <c r="B61" s="267" t="s">
        <v>91</v>
      </c>
      <c r="C61" s="267" t="s">
        <v>92</v>
      </c>
      <c r="D61" s="267" t="s">
        <v>122</v>
      </c>
      <c r="E61" s="265"/>
      <c r="F61" s="265"/>
      <c r="G61" s="265"/>
    </row>
    <row r="62" spans="1:3" ht="15">
      <c r="A62" s="130"/>
      <c r="B62" s="29"/>
      <c r="C62" s="29"/>
    </row>
    <row r="63" spans="1:5" ht="12.75">
      <c r="A63" s="108" t="s">
        <v>120</v>
      </c>
      <c r="B63" s="275"/>
      <c r="C63" s="275"/>
      <c r="D63" s="392">
        <f>$G23</f>
        <v>7995.516609021202</v>
      </c>
      <c r="E63" s="111"/>
    </row>
    <row r="64" spans="1:5" ht="7.5" customHeight="1">
      <c r="A64" s="111"/>
      <c r="B64" s="268"/>
      <c r="C64" s="268"/>
      <c r="D64" s="269"/>
      <c r="E64" s="111"/>
    </row>
    <row r="65" spans="1:5" ht="12.75">
      <c r="A65" s="108" t="s">
        <v>89</v>
      </c>
      <c r="B65" s="276">
        <v>1</v>
      </c>
      <c r="C65" s="276">
        <v>0</v>
      </c>
      <c r="D65" s="276">
        <f>B65+C65</f>
        <v>1</v>
      </c>
      <c r="E65" s="111"/>
    </row>
    <row r="66" spans="1:5" ht="7.5" customHeight="1">
      <c r="A66" s="111"/>
      <c r="B66" s="270"/>
      <c r="C66" s="270"/>
      <c r="D66" s="270"/>
      <c r="E66" s="111"/>
    </row>
    <row r="67" spans="1:5" ht="13.5" customHeight="1">
      <c r="A67" s="108" t="s">
        <v>121</v>
      </c>
      <c r="B67" s="387">
        <f>$B65*$D63</f>
        <v>7995.516609021202</v>
      </c>
      <c r="C67" s="387">
        <f>C65*D63</f>
        <v>0</v>
      </c>
      <c r="D67" s="387">
        <f>SUM(B67:C67)</f>
        <v>7995.516609021202</v>
      </c>
      <c r="E67" s="111"/>
    </row>
    <row r="68" spans="1:5" ht="7.5" customHeight="1">
      <c r="A68" s="111"/>
      <c r="B68" s="271"/>
      <c r="C68" s="271"/>
      <c r="D68" s="271"/>
      <c r="E68" s="111"/>
    </row>
    <row r="69" spans="1:5" ht="13.5" customHeight="1">
      <c r="A69" s="108" t="s">
        <v>87</v>
      </c>
      <c r="B69" s="278">
        <f>$C23</f>
        <v>24094558</v>
      </c>
      <c r="C69" s="277"/>
      <c r="D69" s="277"/>
      <c r="E69" s="111"/>
    </row>
    <row r="70" spans="1:5" ht="7.5" customHeight="1">
      <c r="A70" s="111"/>
      <c r="B70" s="272"/>
      <c r="C70" s="271"/>
      <c r="D70" s="271"/>
      <c r="E70" s="111"/>
    </row>
    <row r="71" spans="1:5" ht="13.5" customHeight="1">
      <c r="A71" s="108" t="s">
        <v>165</v>
      </c>
      <c r="B71" s="397">
        <f>IF(ISERROR($B67/$B69),0,$B67/$B69)</f>
        <v>0.00033183910694776814</v>
      </c>
      <c r="C71" s="279"/>
      <c r="D71" s="279"/>
      <c r="E71" s="111"/>
    </row>
    <row r="72" spans="1:5" ht="12.75">
      <c r="A72" s="111"/>
      <c r="B72" s="273"/>
      <c r="C72" s="274"/>
      <c r="D72" s="274"/>
      <c r="E72" s="111"/>
    </row>
    <row r="73" spans="1:4" ht="15">
      <c r="A73" s="130"/>
      <c r="B73" s="55"/>
      <c r="C73" s="55"/>
      <c r="D73" s="55"/>
    </row>
    <row r="74" spans="2:4" ht="12.75">
      <c r="B74" s="55"/>
      <c r="C74" s="55"/>
      <c r="D74" s="55"/>
    </row>
    <row r="75" ht="15">
      <c r="A75" s="53" t="s">
        <v>210</v>
      </c>
    </row>
    <row r="76" ht="10.5" customHeight="1">
      <c r="A76" s="129"/>
    </row>
    <row r="77" ht="9" customHeight="1">
      <c r="A77" s="130"/>
    </row>
    <row r="78" spans="1:7" ht="39.75" thickBot="1">
      <c r="A78" s="130"/>
      <c r="B78" s="267" t="s">
        <v>91</v>
      </c>
      <c r="C78" s="267" t="s">
        <v>92</v>
      </c>
      <c r="D78" s="267" t="s">
        <v>122</v>
      </c>
      <c r="E78" s="265"/>
      <c r="F78" s="265"/>
      <c r="G78" s="265"/>
    </row>
    <row r="79" spans="1:3" ht="15">
      <c r="A79" s="130"/>
      <c r="B79" s="29"/>
      <c r="C79" s="29"/>
    </row>
    <row r="80" spans="1:5" ht="12.75">
      <c r="A80" s="108" t="s">
        <v>120</v>
      </c>
      <c r="B80" s="275"/>
      <c r="C80" s="275"/>
      <c r="D80" s="392">
        <f>$G24</f>
        <v>13602.334868636546</v>
      </c>
      <c r="E80" s="111"/>
    </row>
    <row r="81" spans="1:5" ht="7.5" customHeight="1">
      <c r="A81" s="111"/>
      <c r="B81" s="268"/>
      <c r="C81" s="268"/>
      <c r="D81" s="269"/>
      <c r="E81" s="111"/>
    </row>
    <row r="82" spans="1:5" ht="12.75">
      <c r="A82" s="108" t="s">
        <v>89</v>
      </c>
      <c r="B82" s="276">
        <v>1</v>
      </c>
      <c r="C82" s="276">
        <v>0</v>
      </c>
      <c r="D82" s="276">
        <f>B82+C82</f>
        <v>1</v>
      </c>
      <c r="E82" s="111"/>
    </row>
    <row r="83" spans="1:5" ht="7.5" customHeight="1">
      <c r="A83" s="111"/>
      <c r="B83" s="270"/>
      <c r="C83" s="270"/>
      <c r="D83" s="270"/>
      <c r="E83" s="111"/>
    </row>
    <row r="84" spans="1:5" ht="13.5" customHeight="1">
      <c r="A84" s="108" t="s">
        <v>121</v>
      </c>
      <c r="B84" s="387">
        <f>$B82*$D80</f>
        <v>13602.334868636546</v>
      </c>
      <c r="C84" s="387">
        <f>C82*D80</f>
        <v>0</v>
      </c>
      <c r="D84" s="387">
        <f>SUM(B84:C84)</f>
        <v>13602.334868636546</v>
      </c>
      <c r="E84" s="111"/>
    </row>
    <row r="85" spans="1:5" ht="7.5" customHeight="1">
      <c r="A85" s="111"/>
      <c r="B85" s="271"/>
      <c r="C85" s="271"/>
      <c r="D85" s="271"/>
      <c r="E85" s="111"/>
    </row>
    <row r="86" spans="1:5" ht="13.5" customHeight="1">
      <c r="A86" s="108" t="s">
        <v>145</v>
      </c>
      <c r="B86" s="278">
        <f>$B24</f>
        <v>114903.65</v>
      </c>
      <c r="C86" s="277"/>
      <c r="D86" s="277"/>
      <c r="E86" s="111"/>
    </row>
    <row r="87" spans="1:5" ht="7.5" customHeight="1">
      <c r="A87" s="111"/>
      <c r="B87" s="272"/>
      <c r="C87" s="271"/>
      <c r="D87" s="271"/>
      <c r="E87" s="111"/>
    </row>
    <row r="88" spans="1:5" ht="13.5" customHeight="1">
      <c r="A88" s="108" t="s">
        <v>161</v>
      </c>
      <c r="B88" s="397">
        <f>IF(ISERROR($B84/$B86),0,$B84/$B86)</f>
        <v>0.11838035492028796</v>
      </c>
      <c r="C88" s="279"/>
      <c r="D88" s="279"/>
      <c r="E88" s="111"/>
    </row>
    <row r="89" spans="1:5" s="30" customFormat="1" ht="12.75">
      <c r="A89" s="281"/>
      <c r="B89" s="282"/>
      <c r="C89" s="283"/>
      <c r="D89" s="282"/>
      <c r="E89" s="281"/>
    </row>
    <row r="90" spans="1:5" ht="12.75">
      <c r="A90" s="281"/>
      <c r="B90" s="282"/>
      <c r="C90" s="283"/>
      <c r="D90" s="282"/>
      <c r="E90" s="111"/>
    </row>
    <row r="91" spans="1:5" ht="12.75">
      <c r="A91" s="281"/>
      <c r="B91" s="282"/>
      <c r="C91" s="283"/>
      <c r="D91" s="282"/>
      <c r="E91" s="111"/>
    </row>
    <row r="92" ht="15">
      <c r="A92" s="53" t="s">
        <v>186</v>
      </c>
    </row>
    <row r="93" ht="10.5" customHeight="1">
      <c r="A93" s="129"/>
    </row>
    <row r="94" ht="9" customHeight="1">
      <c r="A94" s="130"/>
    </row>
    <row r="95" spans="1:7" ht="39.75" thickBot="1">
      <c r="A95" s="130"/>
      <c r="B95" s="267" t="s">
        <v>91</v>
      </c>
      <c r="C95" s="267" t="s">
        <v>92</v>
      </c>
      <c r="D95" s="267" t="s">
        <v>122</v>
      </c>
      <c r="E95" s="265"/>
      <c r="F95" s="265"/>
      <c r="G95" s="265"/>
    </row>
    <row r="96" spans="1:3" ht="15">
      <c r="A96" s="130"/>
      <c r="B96" s="29"/>
      <c r="C96" s="29"/>
    </row>
    <row r="97" spans="1:5" ht="12.75">
      <c r="A97" s="108" t="s">
        <v>120</v>
      </c>
      <c r="B97" s="275"/>
      <c r="C97" s="275"/>
      <c r="D97" s="392">
        <f>$G25</f>
        <v>5510.2318417907</v>
      </c>
      <c r="E97" s="111"/>
    </row>
    <row r="98" spans="1:5" ht="7.5" customHeight="1">
      <c r="A98" s="111"/>
      <c r="B98" s="268"/>
      <c r="C98" s="268"/>
      <c r="D98" s="269"/>
      <c r="E98" s="111"/>
    </row>
    <row r="99" spans="1:5" ht="12.75">
      <c r="A99" s="108" t="s">
        <v>89</v>
      </c>
      <c r="B99" s="276">
        <v>1</v>
      </c>
      <c r="C99" s="276">
        <v>0</v>
      </c>
      <c r="D99" s="276">
        <f>B99+C99</f>
        <v>1</v>
      </c>
      <c r="E99" s="111"/>
    </row>
    <row r="100" spans="1:5" ht="7.5" customHeight="1">
      <c r="A100" s="111"/>
      <c r="B100" s="270"/>
      <c r="C100" s="270"/>
      <c r="D100" s="270"/>
      <c r="E100" s="111"/>
    </row>
    <row r="101" spans="1:5" ht="13.5" customHeight="1">
      <c r="A101" s="108" t="s">
        <v>121</v>
      </c>
      <c r="B101" s="387">
        <f>$B99*$D97</f>
        <v>5510.2318417907</v>
      </c>
      <c r="C101" s="387">
        <f>C99*D97</f>
        <v>0</v>
      </c>
      <c r="D101" s="387">
        <f>SUM(B101:C101)</f>
        <v>5510.2318417907</v>
      </c>
      <c r="E101" s="111"/>
    </row>
    <row r="102" spans="1:5" ht="7.5" customHeight="1">
      <c r="A102" s="111"/>
      <c r="B102" s="271"/>
      <c r="C102" s="271"/>
      <c r="D102" s="271"/>
      <c r="E102" s="111"/>
    </row>
    <row r="103" spans="1:5" ht="13.5" customHeight="1">
      <c r="A103" s="108" t="s">
        <v>145</v>
      </c>
      <c r="B103" s="278">
        <f>$B25</f>
        <v>62137.61</v>
      </c>
      <c r="C103" s="277"/>
      <c r="D103" s="277"/>
      <c r="E103" s="111"/>
    </row>
    <row r="104" spans="1:5" ht="7.5" customHeight="1">
      <c r="A104" s="111"/>
      <c r="B104" s="272"/>
      <c r="C104" s="271"/>
      <c r="D104" s="271"/>
      <c r="E104" s="111"/>
    </row>
    <row r="105" spans="1:5" ht="13.5" customHeight="1">
      <c r="A105" s="108" t="s">
        <v>161</v>
      </c>
      <c r="B105" s="397">
        <f>IF(ISERROR($B101/$B103),0,$B101/$B103)</f>
        <v>0.08867788512932345</v>
      </c>
      <c r="C105" s="279"/>
      <c r="D105" s="279"/>
      <c r="E105" s="111"/>
    </row>
    <row r="106" spans="1:5" s="30" customFormat="1" ht="12.75">
      <c r="A106" s="281"/>
      <c r="B106" s="282"/>
      <c r="C106" s="283"/>
      <c r="D106" s="282"/>
      <c r="E106" s="281"/>
    </row>
    <row r="107" spans="1:5" ht="12.75">
      <c r="A107" s="281"/>
      <c r="B107" s="282"/>
      <c r="C107" s="283"/>
      <c r="D107" s="282"/>
      <c r="E107" s="111"/>
    </row>
    <row r="108" spans="1:5" ht="12.75">
      <c r="A108" s="281"/>
      <c r="B108" s="282"/>
      <c r="C108" s="283"/>
      <c r="D108" s="282"/>
      <c r="E108" s="111"/>
    </row>
    <row r="109" ht="15">
      <c r="A109" s="53" t="s">
        <v>9</v>
      </c>
    </row>
    <row r="110" ht="10.5" customHeight="1">
      <c r="A110" s="129"/>
    </row>
    <row r="111" ht="9" customHeight="1">
      <c r="A111" s="130"/>
    </row>
    <row r="112" spans="1:7" ht="39.75" thickBot="1">
      <c r="A112" s="130"/>
      <c r="B112" s="267" t="s">
        <v>91</v>
      </c>
      <c r="C112" s="267" t="s">
        <v>92</v>
      </c>
      <c r="D112" s="267" t="s">
        <v>122</v>
      </c>
      <c r="E112" s="265"/>
      <c r="F112" s="265"/>
      <c r="G112" s="265"/>
    </row>
    <row r="113" spans="1:3" ht="15">
      <c r="A113" s="130"/>
      <c r="B113" s="29"/>
      <c r="C113" s="29"/>
    </row>
    <row r="114" spans="1:5" ht="12.75">
      <c r="A114" s="108" t="s">
        <v>120</v>
      </c>
      <c r="B114" s="275"/>
      <c r="C114" s="275"/>
      <c r="D114" s="392">
        <f>$G28</f>
        <v>176.23543579156933</v>
      </c>
      <c r="E114" s="111"/>
    </row>
    <row r="115" spans="1:5" ht="7.5" customHeight="1">
      <c r="A115" s="111"/>
      <c r="B115" s="268"/>
      <c r="C115" s="268"/>
      <c r="D115" s="269"/>
      <c r="E115" s="111"/>
    </row>
    <row r="116" spans="1:5" ht="12.75">
      <c r="A116" s="108" t="s">
        <v>89</v>
      </c>
      <c r="B116" s="276">
        <v>1</v>
      </c>
      <c r="C116" s="276">
        <v>0</v>
      </c>
      <c r="D116" s="276">
        <f>B116+C116</f>
        <v>1</v>
      </c>
      <c r="E116" s="111"/>
    </row>
    <row r="117" spans="1:5" ht="7.5" customHeight="1">
      <c r="A117" s="111"/>
      <c r="B117" s="270"/>
      <c r="C117" s="270"/>
      <c r="D117" s="270"/>
      <c r="E117" s="111"/>
    </row>
    <row r="118" spans="1:5" ht="13.5" customHeight="1">
      <c r="A118" s="108" t="s">
        <v>121</v>
      </c>
      <c r="B118" s="387">
        <f>$B116*$D114</f>
        <v>176.23543579156933</v>
      </c>
      <c r="C118" s="387">
        <f>C116*D114</f>
        <v>0</v>
      </c>
      <c r="D118" s="387">
        <f>SUM(B118:C118)</f>
        <v>176.23543579156933</v>
      </c>
      <c r="E118" s="111"/>
    </row>
    <row r="119" spans="1:5" ht="7.5" customHeight="1">
      <c r="A119" s="111"/>
      <c r="B119" s="271"/>
      <c r="C119" s="271"/>
      <c r="D119" s="271"/>
      <c r="E119" s="111"/>
    </row>
    <row r="120" spans="1:5" ht="13.5" customHeight="1">
      <c r="A120" s="108" t="s">
        <v>145</v>
      </c>
      <c r="B120" s="278">
        <f>$B28</f>
        <v>1765.66</v>
      </c>
      <c r="C120" s="277"/>
      <c r="D120" s="277"/>
      <c r="E120" s="111"/>
    </row>
    <row r="121" spans="1:5" ht="7.5" customHeight="1">
      <c r="A121" s="111"/>
      <c r="B121" s="272"/>
      <c r="C121" s="271"/>
      <c r="D121" s="271"/>
      <c r="E121" s="111"/>
    </row>
    <row r="122" spans="1:5" ht="13.5" customHeight="1">
      <c r="A122" s="108" t="s">
        <v>161</v>
      </c>
      <c r="B122" s="397">
        <f>IF(ISERROR($B118/$B120),0,$B118/$B120)</f>
        <v>0.09981278150468909</v>
      </c>
      <c r="C122" s="279"/>
      <c r="D122" s="279"/>
      <c r="E122" s="111"/>
    </row>
    <row r="123" spans="1:5" ht="12.75">
      <c r="A123" s="281"/>
      <c r="B123" s="282"/>
      <c r="C123" s="283"/>
      <c r="D123" s="282"/>
      <c r="E123" s="281"/>
    </row>
    <row r="124" spans="1:5" ht="12.75">
      <c r="A124" s="281"/>
      <c r="B124" s="282"/>
      <c r="C124" s="283"/>
      <c r="D124" s="282"/>
      <c r="E124" s="111"/>
    </row>
    <row r="125" spans="1:5" ht="12.75">
      <c r="A125" s="281"/>
      <c r="B125" s="282"/>
      <c r="C125" s="283"/>
      <c r="D125" s="282"/>
      <c r="E125" s="111"/>
    </row>
    <row r="126" ht="15">
      <c r="A126" s="53" t="s">
        <v>94</v>
      </c>
    </row>
    <row r="127" ht="10.5" customHeight="1">
      <c r="A127" s="129"/>
    </row>
    <row r="128" ht="9" customHeight="1">
      <c r="A128" s="130"/>
    </row>
    <row r="129" spans="1:7" ht="39.75" thickBot="1">
      <c r="A129" s="130"/>
      <c r="B129" s="267" t="s">
        <v>91</v>
      </c>
      <c r="C129" s="267" t="s">
        <v>92</v>
      </c>
      <c r="D129" s="267" t="s">
        <v>122</v>
      </c>
      <c r="E129" s="265"/>
      <c r="F129" s="265"/>
      <c r="G129" s="265"/>
    </row>
    <row r="130" spans="1:3" ht="15">
      <c r="A130" s="130"/>
      <c r="B130" s="29"/>
      <c r="C130" s="29"/>
    </row>
    <row r="131" spans="1:5" ht="12.75">
      <c r="A131" s="108" t="s">
        <v>120</v>
      </c>
      <c r="B131" s="275"/>
      <c r="C131" s="275"/>
      <c r="D131" s="392">
        <f>$G29</f>
        <v>691.1033887283414</v>
      </c>
      <c r="E131" s="111"/>
    </row>
    <row r="132" spans="1:5" ht="7.5" customHeight="1">
      <c r="A132" s="111"/>
      <c r="B132" s="268"/>
      <c r="C132" s="268"/>
      <c r="D132" s="269"/>
      <c r="E132" s="111"/>
    </row>
    <row r="133" spans="1:5" ht="12.75">
      <c r="A133" s="108" t="s">
        <v>89</v>
      </c>
      <c r="B133" s="276">
        <v>1</v>
      </c>
      <c r="C133" s="276">
        <v>0</v>
      </c>
      <c r="D133" s="276">
        <f>B133+C133</f>
        <v>1</v>
      </c>
      <c r="E133" s="111"/>
    </row>
    <row r="134" spans="1:5" ht="7.5" customHeight="1">
      <c r="A134" s="111"/>
      <c r="B134" s="270"/>
      <c r="C134" s="270"/>
      <c r="D134" s="270"/>
      <c r="E134" s="111"/>
    </row>
    <row r="135" spans="1:5" ht="13.5" customHeight="1">
      <c r="A135" s="108" t="s">
        <v>121</v>
      </c>
      <c r="B135" s="387">
        <f>$B133*$D131</f>
        <v>691.1033887283414</v>
      </c>
      <c r="C135" s="387">
        <f>C133*D131</f>
        <v>0</v>
      </c>
      <c r="D135" s="387">
        <f>SUM(B135:C135)</f>
        <v>691.1033887283414</v>
      </c>
      <c r="E135" s="111"/>
    </row>
    <row r="136" spans="1:5" ht="7.5" customHeight="1">
      <c r="A136" s="111"/>
      <c r="B136" s="271"/>
      <c r="C136" s="271"/>
      <c r="D136" s="271"/>
      <c r="E136" s="111"/>
    </row>
    <row r="137" spans="1:5" ht="13.5" customHeight="1">
      <c r="A137" s="108" t="s">
        <v>145</v>
      </c>
      <c r="B137" s="278">
        <f>$B29</f>
        <v>5769.72</v>
      </c>
      <c r="C137" s="277"/>
      <c r="D137" s="277"/>
      <c r="E137" s="111"/>
    </row>
    <row r="138" spans="1:5" ht="7.5" customHeight="1">
      <c r="A138" s="111"/>
      <c r="B138" s="272"/>
      <c r="C138" s="271"/>
      <c r="D138" s="271"/>
      <c r="E138" s="111"/>
    </row>
    <row r="139" spans="1:5" ht="13.5" customHeight="1">
      <c r="A139" s="108" t="s">
        <v>161</v>
      </c>
      <c r="B139" s="397">
        <f>IF(ISERROR($B135/$B137),0,$B135/$B137)</f>
        <v>0.11978109660925337</v>
      </c>
      <c r="C139" s="279"/>
      <c r="D139" s="279"/>
      <c r="E139" s="111"/>
    </row>
    <row r="143" ht="15">
      <c r="A143" s="53" t="s">
        <v>211</v>
      </c>
    </row>
    <row r="144" ht="15">
      <c r="A144" s="129"/>
    </row>
    <row r="145" ht="15">
      <c r="A145" s="130"/>
    </row>
    <row r="146" spans="1:4" ht="39.75" thickBot="1">
      <c r="A146" s="130"/>
      <c r="B146" s="267" t="s">
        <v>91</v>
      </c>
      <c r="C146" s="267" t="s">
        <v>92</v>
      </c>
      <c r="D146" s="267" t="s">
        <v>122</v>
      </c>
    </row>
    <row r="147" spans="1:3" ht="15">
      <c r="A147" s="130"/>
      <c r="B147" s="29"/>
      <c r="C147" s="29"/>
    </row>
    <row r="148" spans="1:4" ht="12.75">
      <c r="A148" s="108" t="s">
        <v>120</v>
      </c>
      <c r="B148" s="275"/>
      <c r="C148" s="275"/>
      <c r="D148" s="472">
        <f>$G30</f>
        <v>26750.661740228756</v>
      </c>
    </row>
    <row r="149" spans="1:4" ht="12.75">
      <c r="A149" s="111"/>
      <c r="B149" s="268"/>
      <c r="C149" s="268"/>
      <c r="D149" s="269"/>
    </row>
    <row r="150" spans="1:4" ht="12.75">
      <c r="A150" s="108" t="s">
        <v>89</v>
      </c>
      <c r="B150" s="276">
        <v>1</v>
      </c>
      <c r="C150" s="276">
        <v>0</v>
      </c>
      <c r="D150" s="276">
        <f>B150+C150</f>
        <v>1</v>
      </c>
    </row>
    <row r="151" spans="1:4" ht="12.75">
      <c r="A151" s="111"/>
      <c r="B151" s="270"/>
      <c r="C151" s="270"/>
      <c r="D151" s="270"/>
    </row>
    <row r="152" spans="1:4" ht="12.75">
      <c r="A152" s="108" t="s">
        <v>121</v>
      </c>
      <c r="B152" s="387">
        <f>$B150*$D148</f>
        <v>26750.661740228756</v>
      </c>
      <c r="C152" s="387">
        <f>C150*D148</f>
        <v>0</v>
      </c>
      <c r="D152" s="387">
        <f>SUM(B152:C152)</f>
        <v>26750.661740228756</v>
      </c>
    </row>
    <row r="153" spans="1:4" ht="12.75">
      <c r="A153" s="111"/>
      <c r="B153" s="271"/>
      <c r="C153" s="271"/>
      <c r="D153" s="271"/>
    </row>
    <row r="154" spans="1:4" ht="12.75">
      <c r="A154" s="108" t="s">
        <v>87</v>
      </c>
      <c r="B154" s="473">
        <f>$C30</f>
        <v>80613349</v>
      </c>
      <c r="C154" s="277"/>
      <c r="D154" s="277"/>
    </row>
    <row r="155" spans="1:4" ht="12.75">
      <c r="A155" s="111"/>
      <c r="B155" s="272"/>
      <c r="C155" s="271"/>
      <c r="D155" s="271"/>
    </row>
    <row r="156" spans="1:4" ht="12.75">
      <c r="A156" s="108" t="s">
        <v>165</v>
      </c>
      <c r="B156" s="397">
        <f>IF(ISERROR($B152/$B154),0,$B152/$B154)</f>
        <v>0.00033183910694776814</v>
      </c>
      <c r="C156" s="279"/>
      <c r="D156" s="279"/>
    </row>
    <row r="157" spans="1:4" ht="12.75">
      <c r="A157" s="111"/>
      <c r="B157" s="273"/>
      <c r="C157" s="274"/>
      <c r="D157" s="274"/>
    </row>
    <row r="158" spans="1:4" ht="15">
      <c r="A158" s="130"/>
      <c r="B158" s="55"/>
      <c r="C158" s="55"/>
      <c r="D158" s="55"/>
    </row>
    <row r="159" spans="2:4" ht="12.75">
      <c r="B159" s="55"/>
      <c r="C159" s="55"/>
      <c r="D159" s="55"/>
    </row>
    <row r="160" ht="15">
      <c r="A160" s="53" t="s">
        <v>212</v>
      </c>
    </row>
    <row r="161" ht="15">
      <c r="A161" s="129"/>
    </row>
    <row r="162" ht="15">
      <c r="A162" s="130"/>
    </row>
    <row r="163" spans="1:4" ht="39.75" thickBot="1">
      <c r="A163" s="130"/>
      <c r="B163" s="267" t="s">
        <v>91</v>
      </c>
      <c r="C163" s="267" t="s">
        <v>92</v>
      </c>
      <c r="D163" s="267" t="s">
        <v>122</v>
      </c>
    </row>
    <row r="164" spans="1:3" ht="15">
      <c r="A164" s="130"/>
      <c r="B164" s="29"/>
      <c r="C164" s="29"/>
    </row>
    <row r="165" spans="1:4" ht="12.75">
      <c r="A165" s="108" t="s">
        <v>120</v>
      </c>
      <c r="B165" s="275"/>
      <c r="C165" s="275"/>
      <c r="D165" s="472">
        <f>$G31</f>
        <v>9127.132761992529</v>
      </c>
    </row>
    <row r="166" spans="1:4" ht="12.75">
      <c r="A166" s="111"/>
      <c r="B166" s="268"/>
      <c r="C166" s="268"/>
      <c r="D166" s="269"/>
    </row>
    <row r="167" spans="1:4" ht="12.75">
      <c r="A167" s="108" t="s">
        <v>89</v>
      </c>
      <c r="B167" s="276">
        <v>1</v>
      </c>
      <c r="C167" s="276">
        <v>0</v>
      </c>
      <c r="D167" s="276">
        <f>B167+C167</f>
        <v>1</v>
      </c>
    </row>
    <row r="168" spans="1:4" ht="12.75">
      <c r="A168" s="111"/>
      <c r="B168" s="270"/>
      <c r="C168" s="270"/>
      <c r="D168" s="270"/>
    </row>
    <row r="169" spans="1:4" ht="12.75">
      <c r="A169" s="108" t="s">
        <v>121</v>
      </c>
      <c r="B169" s="387">
        <f>$B167*$D165</f>
        <v>9127.132761992529</v>
      </c>
      <c r="C169" s="387">
        <f>C167*D165</f>
        <v>0</v>
      </c>
      <c r="D169" s="387">
        <f>SUM(B169:C169)</f>
        <v>9127.132761992529</v>
      </c>
    </row>
    <row r="170" spans="1:4" ht="12.75">
      <c r="A170" s="111"/>
      <c r="B170" s="271"/>
      <c r="C170" s="271"/>
      <c r="D170" s="271"/>
    </row>
    <row r="171" spans="1:4" ht="12.75">
      <c r="A171" s="108" t="s">
        <v>87</v>
      </c>
      <c r="B171" s="473">
        <f>$C31</f>
        <v>27504693</v>
      </c>
      <c r="C171" s="277"/>
      <c r="D171" s="277"/>
    </row>
    <row r="172" spans="1:4" ht="12.75">
      <c r="A172" s="111"/>
      <c r="B172" s="272"/>
      <c r="C172" s="271"/>
      <c r="D172" s="271"/>
    </row>
    <row r="173" spans="1:4" ht="12.75">
      <c r="A173" s="108" t="s">
        <v>165</v>
      </c>
      <c r="B173" s="397">
        <f>IF(ISERROR($B169/$B171),0,$B169/$B171)</f>
        <v>0.0003318391069477681</v>
      </c>
      <c r="C173" s="279"/>
      <c r="D173" s="279"/>
    </row>
    <row r="174" spans="1:4" ht="12.75">
      <c r="A174" s="111"/>
      <c r="B174" s="273"/>
      <c r="C174" s="274"/>
      <c r="D174" s="274"/>
    </row>
    <row r="175" spans="1:4" ht="15">
      <c r="A175" s="130"/>
      <c r="B175" s="55"/>
      <c r="C175" s="55"/>
      <c r="D175" s="55"/>
    </row>
    <row r="176" spans="2:4" ht="12.75">
      <c r="B176" s="55"/>
      <c r="C176" s="55"/>
      <c r="D176" s="55"/>
    </row>
    <row r="177" ht="15">
      <c r="A177" s="53" t="s">
        <v>213</v>
      </c>
    </row>
    <row r="178" ht="15">
      <c r="A178" s="129"/>
    </row>
    <row r="179" ht="15">
      <c r="A179" s="130"/>
    </row>
    <row r="180" spans="1:4" ht="39.75" thickBot="1">
      <c r="A180" s="130"/>
      <c r="B180" s="267" t="s">
        <v>91</v>
      </c>
      <c r="C180" s="267" t="s">
        <v>92</v>
      </c>
      <c r="D180" s="267" t="s">
        <v>122</v>
      </c>
    </row>
    <row r="181" spans="1:3" ht="15">
      <c r="A181" s="130"/>
      <c r="B181" s="29"/>
      <c r="C181" s="29"/>
    </row>
    <row r="182" spans="1:4" ht="12.75">
      <c r="A182" s="108" t="s">
        <v>120</v>
      </c>
      <c r="B182" s="275"/>
      <c r="C182" s="275"/>
      <c r="D182" s="472">
        <f>$G32</f>
        <v>21741.93767709</v>
      </c>
    </row>
    <row r="183" spans="1:4" ht="12.75">
      <c r="A183" s="111"/>
      <c r="B183" s="268"/>
      <c r="C183" s="268"/>
      <c r="D183" s="269"/>
    </row>
    <row r="184" spans="1:4" ht="12.75">
      <c r="A184" s="108" t="s">
        <v>89</v>
      </c>
      <c r="B184" s="276">
        <v>1</v>
      </c>
      <c r="C184" s="276">
        <v>0</v>
      </c>
      <c r="D184" s="276">
        <f>B184+C184</f>
        <v>1</v>
      </c>
    </row>
    <row r="185" spans="1:4" ht="12.75">
      <c r="A185" s="111"/>
      <c r="B185" s="270"/>
      <c r="C185" s="270"/>
      <c r="D185" s="270"/>
    </row>
    <row r="186" spans="1:4" ht="12.75">
      <c r="A186" s="108" t="s">
        <v>121</v>
      </c>
      <c r="B186" s="387">
        <f>$B184*$D182</f>
        <v>21741.93767709</v>
      </c>
      <c r="C186" s="387">
        <f>C184*D182</f>
        <v>0</v>
      </c>
      <c r="D186" s="387">
        <f>SUM(B186:C186)</f>
        <v>21741.93767709</v>
      </c>
    </row>
    <row r="187" spans="1:4" ht="12.75">
      <c r="A187" s="111"/>
      <c r="B187" s="271"/>
      <c r="C187" s="271"/>
      <c r="D187" s="271"/>
    </row>
    <row r="188" spans="1:4" ht="12.75">
      <c r="A188" s="108" t="s">
        <v>145</v>
      </c>
      <c r="B188" s="473">
        <f>$B32</f>
        <v>194765.76</v>
      </c>
      <c r="C188" s="277"/>
      <c r="D188" s="277"/>
    </row>
    <row r="189" spans="1:4" ht="12.75">
      <c r="A189" s="111"/>
      <c r="B189" s="272"/>
      <c r="C189" s="271"/>
      <c r="D189" s="271"/>
    </row>
    <row r="190" spans="1:4" ht="12.75">
      <c r="A190" s="108" t="s">
        <v>161</v>
      </c>
      <c r="B190" s="397">
        <f>IF(ISERROR($B186/$B188),0,$B186/$B188)</f>
        <v>0.11163121113839516</v>
      </c>
      <c r="C190" s="279"/>
      <c r="D190" s="279"/>
    </row>
    <row r="191" spans="1:4" ht="12.75">
      <c r="A191" s="281"/>
      <c r="B191" s="282"/>
      <c r="C191" s="283"/>
      <c r="D191" s="282"/>
    </row>
    <row r="192" spans="1:4" ht="12.75">
      <c r="A192" s="281"/>
      <c r="B192" s="282"/>
      <c r="C192" s="283"/>
      <c r="D192" s="282"/>
    </row>
    <row r="194" ht="15">
      <c r="A194" s="53" t="s">
        <v>214</v>
      </c>
    </row>
    <row r="195" ht="15">
      <c r="A195" s="129"/>
    </row>
    <row r="196" ht="15">
      <c r="A196" s="130"/>
    </row>
    <row r="197" spans="1:4" ht="39.75" thickBot="1">
      <c r="A197" s="130"/>
      <c r="B197" s="267" t="s">
        <v>91</v>
      </c>
      <c r="C197" s="267" t="s">
        <v>92</v>
      </c>
      <c r="D197" s="267" t="s">
        <v>122</v>
      </c>
    </row>
    <row r="198" spans="1:3" ht="15">
      <c r="A198" s="130"/>
      <c r="B198" s="29"/>
      <c r="C198" s="29"/>
    </row>
    <row r="199" spans="1:4" ht="12.75">
      <c r="A199" s="108" t="s">
        <v>120</v>
      </c>
      <c r="B199" s="275"/>
      <c r="C199" s="275"/>
      <c r="D199" s="472">
        <f>$G33</f>
        <v>0</v>
      </c>
    </row>
    <row r="200" spans="1:4" ht="12.75">
      <c r="A200" s="111"/>
      <c r="B200" s="268"/>
      <c r="C200" s="268"/>
      <c r="D200" s="269"/>
    </row>
    <row r="201" spans="1:4" ht="12.75">
      <c r="A201" s="108" t="s">
        <v>89</v>
      </c>
      <c r="B201" s="276">
        <v>1</v>
      </c>
      <c r="C201" s="276">
        <v>0</v>
      </c>
      <c r="D201" s="276">
        <f>B201+C201</f>
        <v>1</v>
      </c>
    </row>
    <row r="202" spans="1:4" ht="12.75">
      <c r="A202" s="111"/>
      <c r="B202" s="270"/>
      <c r="C202" s="270"/>
      <c r="D202" s="270"/>
    </row>
    <row r="203" spans="1:4" ht="12.75">
      <c r="A203" s="108" t="s">
        <v>121</v>
      </c>
      <c r="B203" s="387">
        <f>$B201*$D199</f>
        <v>0</v>
      </c>
      <c r="C203" s="387">
        <f>C201*D199</f>
        <v>0</v>
      </c>
      <c r="D203" s="387">
        <f>SUM(B203:C203)</f>
        <v>0</v>
      </c>
    </row>
    <row r="204" spans="1:4" ht="12.75">
      <c r="A204" s="111"/>
      <c r="B204" s="271"/>
      <c r="C204" s="271"/>
      <c r="D204" s="271"/>
    </row>
    <row r="205" spans="1:4" ht="12.75">
      <c r="A205" s="108" t="s">
        <v>87</v>
      </c>
      <c r="B205" s="473">
        <f>$C33</f>
        <v>0</v>
      </c>
      <c r="C205" s="277"/>
      <c r="D205" s="277"/>
    </row>
    <row r="206" spans="1:4" ht="12.75">
      <c r="A206" s="111"/>
      <c r="B206" s="272"/>
      <c r="C206" s="271"/>
      <c r="D206" s="271"/>
    </row>
    <row r="207" spans="1:4" ht="12.75">
      <c r="A207" s="108" t="s">
        <v>165</v>
      </c>
      <c r="B207" s="397">
        <f>IF(ISERROR($B203/$B205),0,$B203/$B205)</f>
        <v>0</v>
      </c>
      <c r="C207" s="279"/>
      <c r="D207" s="279"/>
    </row>
  </sheetData>
  <sheetProtection/>
  <mergeCells count="3">
    <mergeCell ref="A14:D14"/>
    <mergeCell ref="C36:F36"/>
    <mergeCell ref="B7:C7"/>
  </mergeCells>
  <printOptions/>
  <pageMargins left="0.7480314960629921" right="0.7480314960629921" top="0.984251968503937" bottom="0.7874015748031497" header="0.5118110236220472" footer="0.5118110236220472"/>
  <pageSetup fitToHeight="0" horizontalDpi="600" verticalDpi="600" orientation="portrait" scale="61" r:id="rId1"/>
  <headerFooter alignWithMargins="0">
    <oddFooter>&amp;LHaldimand County Hydro Inc.
Page &amp;P of &amp;N&amp;R&amp;"Arial,Bold"&amp;F
&amp;A</oddFooter>
  </headerFooter>
  <rowBreaks count="2" manualBreakCount="2">
    <brk id="74" max="6" man="1"/>
    <brk id="142" max="6" man="1"/>
  </rowBreaks>
</worksheet>
</file>

<file path=xl/worksheets/sheet9.xml><?xml version="1.0" encoding="utf-8"?>
<worksheet xmlns="http://schemas.openxmlformats.org/spreadsheetml/2006/main" xmlns:r="http://schemas.openxmlformats.org/officeDocument/2006/relationships">
  <dimension ref="A1:H190"/>
  <sheetViews>
    <sheetView view="pageBreakPreview" zoomScale="60" zoomScaleNormal="75" zoomScalePageLayoutView="0" workbookViewId="0" topLeftCell="A21">
      <selection activeCell="D194" sqref="D194"/>
    </sheetView>
  </sheetViews>
  <sheetFormatPr defaultColWidth="9.140625" defaultRowHeight="12.75"/>
  <cols>
    <col min="1" max="1" width="51.421875" style="8" customWidth="1"/>
    <col min="2" max="2" width="13.140625" style="8" customWidth="1"/>
    <col min="3" max="3" width="12.8515625" style="8" customWidth="1"/>
    <col min="4" max="4" width="14.00390625" style="8" customWidth="1"/>
    <col min="5" max="5" width="16.8515625" style="8" customWidth="1"/>
    <col min="6" max="6" width="11.7109375" style="8" customWidth="1"/>
    <col min="7" max="7" width="16.57421875" style="8" customWidth="1"/>
    <col min="8" max="8" width="15.28125" style="8" customWidth="1"/>
    <col min="9" max="16384" width="9.140625" style="8" customWidth="1"/>
  </cols>
  <sheetData>
    <row r="1" ht="17.25">
      <c r="A1" s="36" t="s">
        <v>166</v>
      </c>
    </row>
    <row r="2" ht="18" thickBot="1">
      <c r="A2" s="115"/>
    </row>
    <row r="3" spans="1:7" ht="17.25">
      <c r="A3" s="286" t="str">
        <f>"Name of Utility:      "&amp;'Info Sheet'!B4</f>
        <v>Name of Utility:      Haldimand County Hydro Inc.</v>
      </c>
      <c r="B3" s="287"/>
      <c r="C3" s="375"/>
      <c r="D3" s="441" t="str">
        <f>'Info Sheet'!$B$21</f>
        <v>2005.V1.0</v>
      </c>
      <c r="E3" s="35"/>
      <c r="F3" s="115"/>
      <c r="G3" s="116"/>
    </row>
    <row r="4" spans="1:7" ht="17.25">
      <c r="A4" s="288" t="str">
        <f>"License Number:   "&amp;'Info Sheet'!B6</f>
        <v>License Number:   ED-2002-0539</v>
      </c>
      <c r="B4" s="26"/>
      <c r="C4" s="376"/>
      <c r="D4" s="380" t="str">
        <f>'Info Sheet'!B8</f>
        <v>RP-2005-0013</v>
      </c>
      <c r="E4" s="35"/>
      <c r="F4" s="115"/>
      <c r="G4" s="116"/>
    </row>
    <row r="5" spans="1:4" ht="15">
      <c r="A5" s="288" t="str">
        <f>"Name of Contact:  "&amp;'Info Sheet'!B12</f>
        <v>Name of Contact:  Jacqueline Scott - Finance Manager</v>
      </c>
      <c r="B5" s="373"/>
      <c r="C5" s="373"/>
      <c r="D5" s="380" t="str">
        <f>'Info Sheet'!B10</f>
        <v>EB-2005-0034</v>
      </c>
    </row>
    <row r="6" spans="1:4" ht="17.25">
      <c r="A6" s="289" t="str">
        <f>"E- Mail Address:    "&amp;'Info Sheet'!B14</f>
        <v>E- Mail Address:    jscott@hchydro.ca</v>
      </c>
      <c r="B6" s="26"/>
      <c r="C6" s="377"/>
      <c r="D6" s="99"/>
    </row>
    <row r="7" spans="1:4" ht="15">
      <c r="A7" s="288" t="str">
        <f>"Phone Number:     "&amp;'Info Sheet'!B16</f>
        <v>Phone Number:     905-765-5211</v>
      </c>
      <c r="B7" s="536" t="str">
        <f>'Info Sheet'!$C$16&amp;" "&amp;'Info Sheet'!$D$16</f>
        <v>Extension: 237</v>
      </c>
      <c r="C7" s="536"/>
      <c r="D7" s="99"/>
    </row>
    <row r="8" spans="1:4" ht="15.75" thickBot="1">
      <c r="A8" s="290" t="str">
        <f>"Date:                      "&amp;('Info Sheet'!B18)</f>
        <v>Date:                      January 14, 2005</v>
      </c>
      <c r="B8" s="291"/>
      <c r="C8" s="378"/>
      <c r="D8" s="148"/>
    </row>
    <row r="9" spans="1:3" ht="15">
      <c r="A9" s="27"/>
      <c r="B9" s="28"/>
      <c r="C9" s="26"/>
    </row>
    <row r="10" spans="1:7" ht="13.5">
      <c r="A10" s="135"/>
      <c r="B10" s="136"/>
      <c r="C10" s="136"/>
      <c r="D10" s="136"/>
      <c r="E10" s="136"/>
      <c r="F10" s="136"/>
      <c r="G10" s="136"/>
    </row>
    <row r="11" spans="1:7" ht="13.5">
      <c r="A11" s="135"/>
      <c r="B11" s="136"/>
      <c r="C11" s="136"/>
      <c r="D11" s="136"/>
      <c r="E11" s="136"/>
      <c r="F11" s="136"/>
      <c r="G11" s="136"/>
    </row>
    <row r="12" ht="12.75" customHeight="1">
      <c r="A12" s="117"/>
    </row>
    <row r="13" spans="2:3" ht="12.75">
      <c r="B13" s="105"/>
      <c r="C13" s="55"/>
    </row>
    <row r="14" spans="1:7" ht="13.5">
      <c r="A14" s="541" t="s">
        <v>117</v>
      </c>
      <c r="B14" s="541"/>
      <c r="C14" s="541"/>
      <c r="D14" s="541"/>
      <c r="E14" s="33"/>
      <c r="F14" s="247"/>
      <c r="G14" s="368">
        <f>IF('6. Dec. 31, 2003 Reg. Assets'!D59="N/A",'6. Dec. 31, 2003 Reg. Assets'!D76,0)</f>
        <v>360546.0296969696</v>
      </c>
    </row>
    <row r="15" spans="1:7" ht="14.25">
      <c r="A15" s="139"/>
      <c r="B15" s="140"/>
      <c r="C15" s="141"/>
      <c r="D15" s="142"/>
      <c r="E15" s="142"/>
      <c r="F15" s="55"/>
      <c r="G15" s="55"/>
    </row>
    <row r="16" ht="12.75">
      <c r="C16" s="119"/>
    </row>
    <row r="17" spans="1:7" ht="13.5">
      <c r="A17" s="369" t="s">
        <v>167</v>
      </c>
      <c r="B17" s="136"/>
      <c r="C17" s="136"/>
      <c r="D17" s="136"/>
      <c r="E17" s="136"/>
      <c r="F17" s="136"/>
      <c r="G17" s="136"/>
    </row>
    <row r="18" spans="2:7" ht="12.75">
      <c r="B18" s="136"/>
      <c r="C18" s="136"/>
      <c r="D18" s="136"/>
      <c r="E18" s="136"/>
      <c r="F18" s="136"/>
      <c r="G18" s="136"/>
    </row>
    <row r="19" ht="13.5" thickBot="1"/>
    <row r="20" spans="1:8" ht="39.75" thickBot="1">
      <c r="A20" s="149" t="s">
        <v>157</v>
      </c>
      <c r="B20" s="150" t="s">
        <v>5</v>
      </c>
      <c r="C20" s="150" t="s">
        <v>6</v>
      </c>
      <c r="D20" s="150" t="s">
        <v>13</v>
      </c>
      <c r="E20" s="150" t="s">
        <v>7</v>
      </c>
      <c r="F20" s="150" t="s">
        <v>84</v>
      </c>
      <c r="G20" s="151" t="s">
        <v>60</v>
      </c>
      <c r="H20" s="120"/>
    </row>
    <row r="21" spans="1:7" ht="12.75">
      <c r="A21" s="85"/>
      <c r="B21" s="30"/>
      <c r="C21" s="121"/>
      <c r="D21" s="121"/>
      <c r="E21" s="30"/>
      <c r="F21" s="30"/>
      <c r="G21" s="99"/>
    </row>
    <row r="22" spans="1:8" ht="12.75">
      <c r="A22" s="146" t="s">
        <v>201</v>
      </c>
      <c r="B22" s="293" t="str">
        <f>'4. 2003 Data &amp; 2005 PILs'!B22</f>
        <v>-</v>
      </c>
      <c r="C22" s="293">
        <f>'4. 2003 Data &amp; 2005 PILs'!C22</f>
        <v>94477503</v>
      </c>
      <c r="D22" s="293">
        <f>'4. 2003 Data &amp; 2005 PILs'!D22</f>
        <v>11954</v>
      </c>
      <c r="E22" s="408">
        <f>'4. 2003 Data &amp; 2005 PILs'!E22</f>
        <v>3311085.53</v>
      </c>
      <c r="F22" s="251">
        <f>IF(ISERROR(E22/E$35),"",E22/E$35)</f>
        <v>0.3833962261747719</v>
      </c>
      <c r="G22" s="404">
        <f>IF(ISERROR($G$36*F22),0,$G$36*F22)</f>
        <v>138231.98714811538</v>
      </c>
      <c r="H22" s="253"/>
    </row>
    <row r="23" spans="1:8" ht="12.75">
      <c r="A23" s="146" t="s">
        <v>202</v>
      </c>
      <c r="B23" s="293" t="str">
        <f>'4. 2003 Data &amp; 2005 PILs'!B23</f>
        <v>-</v>
      </c>
      <c r="C23" s="293">
        <f>'4. 2003 Data &amp; 2005 PILs'!C23</f>
        <v>24094558</v>
      </c>
      <c r="D23" s="293">
        <f>'4. 2003 Data &amp; 2005 PILs'!D23</f>
        <v>937</v>
      </c>
      <c r="E23" s="408">
        <f>'4. 2003 Data &amp; 2005 PILs'!E23</f>
        <v>567921.98</v>
      </c>
      <c r="F23" s="251">
        <f aca="true" t="shared" si="0" ref="F23:F33">IF(ISERROR(E23/E$35),"",E23/E$35)</f>
        <v>0.06576065218517756</v>
      </c>
      <c r="G23" s="404">
        <f aca="true" t="shared" si="1" ref="G23:G33">IF(ISERROR($G$36*F23),0,$G$36*F23)</f>
        <v>23709.742055649116</v>
      </c>
      <c r="H23" s="253"/>
    </row>
    <row r="24" spans="1:8" ht="12.75">
      <c r="A24" s="146" t="s">
        <v>203</v>
      </c>
      <c r="B24" s="293">
        <f>'4. 2003 Data &amp; 2005 PILs'!B24</f>
        <v>114903.65</v>
      </c>
      <c r="C24" s="293">
        <f>'4. 2003 Data &amp; 2005 PILs'!C24</f>
        <v>40990753</v>
      </c>
      <c r="D24" s="293">
        <f>'4. 2003 Data &amp; 2005 PILs'!D24</f>
        <v>95</v>
      </c>
      <c r="E24" s="408">
        <f>'4. 2003 Data &amp; 2005 PILs'!E24</f>
        <v>550840.57</v>
      </c>
      <c r="F24" s="251">
        <f t="shared" si="0"/>
        <v>0.06378276666322186</v>
      </c>
      <c r="G24" s="404">
        <f t="shared" si="1"/>
        <v>22996.623283512872</v>
      </c>
      <c r="H24" s="253"/>
    </row>
    <row r="25" spans="1:8" ht="12.75">
      <c r="A25" s="146" t="s">
        <v>61</v>
      </c>
      <c r="B25" s="293">
        <f>'4. 2003 Data &amp; 2005 PILs'!B25</f>
        <v>62137.61</v>
      </c>
      <c r="C25" s="293">
        <f>'4. 2003 Data &amp; 2005 PILs'!C25</f>
        <v>16605131</v>
      </c>
      <c r="D25" s="293">
        <f>'4. 2003 Data &amp; 2005 PILs'!D25</f>
        <v>4</v>
      </c>
      <c r="E25" s="408">
        <f>'4. 2003 Data &amp; 2005 PILs'!E25</f>
        <v>44474.24</v>
      </c>
      <c r="F25" s="251">
        <f t="shared" si="0"/>
        <v>0.005149747906992632</v>
      </c>
      <c r="G25" s="404">
        <f t="shared" si="1"/>
        <v>1856.7211618064725</v>
      </c>
      <c r="H25" s="255"/>
    </row>
    <row r="26" spans="1:8" ht="12.75">
      <c r="A26" s="146" t="s">
        <v>136</v>
      </c>
      <c r="B26" s="293">
        <f>'4. 2003 Data &amp; 2005 PILs'!B26</f>
        <v>0</v>
      </c>
      <c r="C26" s="293">
        <f>'4. 2003 Data &amp; 2005 PILs'!C26</f>
        <v>0</v>
      </c>
      <c r="D26" s="293">
        <f>'4. 2003 Data &amp; 2005 PILs'!D26</f>
        <v>0</v>
      </c>
      <c r="E26" s="408">
        <f>'4. 2003 Data &amp; 2005 PILs'!E26</f>
        <v>0</v>
      </c>
      <c r="F26" s="251">
        <f t="shared" si="0"/>
        <v>0</v>
      </c>
      <c r="G26" s="404">
        <f t="shared" si="1"/>
        <v>0</v>
      </c>
      <c r="H26" s="255"/>
    </row>
    <row r="27" spans="1:8" ht="12.75">
      <c r="A27" s="146" t="s">
        <v>62</v>
      </c>
      <c r="B27" s="293">
        <f>'4. 2003 Data &amp; 2005 PILs'!B27</f>
        <v>0</v>
      </c>
      <c r="C27" s="293">
        <f>'4. 2003 Data &amp; 2005 PILs'!C27</f>
        <v>0</v>
      </c>
      <c r="D27" s="293">
        <f>'4. 2003 Data &amp; 2005 PILs'!D27</f>
        <v>0</v>
      </c>
      <c r="E27" s="408">
        <f>'4. 2003 Data &amp; 2005 PILs'!E27</f>
        <v>0</v>
      </c>
      <c r="F27" s="251">
        <f t="shared" si="0"/>
        <v>0</v>
      </c>
      <c r="G27" s="404">
        <f t="shared" si="1"/>
        <v>0</v>
      </c>
      <c r="H27" s="255"/>
    </row>
    <row r="28" spans="1:8" ht="12.75">
      <c r="A28" s="146" t="s">
        <v>63</v>
      </c>
      <c r="B28" s="293">
        <f>'4. 2003 Data &amp; 2005 PILs'!B28</f>
        <v>1765.66</v>
      </c>
      <c r="C28" s="293">
        <f>'4. 2003 Data &amp; 2005 PILs'!C28</f>
        <v>531087</v>
      </c>
      <c r="D28" s="293">
        <f>'4. 2003 Data &amp; 2005 PILs'!D28</f>
        <v>867</v>
      </c>
      <c r="E28" s="408">
        <f>'4. 2003 Data &amp; 2005 PILs'!E28</f>
        <v>20564.97</v>
      </c>
      <c r="F28" s="251">
        <f t="shared" si="0"/>
        <v>0.0023812528604168675</v>
      </c>
      <c r="G28" s="404">
        <f t="shared" si="1"/>
        <v>858.5512645278537</v>
      </c>
      <c r="H28" s="253"/>
    </row>
    <row r="29" spans="1:8" ht="12.75">
      <c r="A29" s="146" t="s">
        <v>64</v>
      </c>
      <c r="B29" s="293">
        <f>'4. 2003 Data &amp; 2005 PILs'!B29</f>
        <v>5769.72</v>
      </c>
      <c r="C29" s="293">
        <f>'4. 2003 Data &amp; 2005 PILs'!C29</f>
        <v>2082646</v>
      </c>
      <c r="D29" s="293">
        <f>'4. 2003 Data &amp; 2005 PILs'!D29</f>
        <v>2705</v>
      </c>
      <c r="E29" s="408">
        <f>'4. 2003 Data &amp; 2005 PILs'!E29</f>
        <v>48183.96</v>
      </c>
      <c r="F29" s="251">
        <f t="shared" si="0"/>
        <v>0.005579302696586084</v>
      </c>
      <c r="G29" s="404">
        <f t="shared" si="1"/>
        <v>2011.595435731709</v>
      </c>
      <c r="H29" s="256"/>
    </row>
    <row r="30" spans="1:8" ht="12.75">
      <c r="A30" s="146" t="s">
        <v>204</v>
      </c>
      <c r="B30" s="293" t="str">
        <f>'4. 2003 Data &amp; 2005 PILs'!B30</f>
        <v>-</v>
      </c>
      <c r="C30" s="293">
        <f>'4. 2003 Data &amp; 2005 PILs'!C30</f>
        <v>80613349</v>
      </c>
      <c r="D30" s="293">
        <f>'4. 2003 Data &amp; 2005 PILs'!D30</f>
        <v>5631</v>
      </c>
      <c r="E30" s="408">
        <f>'4. 2003 Data &amp; 2005 PILs'!E30</f>
        <v>2415250.88</v>
      </c>
      <c r="F30" s="251">
        <f t="shared" si="0"/>
        <v>0.2796660081013664</v>
      </c>
      <c r="G30" s="404">
        <f t="shared" si="1"/>
        <v>100832.46886214819</v>
      </c>
      <c r="H30" s="256"/>
    </row>
    <row r="31" spans="1:8" ht="12.75">
      <c r="A31" s="146" t="s">
        <v>205</v>
      </c>
      <c r="B31" s="293" t="str">
        <f>'4. 2003 Data &amp; 2005 PILs'!B31</f>
        <v>-</v>
      </c>
      <c r="C31" s="293">
        <f>'4. 2003 Data &amp; 2005 PILs'!C31</f>
        <v>27504693</v>
      </c>
      <c r="D31" s="293">
        <f>'4. 2003 Data &amp; 2005 PILs'!D31</f>
        <v>1391</v>
      </c>
      <c r="E31" s="408">
        <f>'4. 2003 Data &amp; 2005 PILs'!E31</f>
        <v>685053.65</v>
      </c>
      <c r="F31" s="251">
        <f t="shared" si="0"/>
        <v>0.07932352751312137</v>
      </c>
      <c r="G31" s="404">
        <f t="shared" si="1"/>
        <v>28599.782906414242</v>
      </c>
      <c r="H31" s="256"/>
    </row>
    <row r="32" spans="1:8" ht="12.75">
      <c r="A32" s="146" t="s">
        <v>206</v>
      </c>
      <c r="B32" s="293">
        <f>'4. 2003 Data &amp; 2005 PILs'!B32</f>
        <v>194765.76</v>
      </c>
      <c r="C32" s="293">
        <f>'4. 2003 Data &amp; 2005 PILs'!C32</f>
        <v>65519516</v>
      </c>
      <c r="D32" s="293">
        <f>'4. 2003 Data &amp; 2005 PILs'!D32</f>
        <v>102</v>
      </c>
      <c r="E32" s="408">
        <f>'4. 2003 Data &amp; 2005 PILs'!E32</f>
        <v>992821.72</v>
      </c>
      <c r="F32" s="251">
        <f t="shared" si="0"/>
        <v>0.1149605158983453</v>
      </c>
      <c r="G32" s="404">
        <f t="shared" si="1"/>
        <v>41448.55757906375</v>
      </c>
      <c r="H32" s="256"/>
    </row>
    <row r="33" spans="1:8" ht="12.75">
      <c r="A33" s="146" t="s">
        <v>207</v>
      </c>
      <c r="B33" s="346">
        <f>'4. 2003 Data &amp; 2005 PILs'!B33</f>
        <v>0</v>
      </c>
      <c r="C33" s="346">
        <f>'4. 2003 Data &amp; 2005 PILs'!C33</f>
        <v>0</v>
      </c>
      <c r="D33" s="346">
        <f>'4. 2003 Data &amp; 2005 PILs'!D33</f>
        <v>0</v>
      </c>
      <c r="E33" s="409">
        <f>'4. 2003 Data &amp; 2005 PILs'!E33</f>
        <v>0</v>
      </c>
      <c r="F33" s="259">
        <f t="shared" si="0"/>
        <v>0</v>
      </c>
      <c r="G33" s="405">
        <f t="shared" si="1"/>
        <v>0</v>
      </c>
      <c r="H33" s="256"/>
    </row>
    <row r="34" spans="1:8" ht="12.75">
      <c r="A34" s="146"/>
      <c r="B34" s="249"/>
      <c r="C34" s="260"/>
      <c r="D34" s="261"/>
      <c r="E34" s="410"/>
      <c r="F34" s="262"/>
      <c r="G34" s="404"/>
      <c r="H34" s="55"/>
    </row>
    <row r="35" spans="1:8" ht="12.75">
      <c r="A35" s="146" t="s">
        <v>8</v>
      </c>
      <c r="B35" s="30"/>
      <c r="C35" s="152">
        <f>SUM(C22:C33)</f>
        <v>352419236</v>
      </c>
      <c r="D35" s="152">
        <f>SUM(D22:D33)</f>
        <v>23686</v>
      </c>
      <c r="E35" s="411">
        <f>SUM(E22:E33)</f>
        <v>8636197.5</v>
      </c>
      <c r="F35" s="154">
        <f>SUM(F22:F33)</f>
        <v>1</v>
      </c>
      <c r="G35" s="406">
        <f>SUM(G22:G33)</f>
        <v>360546.02969696955</v>
      </c>
      <c r="H35" s="55"/>
    </row>
    <row r="36" spans="1:8" ht="12.75">
      <c r="A36" s="85"/>
      <c r="B36" s="30"/>
      <c r="C36" s="543" t="s">
        <v>131</v>
      </c>
      <c r="D36" s="543"/>
      <c r="E36" s="543"/>
      <c r="F36" s="544"/>
      <c r="G36" s="407">
        <f>G14</f>
        <v>360546.0296969696</v>
      </c>
      <c r="H36" s="263"/>
    </row>
    <row r="37" spans="1:7" ht="13.5" thickBot="1">
      <c r="A37" s="93"/>
      <c r="B37" s="147"/>
      <c r="C37" s="147"/>
      <c r="D37" s="147"/>
      <c r="E37" s="147"/>
      <c r="F37" s="147"/>
      <c r="G37" s="148"/>
    </row>
    <row r="39" ht="15">
      <c r="A39" s="162" t="s">
        <v>164</v>
      </c>
    </row>
    <row r="40" ht="15">
      <c r="A40" s="53"/>
    </row>
    <row r="41" ht="15">
      <c r="A41" s="53" t="s">
        <v>208</v>
      </c>
    </row>
    <row r="42" ht="10.5" customHeight="1">
      <c r="A42" s="129"/>
    </row>
    <row r="43" ht="9" customHeight="1">
      <c r="A43" s="130"/>
    </row>
    <row r="44" spans="1:7" ht="39.75" thickBot="1">
      <c r="A44" s="130"/>
      <c r="B44" s="267" t="s">
        <v>91</v>
      </c>
      <c r="C44" s="267" t="s">
        <v>92</v>
      </c>
      <c r="D44" s="267" t="s">
        <v>122</v>
      </c>
      <c r="E44" s="265"/>
      <c r="F44" s="265"/>
      <c r="G44" s="265"/>
    </row>
    <row r="45" spans="1:3" ht="15">
      <c r="A45" s="130"/>
      <c r="B45" s="29"/>
      <c r="C45" s="29"/>
    </row>
    <row r="46" spans="1:5" ht="12.75">
      <c r="A46" s="108" t="s">
        <v>120</v>
      </c>
      <c r="B46" s="275"/>
      <c r="C46" s="275"/>
      <c r="D46" s="392">
        <f>$G22</f>
        <v>138231.98714811538</v>
      </c>
      <c r="E46" s="111"/>
    </row>
    <row r="47" spans="1:5" ht="7.5" customHeight="1">
      <c r="A47" s="111"/>
      <c r="B47" s="268"/>
      <c r="C47" s="268"/>
      <c r="D47" s="269"/>
      <c r="E47" s="111"/>
    </row>
    <row r="48" spans="1:5" ht="12.75">
      <c r="A48" s="108" t="s">
        <v>89</v>
      </c>
      <c r="B48" s="276">
        <v>1</v>
      </c>
      <c r="C48" s="276">
        <v>0</v>
      </c>
      <c r="D48" s="276">
        <f>B48+C48</f>
        <v>1</v>
      </c>
      <c r="E48" s="111"/>
    </row>
    <row r="49" spans="1:5" ht="7.5" customHeight="1">
      <c r="A49" s="111"/>
      <c r="B49" s="270"/>
      <c r="C49" s="270"/>
      <c r="D49" s="270"/>
      <c r="E49" s="111"/>
    </row>
    <row r="50" spans="1:5" ht="13.5" customHeight="1">
      <c r="A50" s="108" t="s">
        <v>121</v>
      </c>
      <c r="B50" s="387">
        <f>$B48*$D46</f>
        <v>138231.98714811538</v>
      </c>
      <c r="C50" s="387">
        <f>C48*D46</f>
        <v>0</v>
      </c>
      <c r="D50" s="387">
        <f>SUM(B50:C50)</f>
        <v>138231.98714811538</v>
      </c>
      <c r="E50" s="111"/>
    </row>
    <row r="51" spans="1:5" ht="7.5" customHeight="1">
      <c r="A51" s="111"/>
      <c r="B51" s="271"/>
      <c r="C51" s="271"/>
      <c r="D51" s="271"/>
      <c r="E51" s="111"/>
    </row>
    <row r="52" spans="1:5" ht="13.5" customHeight="1">
      <c r="A52" s="108" t="s">
        <v>87</v>
      </c>
      <c r="B52" s="473">
        <f>$C22</f>
        <v>94477503</v>
      </c>
      <c r="C52" s="277"/>
      <c r="D52" s="277"/>
      <c r="E52" s="111"/>
    </row>
    <row r="53" spans="1:5" ht="7.5" customHeight="1">
      <c r="A53" s="111"/>
      <c r="B53" s="272"/>
      <c r="C53" s="271"/>
      <c r="D53" s="271"/>
      <c r="E53" s="111"/>
    </row>
    <row r="54" spans="1:5" ht="13.5" customHeight="1">
      <c r="A54" s="108" t="s">
        <v>165</v>
      </c>
      <c r="B54" s="397">
        <f>IF(ISERROR($B50/$B52),0,$B50/$B52)</f>
        <v>0.0014631206663888586</v>
      </c>
      <c r="C54" s="279"/>
      <c r="D54" s="279"/>
      <c r="E54" s="111"/>
    </row>
    <row r="55" spans="1:5" ht="12.75">
      <c r="A55" s="111"/>
      <c r="B55" s="273"/>
      <c r="C55" s="274"/>
      <c r="D55" s="274"/>
      <c r="E55" s="111"/>
    </row>
    <row r="56" spans="1:4" ht="15">
      <c r="A56" s="130"/>
      <c r="B56" s="55"/>
      <c r="C56" s="55"/>
      <c r="D56" s="55"/>
    </row>
    <row r="57" spans="2:4" ht="12.75">
      <c r="B57" s="55"/>
      <c r="C57" s="55"/>
      <c r="D57" s="55"/>
    </row>
    <row r="58" ht="15">
      <c r="A58" s="53" t="s">
        <v>209</v>
      </c>
    </row>
    <row r="59" ht="10.5" customHeight="1">
      <c r="A59" s="129"/>
    </row>
    <row r="60" ht="9" customHeight="1">
      <c r="A60" s="130"/>
    </row>
    <row r="61" spans="1:7" ht="39.75" thickBot="1">
      <c r="A61" s="130"/>
      <c r="B61" s="267" t="s">
        <v>91</v>
      </c>
      <c r="C61" s="267" t="s">
        <v>92</v>
      </c>
      <c r="D61" s="267" t="s">
        <v>122</v>
      </c>
      <c r="E61" s="265"/>
      <c r="F61" s="265"/>
      <c r="G61" s="265"/>
    </row>
    <row r="62" spans="1:3" ht="15">
      <c r="A62" s="130"/>
      <c r="B62" s="29"/>
      <c r="C62" s="29"/>
    </row>
    <row r="63" spans="1:5" ht="12.75">
      <c r="A63" s="108" t="s">
        <v>120</v>
      </c>
      <c r="B63" s="275"/>
      <c r="C63" s="275"/>
      <c r="D63" s="392">
        <f>$G23</f>
        <v>23709.742055649116</v>
      </c>
      <c r="E63" s="111"/>
    </row>
    <row r="64" spans="1:5" ht="7.5" customHeight="1">
      <c r="A64" s="111"/>
      <c r="B64" s="268"/>
      <c r="C64" s="268"/>
      <c r="D64" s="269"/>
      <c r="E64" s="111"/>
    </row>
    <row r="65" spans="1:5" ht="12.75">
      <c r="A65" s="108" t="s">
        <v>89</v>
      </c>
      <c r="B65" s="276">
        <v>1</v>
      </c>
      <c r="C65" s="276">
        <v>0</v>
      </c>
      <c r="D65" s="276">
        <f>B65+C65</f>
        <v>1</v>
      </c>
      <c r="E65" s="111"/>
    </row>
    <row r="66" spans="1:5" ht="7.5" customHeight="1">
      <c r="A66" s="111"/>
      <c r="B66" s="270"/>
      <c r="C66" s="270"/>
      <c r="D66" s="270"/>
      <c r="E66" s="111"/>
    </row>
    <row r="67" spans="1:5" ht="13.5" customHeight="1">
      <c r="A67" s="108" t="s">
        <v>121</v>
      </c>
      <c r="B67" s="387">
        <f>$B65*$D63</f>
        <v>23709.742055649116</v>
      </c>
      <c r="C67" s="387">
        <f>C65*D63</f>
        <v>0</v>
      </c>
      <c r="D67" s="387">
        <f>SUM(B67:C67)</f>
        <v>23709.742055649116</v>
      </c>
      <c r="E67" s="111"/>
    </row>
    <row r="68" spans="1:5" ht="7.5" customHeight="1">
      <c r="A68" s="111"/>
      <c r="B68" s="271"/>
      <c r="C68" s="271"/>
      <c r="D68" s="271"/>
      <c r="E68" s="111"/>
    </row>
    <row r="69" spans="1:5" ht="13.5" customHeight="1">
      <c r="A69" s="108" t="s">
        <v>87</v>
      </c>
      <c r="B69" s="278">
        <f>$C23</f>
        <v>24094558</v>
      </c>
      <c r="C69" s="277"/>
      <c r="D69" s="277"/>
      <c r="E69" s="111"/>
    </row>
    <row r="70" spans="1:5" ht="7.5" customHeight="1">
      <c r="A70" s="111"/>
      <c r="B70" s="272"/>
      <c r="C70" s="271"/>
      <c r="D70" s="271"/>
      <c r="E70" s="111"/>
    </row>
    <row r="71" spans="1:5" ht="13.5" customHeight="1">
      <c r="A71" s="108" t="s">
        <v>165</v>
      </c>
      <c r="B71" s="397">
        <f>IF(ISERROR($B67/$B69),0,$B67/$B69)</f>
        <v>0.00098402892701535</v>
      </c>
      <c r="C71" s="279"/>
      <c r="D71" s="279"/>
      <c r="E71" s="111"/>
    </row>
    <row r="72" spans="1:5" ht="12.75">
      <c r="A72" s="111"/>
      <c r="B72" s="273"/>
      <c r="C72" s="274"/>
      <c r="D72" s="274"/>
      <c r="E72" s="111"/>
    </row>
    <row r="73" spans="1:4" ht="15">
      <c r="A73" s="130"/>
      <c r="B73" s="55"/>
      <c r="C73" s="55"/>
      <c r="D73" s="55"/>
    </row>
    <row r="74" spans="2:4" ht="12.75">
      <c r="B74" s="55"/>
      <c r="C74" s="55"/>
      <c r="D74" s="55"/>
    </row>
    <row r="75" ht="15">
      <c r="A75" s="53" t="s">
        <v>210</v>
      </c>
    </row>
    <row r="76" ht="10.5" customHeight="1">
      <c r="A76" s="129"/>
    </row>
    <row r="77" ht="9" customHeight="1">
      <c r="A77" s="130"/>
    </row>
    <row r="78" spans="1:7" ht="39.75" thickBot="1">
      <c r="A78" s="130"/>
      <c r="B78" s="267" t="s">
        <v>91</v>
      </c>
      <c r="C78" s="267" t="s">
        <v>92</v>
      </c>
      <c r="D78" s="267" t="s">
        <v>122</v>
      </c>
      <c r="E78" s="265"/>
      <c r="F78" s="265"/>
      <c r="G78" s="265"/>
    </row>
    <row r="79" spans="1:3" ht="15">
      <c r="A79" s="130"/>
      <c r="B79" s="29"/>
      <c r="C79" s="29"/>
    </row>
    <row r="80" spans="1:5" ht="12.75">
      <c r="A80" s="108" t="s">
        <v>120</v>
      </c>
      <c r="B80" s="275"/>
      <c r="C80" s="275"/>
      <c r="D80" s="392">
        <f>$G24</f>
        <v>22996.623283512872</v>
      </c>
      <c r="E80" s="111"/>
    </row>
    <row r="81" spans="1:5" ht="7.5" customHeight="1">
      <c r="A81" s="111"/>
      <c r="B81" s="268"/>
      <c r="C81" s="268"/>
      <c r="D81" s="269"/>
      <c r="E81" s="111"/>
    </row>
    <row r="82" spans="1:5" ht="12.75">
      <c r="A82" s="108" t="s">
        <v>89</v>
      </c>
      <c r="B82" s="276">
        <v>1</v>
      </c>
      <c r="C82" s="276">
        <v>0</v>
      </c>
      <c r="D82" s="276">
        <f>B82+C82</f>
        <v>1</v>
      </c>
      <c r="E82" s="111"/>
    </row>
    <row r="83" spans="1:5" ht="7.5" customHeight="1">
      <c r="A83" s="111"/>
      <c r="B83" s="270"/>
      <c r="C83" s="270"/>
      <c r="D83" s="270"/>
      <c r="E83" s="111"/>
    </row>
    <row r="84" spans="1:5" ht="13.5" customHeight="1">
      <c r="A84" s="108" t="s">
        <v>121</v>
      </c>
      <c r="B84" s="387">
        <f>$B82*$D80</f>
        <v>22996.623283512872</v>
      </c>
      <c r="C84" s="387">
        <f>C82*D80</f>
        <v>0</v>
      </c>
      <c r="D84" s="387">
        <f>SUM(B84:C84)</f>
        <v>22996.623283512872</v>
      </c>
      <c r="E84" s="111"/>
    </row>
    <row r="85" spans="1:5" ht="7.5" customHeight="1">
      <c r="A85" s="111"/>
      <c r="B85" s="271"/>
      <c r="C85" s="271"/>
      <c r="D85" s="271"/>
      <c r="E85" s="111"/>
    </row>
    <row r="86" spans="1:5" ht="13.5" customHeight="1">
      <c r="A86" s="108" t="s">
        <v>145</v>
      </c>
      <c r="B86" s="278">
        <f>$B24</f>
        <v>114903.65</v>
      </c>
      <c r="C86" s="277"/>
      <c r="D86" s="277"/>
      <c r="E86" s="111"/>
    </row>
    <row r="87" spans="1:5" ht="7.5" customHeight="1">
      <c r="A87" s="111"/>
      <c r="B87" s="272"/>
      <c r="C87" s="271"/>
      <c r="D87" s="271"/>
      <c r="E87" s="111"/>
    </row>
    <row r="88" spans="1:5" ht="13.5" customHeight="1">
      <c r="A88" s="108" t="s">
        <v>161</v>
      </c>
      <c r="B88" s="397">
        <f>IF(ISERROR($B84/$B86),0,$B84/$B86)</f>
        <v>0.20013831835205298</v>
      </c>
      <c r="C88" s="279"/>
      <c r="D88" s="279"/>
      <c r="E88" s="111"/>
    </row>
    <row r="89" spans="1:5" s="30" customFormat="1" ht="12.75">
      <c r="A89" s="281"/>
      <c r="B89" s="282"/>
      <c r="C89" s="283"/>
      <c r="D89" s="282"/>
      <c r="E89" s="281"/>
    </row>
    <row r="90" spans="1:5" ht="12.75">
      <c r="A90" s="281"/>
      <c r="B90" s="282"/>
      <c r="C90" s="283"/>
      <c r="D90" s="282"/>
      <c r="E90" s="111"/>
    </row>
    <row r="91" spans="1:5" ht="12.75">
      <c r="A91" s="281"/>
      <c r="B91" s="282"/>
      <c r="C91" s="283"/>
      <c r="D91" s="282"/>
      <c r="E91" s="111"/>
    </row>
    <row r="92" ht="15">
      <c r="A92" s="53" t="s">
        <v>186</v>
      </c>
    </row>
    <row r="93" ht="10.5" customHeight="1">
      <c r="A93" s="129"/>
    </row>
    <row r="94" ht="9" customHeight="1">
      <c r="A94" s="130"/>
    </row>
    <row r="95" spans="1:7" ht="39.75" thickBot="1">
      <c r="A95" s="130"/>
      <c r="B95" s="267" t="s">
        <v>91</v>
      </c>
      <c r="C95" s="267" t="s">
        <v>92</v>
      </c>
      <c r="D95" s="267" t="s">
        <v>122</v>
      </c>
      <c r="E95" s="265"/>
      <c r="F95" s="265"/>
      <c r="G95" s="265"/>
    </row>
    <row r="96" spans="1:3" ht="15">
      <c r="A96" s="130"/>
      <c r="B96" s="29"/>
      <c r="C96" s="29"/>
    </row>
    <row r="97" spans="1:5" ht="12.75">
      <c r="A97" s="108" t="s">
        <v>120</v>
      </c>
      <c r="B97" s="275"/>
      <c r="C97" s="275"/>
      <c r="D97" s="392">
        <f>$G25</f>
        <v>1856.7211618064725</v>
      </c>
      <c r="E97" s="111"/>
    </row>
    <row r="98" spans="1:5" ht="7.5" customHeight="1">
      <c r="A98" s="111"/>
      <c r="B98" s="268"/>
      <c r="C98" s="268"/>
      <c r="D98" s="269"/>
      <c r="E98" s="111"/>
    </row>
    <row r="99" spans="1:5" ht="12.75">
      <c r="A99" s="108" t="s">
        <v>89</v>
      </c>
      <c r="B99" s="276">
        <v>1</v>
      </c>
      <c r="C99" s="276">
        <v>0</v>
      </c>
      <c r="D99" s="276">
        <f>B99+C99</f>
        <v>1</v>
      </c>
      <c r="E99" s="111"/>
    </row>
    <row r="100" spans="1:5" ht="7.5" customHeight="1">
      <c r="A100" s="111"/>
      <c r="B100" s="270"/>
      <c r="C100" s="270"/>
      <c r="D100" s="270"/>
      <c r="E100" s="111"/>
    </row>
    <row r="101" spans="1:5" ht="13.5" customHeight="1">
      <c r="A101" s="108" t="s">
        <v>121</v>
      </c>
      <c r="B101" s="387">
        <f>$B99*$D97</f>
        <v>1856.7211618064725</v>
      </c>
      <c r="C101" s="387">
        <f>C99*D97</f>
        <v>0</v>
      </c>
      <c r="D101" s="387">
        <f>SUM(B101:C101)</f>
        <v>1856.7211618064725</v>
      </c>
      <c r="E101" s="111"/>
    </row>
    <row r="102" spans="1:5" ht="7.5" customHeight="1">
      <c r="A102" s="111"/>
      <c r="B102" s="271"/>
      <c r="C102" s="271"/>
      <c r="D102" s="271"/>
      <c r="E102" s="111"/>
    </row>
    <row r="103" spans="1:5" ht="13.5" customHeight="1">
      <c r="A103" s="108" t="s">
        <v>145</v>
      </c>
      <c r="B103" s="278">
        <f>$B25</f>
        <v>62137.61</v>
      </c>
      <c r="C103" s="277"/>
      <c r="D103" s="277"/>
      <c r="E103" s="111"/>
    </row>
    <row r="104" spans="1:5" ht="7.5" customHeight="1">
      <c r="A104" s="111"/>
      <c r="B104" s="272"/>
      <c r="C104" s="271"/>
      <c r="D104" s="271"/>
      <c r="E104" s="111"/>
    </row>
    <row r="105" spans="1:5" ht="13.5" customHeight="1">
      <c r="A105" s="108" t="s">
        <v>161</v>
      </c>
      <c r="B105" s="397">
        <f>IF(ISERROR($B101/$B103),0,$B101/$B103)</f>
        <v>0.029880794607428134</v>
      </c>
      <c r="C105" s="279"/>
      <c r="D105" s="279"/>
      <c r="E105" s="111"/>
    </row>
    <row r="106" spans="1:5" s="30" customFormat="1" ht="12.75">
      <c r="A106" s="281"/>
      <c r="B106" s="282"/>
      <c r="C106" s="283"/>
      <c r="D106" s="282"/>
      <c r="E106" s="281"/>
    </row>
    <row r="107" spans="1:5" ht="12.75">
      <c r="A107" s="281"/>
      <c r="B107" s="282"/>
      <c r="C107" s="283"/>
      <c r="D107" s="282"/>
      <c r="E107" s="111"/>
    </row>
    <row r="108" spans="1:5" ht="12.75">
      <c r="A108" s="281"/>
      <c r="B108" s="282"/>
      <c r="C108" s="283"/>
      <c r="D108" s="282"/>
      <c r="E108" s="111"/>
    </row>
    <row r="109" ht="15">
      <c r="A109" s="53" t="s">
        <v>9</v>
      </c>
    </row>
    <row r="110" ht="10.5" customHeight="1">
      <c r="A110" s="129"/>
    </row>
    <row r="111" ht="9" customHeight="1">
      <c r="A111" s="130"/>
    </row>
    <row r="112" spans="1:7" ht="39.75" thickBot="1">
      <c r="A112" s="130"/>
      <c r="B112" s="267" t="s">
        <v>91</v>
      </c>
      <c r="C112" s="267" t="s">
        <v>92</v>
      </c>
      <c r="D112" s="267" t="s">
        <v>122</v>
      </c>
      <c r="E112" s="265"/>
      <c r="F112" s="265"/>
      <c r="G112" s="265"/>
    </row>
    <row r="113" spans="1:3" ht="15">
      <c r="A113" s="130"/>
      <c r="B113" s="29"/>
      <c r="C113" s="29"/>
    </row>
    <row r="114" spans="1:5" ht="12.75">
      <c r="A114" s="108" t="s">
        <v>120</v>
      </c>
      <c r="B114" s="275"/>
      <c r="C114" s="275"/>
      <c r="D114" s="392">
        <f>$G28</f>
        <v>858.5512645278537</v>
      </c>
      <c r="E114" s="111"/>
    </row>
    <row r="115" spans="1:5" ht="7.5" customHeight="1">
      <c r="A115" s="111"/>
      <c r="B115" s="268"/>
      <c r="C115" s="268"/>
      <c r="D115" s="269"/>
      <c r="E115" s="111"/>
    </row>
    <row r="116" spans="1:5" ht="12.75">
      <c r="A116" s="108" t="s">
        <v>89</v>
      </c>
      <c r="B116" s="276">
        <v>1</v>
      </c>
      <c r="C116" s="276">
        <v>0</v>
      </c>
      <c r="D116" s="276">
        <f>B116+C116</f>
        <v>1</v>
      </c>
      <c r="E116" s="111"/>
    </row>
    <row r="117" spans="1:5" ht="7.5" customHeight="1">
      <c r="A117" s="111"/>
      <c r="B117" s="270"/>
      <c r="C117" s="270"/>
      <c r="D117" s="270"/>
      <c r="E117" s="111"/>
    </row>
    <row r="118" spans="1:5" ht="13.5" customHeight="1">
      <c r="A118" s="108" t="s">
        <v>121</v>
      </c>
      <c r="B118" s="387">
        <f>$B116*$D114</f>
        <v>858.5512645278537</v>
      </c>
      <c r="C118" s="387">
        <f>C116*D114</f>
        <v>0</v>
      </c>
      <c r="D118" s="387">
        <f>SUM(B118:C118)</f>
        <v>858.5512645278537</v>
      </c>
      <c r="E118" s="111"/>
    </row>
    <row r="119" spans="1:5" ht="7.5" customHeight="1">
      <c r="A119" s="111"/>
      <c r="B119" s="271"/>
      <c r="C119" s="271"/>
      <c r="D119" s="271"/>
      <c r="E119" s="111"/>
    </row>
    <row r="120" spans="1:5" ht="13.5" customHeight="1">
      <c r="A120" s="108" t="s">
        <v>145</v>
      </c>
      <c r="B120" s="278">
        <f>$B28</f>
        <v>1765.66</v>
      </c>
      <c r="C120" s="277"/>
      <c r="D120" s="277"/>
      <c r="E120" s="111"/>
    </row>
    <row r="121" spans="1:5" ht="7.5" customHeight="1">
      <c r="A121" s="111"/>
      <c r="B121" s="272"/>
      <c r="C121" s="271"/>
      <c r="D121" s="271"/>
      <c r="E121" s="111"/>
    </row>
    <row r="122" spans="1:5" ht="13.5" customHeight="1">
      <c r="A122" s="108" t="s">
        <v>161</v>
      </c>
      <c r="B122" s="397">
        <f>IF(ISERROR($B118/$B120),0,$B118/$B120)</f>
        <v>0.48624948434458143</v>
      </c>
      <c r="C122" s="279"/>
      <c r="D122" s="279"/>
      <c r="E122" s="111"/>
    </row>
    <row r="123" spans="1:5" ht="12.75">
      <c r="A123" s="281"/>
      <c r="B123" s="282"/>
      <c r="C123" s="283"/>
      <c r="D123" s="282"/>
      <c r="E123" s="281"/>
    </row>
    <row r="124" spans="1:5" ht="12.75">
      <c r="A124" s="281"/>
      <c r="B124" s="282"/>
      <c r="C124" s="283"/>
      <c r="D124" s="282"/>
      <c r="E124" s="111"/>
    </row>
    <row r="125" spans="1:5" ht="12.75">
      <c r="A125" s="281"/>
      <c r="B125" s="282"/>
      <c r="C125" s="283"/>
      <c r="D125" s="282"/>
      <c r="E125" s="111"/>
    </row>
    <row r="126" ht="15">
      <c r="A126" s="53" t="s">
        <v>94</v>
      </c>
    </row>
    <row r="127" ht="10.5" customHeight="1">
      <c r="A127" s="129"/>
    </row>
    <row r="128" ht="9" customHeight="1">
      <c r="A128" s="130"/>
    </row>
    <row r="129" spans="1:7" ht="39.75" thickBot="1">
      <c r="A129" s="130"/>
      <c r="B129" s="267" t="s">
        <v>91</v>
      </c>
      <c r="C129" s="267" t="s">
        <v>92</v>
      </c>
      <c r="D129" s="267" t="s">
        <v>122</v>
      </c>
      <c r="E129" s="265"/>
      <c r="F129" s="265"/>
      <c r="G129" s="265"/>
    </row>
    <row r="130" spans="1:3" ht="15">
      <c r="A130" s="130"/>
      <c r="B130" s="29"/>
      <c r="C130" s="29"/>
    </row>
    <row r="131" spans="1:5" ht="12.75">
      <c r="A131" s="108" t="s">
        <v>120</v>
      </c>
      <c r="B131" s="275"/>
      <c r="C131" s="275"/>
      <c r="D131" s="392">
        <f>$G29</f>
        <v>2011.595435731709</v>
      </c>
      <c r="E131" s="111"/>
    </row>
    <row r="132" spans="1:5" ht="7.5" customHeight="1">
      <c r="A132" s="111"/>
      <c r="B132" s="268"/>
      <c r="C132" s="268"/>
      <c r="D132" s="269"/>
      <c r="E132" s="111"/>
    </row>
    <row r="133" spans="1:5" ht="12.75">
      <c r="A133" s="108" t="s">
        <v>89</v>
      </c>
      <c r="B133" s="276">
        <v>1</v>
      </c>
      <c r="C133" s="276">
        <v>0</v>
      </c>
      <c r="D133" s="276">
        <f>B133+C133</f>
        <v>1</v>
      </c>
      <c r="E133" s="111"/>
    </row>
    <row r="134" spans="1:5" ht="7.5" customHeight="1">
      <c r="A134" s="111"/>
      <c r="B134" s="270"/>
      <c r="C134" s="270"/>
      <c r="D134" s="270"/>
      <c r="E134" s="111"/>
    </row>
    <row r="135" spans="1:5" ht="13.5" customHeight="1">
      <c r="A135" s="108" t="s">
        <v>121</v>
      </c>
      <c r="B135" s="387">
        <f>$B133*$D131</f>
        <v>2011.595435731709</v>
      </c>
      <c r="C135" s="387">
        <f>C133*D131</f>
        <v>0</v>
      </c>
      <c r="D135" s="387">
        <f>SUM(B135:C135)</f>
        <v>2011.595435731709</v>
      </c>
      <c r="E135" s="111"/>
    </row>
    <row r="136" spans="1:5" ht="7.5" customHeight="1">
      <c r="A136" s="111"/>
      <c r="B136" s="271"/>
      <c r="C136" s="271"/>
      <c r="D136" s="271"/>
      <c r="E136" s="111"/>
    </row>
    <row r="137" spans="1:5" ht="13.5" customHeight="1">
      <c r="A137" s="108" t="s">
        <v>145</v>
      </c>
      <c r="B137" s="278">
        <f>$B29</f>
        <v>5769.72</v>
      </c>
      <c r="C137" s="277"/>
      <c r="D137" s="277"/>
      <c r="E137" s="111"/>
    </row>
    <row r="138" spans="1:5" ht="7.5" customHeight="1">
      <c r="A138" s="111"/>
      <c r="B138" s="272"/>
      <c r="C138" s="271"/>
      <c r="D138" s="271"/>
      <c r="E138" s="111"/>
    </row>
    <row r="139" spans="1:5" ht="13.5" customHeight="1">
      <c r="A139" s="108" t="s">
        <v>161</v>
      </c>
      <c r="B139" s="397">
        <f>IF(ISERROR($B135/$B137),0,$B135/$B137)</f>
        <v>0.3486469769298525</v>
      </c>
      <c r="C139" s="279"/>
      <c r="D139" s="279"/>
      <c r="E139" s="111"/>
    </row>
    <row r="143" ht="15">
      <c r="A143" s="53" t="s">
        <v>211</v>
      </c>
    </row>
    <row r="144" ht="15">
      <c r="A144" s="129"/>
    </row>
    <row r="145" ht="15">
      <c r="A145" s="130"/>
    </row>
    <row r="146" spans="1:4" ht="39.75" thickBot="1">
      <c r="A146" s="130"/>
      <c r="B146" s="267" t="s">
        <v>91</v>
      </c>
      <c r="C146" s="267" t="s">
        <v>92</v>
      </c>
      <c r="D146" s="267" t="s">
        <v>122</v>
      </c>
    </row>
    <row r="147" spans="1:3" ht="15">
      <c r="A147" s="130"/>
      <c r="B147" s="29"/>
      <c r="C147" s="29"/>
    </row>
    <row r="148" spans="1:4" ht="12.75">
      <c r="A148" s="108" t="s">
        <v>120</v>
      </c>
      <c r="B148" s="275"/>
      <c r="C148" s="275"/>
      <c r="D148" s="472">
        <f>$G30</f>
        <v>100832.46886214819</v>
      </c>
    </row>
    <row r="149" spans="1:4" ht="12.75">
      <c r="A149" s="111"/>
      <c r="B149" s="268"/>
      <c r="C149" s="268"/>
      <c r="D149" s="269"/>
    </row>
    <row r="150" spans="1:4" ht="12.75">
      <c r="A150" s="108" t="s">
        <v>89</v>
      </c>
      <c r="B150" s="276">
        <v>1</v>
      </c>
      <c r="C150" s="276">
        <v>0</v>
      </c>
      <c r="D150" s="276">
        <f>B150+C150</f>
        <v>1</v>
      </c>
    </row>
    <row r="151" spans="1:4" ht="12.75">
      <c r="A151" s="111"/>
      <c r="B151" s="270"/>
      <c r="C151" s="270"/>
      <c r="D151" s="270"/>
    </row>
    <row r="152" spans="1:4" ht="12.75">
      <c r="A152" s="108" t="s">
        <v>121</v>
      </c>
      <c r="B152" s="387">
        <f>$B150*$D148</f>
        <v>100832.46886214819</v>
      </c>
      <c r="C152" s="387">
        <f>C150*D148</f>
        <v>0</v>
      </c>
      <c r="D152" s="387">
        <f>SUM(B152:C152)</f>
        <v>100832.46886214819</v>
      </c>
    </row>
    <row r="153" spans="1:4" ht="12.75">
      <c r="A153" s="111"/>
      <c r="B153" s="271"/>
      <c r="C153" s="271"/>
      <c r="D153" s="271"/>
    </row>
    <row r="154" spans="1:4" ht="12.75">
      <c r="A154" s="108" t="s">
        <v>87</v>
      </c>
      <c r="B154" s="473">
        <f>$C30</f>
        <v>80613349</v>
      </c>
      <c r="C154" s="277"/>
      <c r="D154" s="277"/>
    </row>
    <row r="155" spans="1:4" ht="12.75">
      <c r="A155" s="111"/>
      <c r="B155" s="272"/>
      <c r="C155" s="271"/>
      <c r="D155" s="271"/>
    </row>
    <row r="156" spans="1:4" ht="12.75">
      <c r="A156" s="108" t="s">
        <v>165</v>
      </c>
      <c r="B156" s="397">
        <f>IF(ISERROR($B152/$B154),0,$B152/$B154)</f>
        <v>0.0012508160262904868</v>
      </c>
      <c r="C156" s="279"/>
      <c r="D156" s="279"/>
    </row>
    <row r="157" spans="1:4" ht="12.75">
      <c r="A157" s="111"/>
      <c r="B157" s="273"/>
      <c r="C157" s="274"/>
      <c r="D157" s="274"/>
    </row>
    <row r="158" spans="1:4" ht="15">
      <c r="A158" s="130"/>
      <c r="B158" s="55"/>
      <c r="C158" s="55"/>
      <c r="D158" s="55"/>
    </row>
    <row r="159" spans="2:4" ht="12.75">
      <c r="B159" s="55"/>
      <c r="C159" s="55"/>
      <c r="D159" s="55"/>
    </row>
    <row r="160" ht="15">
      <c r="A160" s="53" t="s">
        <v>212</v>
      </c>
    </row>
    <row r="161" ht="15">
      <c r="A161" s="129"/>
    </row>
    <row r="162" ht="15">
      <c r="A162" s="130"/>
    </row>
    <row r="163" spans="1:4" ht="39.75" thickBot="1">
      <c r="A163" s="130"/>
      <c r="B163" s="267" t="s">
        <v>91</v>
      </c>
      <c r="C163" s="267" t="s">
        <v>92</v>
      </c>
      <c r="D163" s="267" t="s">
        <v>122</v>
      </c>
    </row>
    <row r="164" spans="1:3" ht="15">
      <c r="A164" s="130"/>
      <c r="B164" s="29"/>
      <c r="C164" s="29"/>
    </row>
    <row r="165" spans="1:4" ht="12.75">
      <c r="A165" s="108" t="s">
        <v>120</v>
      </c>
      <c r="B165" s="275"/>
      <c r="C165" s="275"/>
      <c r="D165" s="472">
        <f>$G31</f>
        <v>28599.782906414242</v>
      </c>
    </row>
    <row r="166" spans="1:4" ht="12.75">
      <c r="A166" s="111"/>
      <c r="B166" s="268"/>
      <c r="C166" s="268"/>
      <c r="D166" s="269"/>
    </row>
    <row r="167" spans="1:4" ht="12.75">
      <c r="A167" s="108" t="s">
        <v>89</v>
      </c>
      <c r="B167" s="276">
        <v>1</v>
      </c>
      <c r="C167" s="276">
        <v>0</v>
      </c>
      <c r="D167" s="276">
        <f>B167+C167</f>
        <v>1</v>
      </c>
    </row>
    <row r="168" spans="1:4" ht="12.75">
      <c r="A168" s="111"/>
      <c r="B168" s="270"/>
      <c r="C168" s="270"/>
      <c r="D168" s="270"/>
    </row>
    <row r="169" spans="1:4" ht="12.75">
      <c r="A169" s="108" t="s">
        <v>121</v>
      </c>
      <c r="B169" s="387">
        <f>$B167*$D165</f>
        <v>28599.782906414242</v>
      </c>
      <c r="C169" s="387">
        <f>C167*D165</f>
        <v>0</v>
      </c>
      <c r="D169" s="387">
        <f>SUM(B169:C169)</f>
        <v>28599.782906414242</v>
      </c>
    </row>
    <row r="170" spans="1:4" ht="12.75">
      <c r="A170" s="111"/>
      <c r="B170" s="271"/>
      <c r="C170" s="271"/>
      <c r="D170" s="271"/>
    </row>
    <row r="171" spans="1:4" ht="12.75">
      <c r="A171" s="108" t="s">
        <v>87</v>
      </c>
      <c r="B171" s="473">
        <f>$C31</f>
        <v>27504693</v>
      </c>
      <c r="C171" s="277"/>
      <c r="D171" s="277"/>
    </row>
    <row r="172" spans="1:4" ht="12.75">
      <c r="A172" s="111"/>
      <c r="B172" s="272"/>
      <c r="C172" s="271"/>
      <c r="D172" s="271"/>
    </row>
    <row r="173" spans="1:4" ht="12.75">
      <c r="A173" s="108" t="s">
        <v>165</v>
      </c>
      <c r="B173" s="397">
        <f>IF(ISERROR($B169/$B171),0,$B169/$B171)</f>
        <v>0.0010398146565902132</v>
      </c>
      <c r="C173" s="279"/>
      <c r="D173" s="279"/>
    </row>
    <row r="174" spans="1:4" ht="12.75">
      <c r="A174" s="111"/>
      <c r="B174" s="273"/>
      <c r="C174" s="274"/>
      <c r="D174" s="274"/>
    </row>
    <row r="175" spans="1:4" ht="15">
      <c r="A175" s="130"/>
      <c r="B175" s="55"/>
      <c r="C175" s="55"/>
      <c r="D175" s="55"/>
    </row>
    <row r="176" spans="2:4" ht="12.75">
      <c r="B176" s="55"/>
      <c r="C176" s="55"/>
      <c r="D176" s="55"/>
    </row>
    <row r="177" ht="15">
      <c r="A177" s="53" t="s">
        <v>213</v>
      </c>
    </row>
    <row r="178" ht="15">
      <c r="A178" s="129"/>
    </row>
    <row r="179" ht="15">
      <c r="A179" s="130"/>
    </row>
    <row r="180" spans="1:4" ht="39.75" thickBot="1">
      <c r="A180" s="130"/>
      <c r="B180" s="267" t="s">
        <v>91</v>
      </c>
      <c r="C180" s="267" t="s">
        <v>92</v>
      </c>
      <c r="D180" s="267" t="s">
        <v>122</v>
      </c>
    </row>
    <row r="181" spans="1:3" ht="15">
      <c r="A181" s="130"/>
      <c r="B181" s="29"/>
      <c r="C181" s="29"/>
    </row>
    <row r="182" spans="1:4" ht="12.75">
      <c r="A182" s="108" t="s">
        <v>120</v>
      </c>
      <c r="B182" s="275"/>
      <c r="C182" s="275"/>
      <c r="D182" s="472">
        <f>$G32</f>
        <v>41448.55757906375</v>
      </c>
    </row>
    <row r="183" spans="1:4" ht="12.75">
      <c r="A183" s="111"/>
      <c r="B183" s="268"/>
      <c r="C183" s="268"/>
      <c r="D183" s="269"/>
    </row>
    <row r="184" spans="1:4" ht="12.75">
      <c r="A184" s="108" t="s">
        <v>89</v>
      </c>
      <c r="B184" s="276">
        <v>1</v>
      </c>
      <c r="C184" s="276">
        <v>0</v>
      </c>
      <c r="D184" s="276">
        <f>B184+C184</f>
        <v>1</v>
      </c>
    </row>
    <row r="185" spans="1:4" ht="12.75">
      <c r="A185" s="111"/>
      <c r="B185" s="270"/>
      <c r="C185" s="270"/>
      <c r="D185" s="270"/>
    </row>
    <row r="186" spans="1:4" ht="12.75">
      <c r="A186" s="108" t="s">
        <v>121</v>
      </c>
      <c r="B186" s="387">
        <f>$B184*$D182</f>
        <v>41448.55757906375</v>
      </c>
      <c r="C186" s="387">
        <f>C184*D182</f>
        <v>0</v>
      </c>
      <c r="D186" s="387">
        <f>SUM(B186:C186)</f>
        <v>41448.55757906375</v>
      </c>
    </row>
    <row r="187" spans="1:4" ht="12.75">
      <c r="A187" s="111"/>
      <c r="B187" s="271"/>
      <c r="C187" s="271"/>
      <c r="D187" s="271"/>
    </row>
    <row r="188" spans="1:4" ht="12.75">
      <c r="A188" s="108" t="s">
        <v>145</v>
      </c>
      <c r="B188" s="473">
        <f>$B32</f>
        <v>194765.76</v>
      </c>
      <c r="C188" s="277"/>
      <c r="D188" s="277"/>
    </row>
    <row r="189" spans="1:4" ht="12.75">
      <c r="A189" s="111"/>
      <c r="B189" s="272"/>
      <c r="C189" s="271"/>
      <c r="D189" s="271"/>
    </row>
    <row r="190" spans="1:4" ht="12.75">
      <c r="A190" s="108" t="s">
        <v>161</v>
      </c>
      <c r="B190" s="397">
        <f>IF(ISERROR($B186/$B188),0,$B186/$B188)</f>
        <v>0.21281234226726375</v>
      </c>
      <c r="C190" s="279"/>
      <c r="D190" s="279"/>
    </row>
  </sheetData>
  <sheetProtection/>
  <mergeCells count="3">
    <mergeCell ref="A14:D14"/>
    <mergeCell ref="C36:F36"/>
    <mergeCell ref="B7:C7"/>
  </mergeCells>
  <printOptions/>
  <pageMargins left="0.7480314960629921" right="0.7480314960629921" top="0.984251968503937" bottom="0.7874015748031497" header="0.5118110236220472" footer="0.5118110236220472"/>
  <pageSetup fitToHeight="0" horizontalDpi="600" verticalDpi="600" orientation="portrait" scale="66" r:id="rId1"/>
  <headerFooter alignWithMargins="0">
    <oddFooter>&amp;LHaldimand County Hydro Inc.
Page &amp;P of &amp;N&amp;R&amp;"Arial,Bold"&amp;F
&amp;A</oddFooter>
  </headerFooter>
  <rowBreaks count="2" manualBreakCount="2">
    <brk id="74" max="6" man="1"/>
    <brk id="14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Jackie Scott</cp:lastModifiedBy>
  <cp:lastPrinted>2011-09-30T12:28:12Z</cp:lastPrinted>
  <dcterms:created xsi:type="dcterms:W3CDTF">2001-10-05T18:25:02Z</dcterms:created>
  <dcterms:modified xsi:type="dcterms:W3CDTF">2011-09-30T12:29:04Z</dcterms:modified>
  <cp:category/>
  <cp:version/>
  <cp:contentType/>
  <cp:contentStatus/>
</cp:coreProperties>
</file>