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<sst xmlns="http://schemas.openxmlformats.org/spreadsheetml/2006/main" count="894" uniqueCount="514">
  <si>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</si>
  <si>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</si>
  <si>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</si>
  <si>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</si>
  <si>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</si>
  <si>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</si>
  <si>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</si>
  <si>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</si>
  <si>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</si>
  <si>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</si>
  <si>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</si>
  <si>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</si>
  <si>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</si>
  <si>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</si>
  <si>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</si>
  <si>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</si>
  <si>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</si>
  <si>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</si>
  <si>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</si>
  <si>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</si>
  <si>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</si>
  <si>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</si>
  <si>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</si>
  <si>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</si>
  <si>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</si>
  <si>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</si>
  <si>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</si>
  <si>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</si>
  <si>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</si>
  <si>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</si>
  <si>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</si>
  <si>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</si>
  <si>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</si>
  <si>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</si>
  <si>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</si>
  <si>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</si>
  <si>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</si>
  <si>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</si>
  <si>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</si>
  <si>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</si>
  <si>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</si>
  <si>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</si>
  <si>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</si>
  <si>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</si>
  <si>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</si>
  <si>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</si>
  <si>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</si>
  <si>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</si>
  <si>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</si>
  <si>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</si>
  <si>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</si>
  <si>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</si>
  <si>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</si>
  <si>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</si>
  <si>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</si>
  <si>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</si>
  <si>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</si>
  <si>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</si>
  <si>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</si>
  <si>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</si>
  <si>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</si>
  <si>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</si>
  <si>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</si>
  <si>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</si>
  <si>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</si>
  <si>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</si>
  <si>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</si>
  <si>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</si>
  <si>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</si>
  <si>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</si>
  <si>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</si>
  <si>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</si>
  <si>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</si>
  <si>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</si>
  <si>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</si>
  <si>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</si>
  <si>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</si>
  <si>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</si>
  <si>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</si>
  <si>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</si>
  <si>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</si>
  <si>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</si>
  <si>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</si>
  <si>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</si>
  <si>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</si>
  <si>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</si>
  <si>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</si>
  <si>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</si>
  <si>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</si>
  <si>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</si>
  <si>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</si>
  <si>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</si>
  <si>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</si>
  <si>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</si>
  <si>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</si>
  <si>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</si>
  <si>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</si>
  <si>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</si>
  <si>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</si>
  <si>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</si>
  <si>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</si>
  <si>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</si>
  <si>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</si>
  <si>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</si>
  <si>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</si>
  <si>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</si>
  <si>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</si>
  <si>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</si>
  <si>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</si>
  <si>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</si>
  <si>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</si>
  <si>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</si>
  <si>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</si>
  <si>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</si>
  <si>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</si>
  <si>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</si>
  <si>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</si>
  <si>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</si>
  <si>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</si>
  <si>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</si>
  <si>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</si>
  <si>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</si>
  <si>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</si>
  <si>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</si>
  <si>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</si>
  <si>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</si>
  <si>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</si>
  <si>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</si>
  <si>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</si>
  <si>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</si>
  <si>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</si>
  <si>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</si>
  <si>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</si>
  <si>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</si>
  <si>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</si>
  <si>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</si>
  <si>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</si>
  <si>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</si>
  <si>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</si>
  <si>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</si>
  <si>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</si>
  <si>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</si>
  <si>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</si>
  <si>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</si>
  <si>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</si>
  <si>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</si>
  <si>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</si>
  <si>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</si>
  <si>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</si>
  <si>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</si>
  <si>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</si>
  <si>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</si>
  <si>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</si>
  <si>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</si>
  <si>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</si>
  <si>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</si>
  <si>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</si>
  <si>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</si>
  <si>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</si>
  <si>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</si>
  <si>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</si>
  <si>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</si>
  <si>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</si>
  <si>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</si>
  <si>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</si>
  <si>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</si>
  <si>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</si>
  <si>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</si>
  <si>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</si>
  <si>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</si>
  <si>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</si>
  <si>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</si>
  <si>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</si>
  <si>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</si>
  <si>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</si>
  <si>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</si>
  <si>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</si>
  <si>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</si>
  <si>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</si>
  <si>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</si>
  <si>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</si>
  <si>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</si>
  <si>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</si>
  <si>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</si>
  <si>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</si>
  <si>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</si>
  <si>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</si>
  <si>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</si>
  <si>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</si>
  <si>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</si>
  <si>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</si>
  <si>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</si>
  <si>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</si>
  <si>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</si>
  <si>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</si>
  <si>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</si>
  <si>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</si>
  <si>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</si>
  <si>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</si>
  <si>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</si>
  <si>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</si>
  <si>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</si>
  <si>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</si>
  <si>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</si>
  <si>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</si>
  <si>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</si>
  <si>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</si>
  <si>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</si>
  <si>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</si>
  <si>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</si>
  <si>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</si>
  <si>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</si>
  <si>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</si>
  <si>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</si>
  <si>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</si>
  <si>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</si>
  <si>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</si>
  <si>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</si>
  <si>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</si>
  <si>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</si>
  <si>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</si>
  <si>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</si>
  <si>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</si>
  <si>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</si>
  <si>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</si>
  <si>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</si>
  <si>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</si>
  <si>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</si>
  <si>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</si>
  <si>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</si>
  <si>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</si>
  <si>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</si>
  <si>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</si>
  <si>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</si>
  <si>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</si>
  <si>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</si>
  <si>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</si>
  <si>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</si>
  <si>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</si>
  <si>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</si>
  <si>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</si>
  <si>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</si>
  <si>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</si>
  <si>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</si>
  <si>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</si>
  <si>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</si>
  <si>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</si>
  <si>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</si>
  <si>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</si>
  <si>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</si>
  <si>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</si>
  <si>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</si>
  <si>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</si>
  <si>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</si>
  <si>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</si>
  <si>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</si>
  <si>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</si>
  <si>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</si>
  <si>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</si>
  <si>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</si>
  <si>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</si>
  <si>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</si>
  <si>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</si>
  <si>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</si>
  <si>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</si>
  <si>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</si>
  <si>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</si>
  <si>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</si>
  <si>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</si>
  <si>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</si>
  <si>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</si>
  <si>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</si>
  <si>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</si>
  <si>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</si>
  <si>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</si>
  <si>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</si>
  <si>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</si>
  <si>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</si>
  <si>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</si>
  <si>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</si>
  <si>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</si>
  <si>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</si>
  <si>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</si>
  <si>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</si>
  <si>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</si>
  <si>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</si>
  <si>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</si>
  <si>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</si>
  <si>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</si>
  <si>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</si>
  <si>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</si>
  <si>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</si>
  <si>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</si>
  <si>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</si>
  <si>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</si>
  <si>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</si>
  <si>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</si>
  <si>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</si>
  <si>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</si>
  <si>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</si>
  <si>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</si>
  <si>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</si>
  <si>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</si>
  <si>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</si>
  <si>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</si>
  <si>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</si>
  <si>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</si>
  <si>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</si>
  <si>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</si>
  <si>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</si>
  <si>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</si>
  <si>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</si>
  <si>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</si>
  <si>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</si>
  <si>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</si>
  <si>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</si>
  <si>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</si>
  <si>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</si>
  <si>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</si>
  <si>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</si>
  <si>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</si>
  <si>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</si>
  <si>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</si>
  <si>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</si>
  <si>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</si>
  <si>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</si>
  <si>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</si>
  <si>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</si>
  <si>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</si>
  <si>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</si>
  <si>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</si>
  <si>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</si>
  <si>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</si>
  <si>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</si>
  <si>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</si>
  <si>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</si>
  <si>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</si>
  <si>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</si>
  <si>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</si>
  <si>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</si>
  <si>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</si>
  <si>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</si>
  <si>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</si>
  <si>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</si>
  <si>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</si>
  <si>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</si>
  <si>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</si>
  <si>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</si>
  <si>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</si>
  <si>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</si>
  <si>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</si>
  <si>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</si>
  <si>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</si>
  <si>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</si>
  <si>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</si>
  <si>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</si>
  <si>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</si>
  <si>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</si>
  <si>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</si>
  <si>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</si>
  <si>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</si>
  <si>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</si>
  <si>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</si>
  <si>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</si>
  <si>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</si>
  <si>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</si>
  <si>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</si>
  <si>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</si>
  <si>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</si>
  <si>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</si>
  <si>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</si>
  <si>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</si>
  <si>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</si>
  <si>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</si>
  <si>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</si>
  <si>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</si>
  <si>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</si>
  <si>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</si>
  <si>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</si>
  <si>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</si>
  <si>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</si>
  <si>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</si>
  <si>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</si>
  <si>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</si>
  <si>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</si>
  <si>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</si>
  <si>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</si>
  <si>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</si>
  <si>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</si>
  <si>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</si>
  <si>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</si>
  <si>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</si>
  <si>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</si>
  <si>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</si>
  <si>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</si>
  <si>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</si>
  <si>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</si>
  <si>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</si>
  <si>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</si>
  <si>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</si>
  <si>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</si>
  <si>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</si>
  <si>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</si>
  <si>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</si>
  <si>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</si>
  <si>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</si>
  <si>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</si>
  <si>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</si>
  <si>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</si>
  <si>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</si>
  <si>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</si>
  <si>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</si>
  <si>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</si>
  <si>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</si>
  <si>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</si>
  <si>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</si>
  <si>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</si>
  <si>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</si>
  <si>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</si>
  <si>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</si>
  <si>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</si>
  <si>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</si>
  <si>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</si>
  <si>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</si>
  <si>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</si>
  <si>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</si>
  <si>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</si>
  <si>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</si>
  <si>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</si>
  <si>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</si>
  <si>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</si>
  <si>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</si>
  <si>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</si>
  <si>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</si>
  <si>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</si>
  <si>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</si>
  <si>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</si>
  <si>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</si>
  <si>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</si>
  <si>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</si>
  <si>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</si>
  <si>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</si>
  <si>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</si>
  <si>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</si>
  <si>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</si>
  <si>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</si>
  <si>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</si>
  <si>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</si>
  <si>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</si>
  <si>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</si>
  <si>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</si>
  <si>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</si>
  <si>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</si>
  <si>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</si>
  <si>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</si>
  <si>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</si>
  <si>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</si>
  <si>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</si>
  <si>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</si>
  <si>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</si>
  <si>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</si>
  <si>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</si>
  <si>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</si>
  <si>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</si>
  <si>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</si>
  <si>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</si>
  <si>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</si>
  <si>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</si>
  <si>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</si>
  <si>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</si>
  <si>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</si>
  <si>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</si>
  <si>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</si>
  <si>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</si>
  <si>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</si>
  <si>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</si>
  <si>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</si>
  <si>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</si>
  <si>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Correct rate should be?</t>
  </si>
  <si>
    <t>Enter from tax return</t>
  </si>
  <si>
    <t>No entry on tax return</t>
  </si>
  <si>
    <t>Overpaid</t>
  </si>
  <si>
    <t>Reporting period:  2002</t>
  </si>
  <si>
    <t>12-31-2002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</si>
  <si>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</si>
  <si>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</si>
  <si>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</si>
  <si>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</si>
  <si>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</si>
  <si>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</si>
  <si>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</si>
  <si>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</si>
  <si>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</si>
  <si>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</si>
  <si>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</si>
  <si>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</si>
  <si>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</si>
  <si>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</si>
  <si>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</si>
  <si>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>From Statement of Adjustments</t>
  </si>
  <si>
    <t>Y</t>
  </si>
  <si>
    <t>N</t>
  </si>
  <si>
    <t>Accrued contingent liability</t>
  </si>
  <si>
    <t>Income or loss for tax purpose - joint ventures or partnerships</t>
  </si>
  <si>
    <t>Management Bonuses unpaid 180 days after year end</t>
  </si>
  <si>
    <t xml:space="preserve">     Customer billing and collecting (Inventory write-down)</t>
  </si>
  <si>
    <t xml:space="preserve">    Provision for regulatory asset write-down</t>
  </si>
  <si>
    <t xml:space="preserve">0.9268832
</t>
  </si>
  <si>
    <t>correct.</t>
  </si>
  <si>
    <t>Original 3302</t>
  </si>
  <si>
    <t>HH</t>
  </si>
  <si>
    <t>=IF((E120+C50)&gt;'Tax Rates'!$E$47,'Tax Rates'!$F$52-1.12%, IF((E120+C50)&gt;'Tax Rates'!$D$47,'Tax Rates'!$E$52-1.12%,IF((E120+C50)&gt;'Tax Rates'!$C$47,'Tax Rates'!</t>
  </si>
  <si>
    <t>37.5% per discription</t>
  </si>
  <si>
    <t>Utility Name: Hydro Ottawa Limited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</si>
</sst>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_(* #,##0_);_(* \(#,##0\);_(* &quot;-&quot;??_);_(@_)"/>
  </numFmts>
  <fonts count="5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8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4" borderId="1" applyNumberFormat="0" applyAlignment="0" applyProtection="0"/>
    <xf numFmtId="0" fontId="47" fillId="25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7" borderId="1" applyNumberFormat="0" applyAlignment="0" applyProtection="0"/>
    <xf numFmtId="0" fontId="51" fillId="0" borderId="4" applyNumberFormat="0" applyFill="0" applyAlignment="0" applyProtection="0"/>
    <xf numFmtId="0" fontId="52" fillId="28" borderId="0" applyNumberFormat="0" applyBorder="0" applyAlignment="0" applyProtection="0"/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29" borderId="5" applyNumberFormat="0" applyFont="0" applyAlignment="0" applyProtection="0"/>
    <xf numFmtId="0" fontId="53" fillId="24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0" fillId="0" borderId="7" applyNumberFormat="0" applyFont="0" applyBorder="0" applyAlignment="0" applyProtection="0"/>
    <xf numFmtId="0" fontId="0" fillId="0" borderId="7" applyNumberFormat="0" applyFont="0" applyBorder="0" applyAlignment="0" applyProtection="0"/>
    <xf numFmtId="0" fontId="54" fillId="0" borderId="0" applyNumberFormat="0" applyFill="0" applyBorder="0" applyAlignment="0" applyProtection="0"/>
  </cellStyleXfs>
  <cellXfs count="51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0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1" borderId="0" xfId="0" applyFill="1" applyAlignment="1">
      <alignment vertical="top"/>
    </xf>
    <xf numFmtId="0" fontId="0" fillId="32" borderId="0" xfId="0" applyFill="1" applyAlignment="1">
      <alignment vertical="top"/>
    </xf>
    <xf numFmtId="3" fontId="0" fillId="32" borderId="0" xfId="42" applyNumberFormat="1" applyFont="1" applyFill="1" applyBorder="1" applyAlignment="1">
      <alignment vertical="top"/>
    </xf>
    <xf numFmtId="0" fontId="0" fillId="32" borderId="0" xfId="0" applyFont="1" applyFill="1" applyBorder="1" applyAlignment="1">
      <alignment horizontal="center" vertical="top"/>
    </xf>
    <xf numFmtId="0" fontId="0" fillId="32" borderId="0" xfId="0" applyFont="1" applyFill="1" applyBorder="1" applyAlignment="1">
      <alignment vertical="top"/>
    </xf>
    <xf numFmtId="10" fontId="0" fillId="32" borderId="0" xfId="0" applyNumberFormat="1" applyFont="1" applyFill="1" applyBorder="1" applyAlignment="1">
      <alignment vertical="top"/>
    </xf>
    <xf numFmtId="3" fontId="0" fillId="32" borderId="0" xfId="42" applyNumberFormat="1" applyFont="1" applyFill="1" applyBorder="1" applyAlignment="1" applyProtection="1">
      <alignment vertical="top"/>
      <protection locked="0"/>
    </xf>
    <xf numFmtId="0" fontId="0" fillId="31" borderId="0" xfId="0" applyFill="1" applyBorder="1" applyAlignment="1">
      <alignment vertical="top"/>
    </xf>
    <xf numFmtId="0" fontId="0" fillId="31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2" borderId="0" xfId="0" applyFont="1" applyFill="1" applyAlignment="1">
      <alignment vertical="top"/>
    </xf>
    <xf numFmtId="0" fontId="0" fillId="31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3" borderId="15" xfId="0" applyFill="1" applyBorder="1" applyAlignment="1" applyProtection="1">
      <alignment horizontal="center" vertical="top"/>
      <protection/>
    </xf>
    <xf numFmtId="10" fontId="0" fillId="33" borderId="14" xfId="0" applyNumberFormat="1" applyFill="1" applyBorder="1" applyAlignment="1" applyProtection="1">
      <alignment vertical="top"/>
      <protection/>
    </xf>
    <xf numFmtId="3" fontId="0" fillId="33" borderId="14" xfId="0" applyNumberFormat="1" applyFill="1" applyBorder="1" applyAlignment="1" applyProtection="1">
      <alignment vertical="top"/>
      <protection/>
    </xf>
    <xf numFmtId="37" fontId="0" fillId="33" borderId="14" xfId="0" applyNumberFormat="1" applyFill="1" applyBorder="1" applyAlignment="1" applyProtection="1">
      <alignment vertical="top"/>
      <protection/>
    </xf>
    <xf numFmtId="37" fontId="0" fillId="34" borderId="14" xfId="0" applyNumberFormat="1" applyFill="1" applyBorder="1" applyAlignment="1" applyProtection="1" quotePrefix="1">
      <alignment vertical="top"/>
      <protection locked="0"/>
    </xf>
    <xf numFmtId="3" fontId="0" fillId="33" borderId="14" xfId="0" applyNumberFormat="1" applyFill="1" applyBorder="1" applyAlignment="1">
      <alignment vertical="top"/>
    </xf>
    <xf numFmtId="0" fontId="3" fillId="35" borderId="15" xfId="0" applyFont="1" applyFill="1" applyBorder="1" applyAlignment="1">
      <alignment vertical="top"/>
    </xf>
    <xf numFmtId="0" fontId="3" fillId="36" borderId="18" xfId="0" applyFont="1" applyFill="1" applyBorder="1" applyAlignment="1">
      <alignment vertical="top"/>
    </xf>
    <xf numFmtId="0" fontId="3" fillId="35" borderId="44" xfId="0" applyFont="1" applyFill="1" applyBorder="1" applyAlignment="1">
      <alignment vertical="top"/>
    </xf>
    <xf numFmtId="0" fontId="0" fillId="37" borderId="17" xfId="0" applyFill="1" applyBorder="1" applyAlignment="1">
      <alignment horizontal="center" vertical="top"/>
    </xf>
    <xf numFmtId="3" fontId="0" fillId="33" borderId="17" xfId="0" applyNumberFormat="1" applyFill="1" applyBorder="1" applyAlignment="1" applyProtection="1">
      <alignment horizontal="center" vertical="top"/>
      <protection locked="0"/>
    </xf>
    <xf numFmtId="3" fontId="0" fillId="34" borderId="14" xfId="0" applyNumberFormat="1" applyFill="1" applyBorder="1" applyAlignment="1">
      <alignment vertical="top"/>
    </xf>
    <xf numFmtId="3" fontId="0" fillId="34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34" borderId="14" xfId="0" applyNumberFormat="1" applyFill="1" applyBorder="1" applyAlignment="1" applyProtection="1" quotePrefix="1">
      <alignment vertical="top"/>
      <protection/>
    </xf>
    <xf numFmtId="37" fontId="0" fillId="34" borderId="14" xfId="0" applyNumberFormat="1" applyFill="1" applyBorder="1" applyAlignment="1" applyProtection="1">
      <alignment vertical="top"/>
      <protection/>
    </xf>
    <xf numFmtId="3" fontId="0" fillId="34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34" borderId="45" xfId="0" applyNumberFormat="1" applyFill="1" applyBorder="1" applyAlignment="1" applyProtection="1">
      <alignment vertical="top"/>
      <protection/>
    </xf>
    <xf numFmtId="3" fontId="0" fillId="33" borderId="14" xfId="0" applyNumberFormat="1" applyFill="1" applyBorder="1" applyAlignment="1" applyProtection="1">
      <alignment vertical="top"/>
      <protection/>
    </xf>
    <xf numFmtId="172" fontId="0" fillId="33" borderId="14" xfId="0" applyNumberFormat="1" applyFill="1" applyBorder="1" applyAlignment="1" applyProtection="1">
      <alignment vertical="top"/>
      <protection/>
    </xf>
    <xf numFmtId="3" fontId="0" fillId="34" borderId="20" xfId="0" applyNumberFormat="1" applyFill="1" applyBorder="1" applyAlignment="1" applyProtection="1">
      <alignment vertical="top"/>
      <protection/>
    </xf>
    <xf numFmtId="3" fontId="0" fillId="34" borderId="14" xfId="0" applyNumberFormat="1" applyFill="1" applyBorder="1" applyAlignment="1" applyProtection="1">
      <alignment vertical="top"/>
      <protection/>
    </xf>
    <xf numFmtId="0" fontId="0" fillId="33" borderId="14" xfId="0" applyFill="1" applyBorder="1" applyAlignment="1" applyProtection="1">
      <alignment horizontal="right" vertical="top"/>
      <protection/>
    </xf>
    <xf numFmtId="3" fontId="0" fillId="33" borderId="14" xfId="0" applyNumberFormat="1" applyFill="1" applyBorder="1" applyAlignment="1" applyProtection="1">
      <alignment horizontal="right" vertical="top"/>
      <protection/>
    </xf>
    <xf numFmtId="0" fontId="0" fillId="33" borderId="14" xfId="0" applyFill="1" applyBorder="1" applyAlignment="1" applyProtection="1">
      <alignment vertical="top"/>
      <protection/>
    </xf>
    <xf numFmtId="0" fontId="0" fillId="33" borderId="15" xfId="0" applyFill="1" applyBorder="1" applyAlignment="1" applyProtection="1">
      <alignment vertical="top"/>
      <protection/>
    </xf>
    <xf numFmtId="0" fontId="0" fillId="33" borderId="14" xfId="0" applyFill="1" applyBorder="1" applyAlignment="1" applyProtection="1">
      <alignment vertical="top" wrapText="1"/>
      <protection/>
    </xf>
    <xf numFmtId="0" fontId="0" fillId="33" borderId="14" xfId="0" applyFont="1" applyFill="1" applyBorder="1" applyAlignment="1" applyProtection="1">
      <alignment horizontal="left" vertical="top" wrapText="1"/>
      <protection/>
    </xf>
    <xf numFmtId="0" fontId="0" fillId="33" borderId="14" xfId="0" applyFont="1" applyFill="1" applyBorder="1" applyAlignment="1" applyProtection="1">
      <alignment horizontal="center" vertical="top"/>
      <protection/>
    </xf>
    <xf numFmtId="0" fontId="0" fillId="33" borderId="14" xfId="0" applyFont="1" applyFill="1" applyBorder="1" applyAlignment="1" applyProtection="1">
      <alignment vertical="top" wrapText="1"/>
      <protection/>
    </xf>
    <xf numFmtId="3" fontId="0" fillId="33" borderId="15" xfId="0" applyNumberFormat="1" applyFill="1" applyBorder="1" applyAlignment="1" applyProtection="1">
      <alignment vertical="top"/>
      <protection/>
    </xf>
    <xf numFmtId="0" fontId="0" fillId="33" borderId="14" xfId="0" applyFill="1" applyBorder="1" applyAlignment="1">
      <alignment vertical="top"/>
    </xf>
    <xf numFmtId="3" fontId="0" fillId="34" borderId="14" xfId="0" applyNumberFormat="1" applyFill="1" applyBorder="1" applyAlignment="1" applyProtection="1">
      <alignment horizontal="right" vertical="top"/>
      <protection/>
    </xf>
    <xf numFmtId="3" fontId="0" fillId="33" borderId="44" xfId="0" applyNumberFormat="1" applyFill="1" applyBorder="1" applyAlignment="1" applyProtection="1">
      <alignment horizontal="right" vertical="top"/>
      <protection/>
    </xf>
    <xf numFmtId="3" fontId="0" fillId="33" borderId="15" xfId="0" applyNumberFormat="1" applyFill="1" applyBorder="1" applyAlignment="1" applyProtection="1">
      <alignment horizontal="right" vertical="top"/>
      <protection/>
    </xf>
    <xf numFmtId="3" fontId="0" fillId="33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37" borderId="14" xfId="0" applyNumberFormat="1" applyFill="1" applyBorder="1" applyAlignment="1">
      <alignment horizontal="right" vertical="top"/>
    </xf>
    <xf numFmtId="3" fontId="0" fillId="33" borderId="14" xfId="0" applyNumberFormat="1" applyFill="1" applyBorder="1" applyAlignment="1" applyProtection="1">
      <alignment horizontal="right" vertical="top"/>
      <protection locked="0"/>
    </xf>
    <xf numFmtId="0" fontId="0" fillId="33" borderId="14" xfId="0" applyFill="1" applyBorder="1" applyAlignment="1" applyProtection="1" quotePrefix="1">
      <alignment vertical="top" wrapText="1"/>
      <protection/>
    </xf>
    <xf numFmtId="0" fontId="4" fillId="33" borderId="14" xfId="0" applyFont="1" applyFill="1" applyBorder="1" applyAlignment="1" applyProtection="1">
      <alignment vertical="top"/>
      <protection/>
    </xf>
    <xf numFmtId="3" fontId="0" fillId="33" borderId="14" xfId="0" applyNumberFormat="1" applyFill="1" applyBorder="1" applyAlignment="1" applyProtection="1" quotePrefix="1">
      <alignment vertical="top"/>
      <protection/>
    </xf>
    <xf numFmtId="0" fontId="5" fillId="33" borderId="14" xfId="0" applyFont="1" applyFill="1" applyBorder="1" applyAlignment="1">
      <alignment vertical="top"/>
    </xf>
    <xf numFmtId="37" fontId="0" fillId="33" borderId="15" xfId="0" applyNumberFormat="1" applyFill="1" applyBorder="1" applyAlignment="1" applyProtection="1">
      <alignment vertical="top"/>
      <protection/>
    </xf>
    <xf numFmtId="37" fontId="0" fillId="33" borderId="18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37" borderId="14" xfId="0" applyNumberFormat="1" applyFill="1" applyBorder="1" applyAlignment="1">
      <alignment vertical="top"/>
    </xf>
    <xf numFmtId="0" fontId="3" fillId="33" borderId="0" xfId="0" applyFont="1" applyFill="1" applyAlignment="1">
      <alignment vertical="top"/>
    </xf>
    <xf numFmtId="3" fontId="0" fillId="34" borderId="14" xfId="0" applyNumberFormat="1" applyFill="1" applyBorder="1" applyAlignment="1" applyProtection="1" quotePrefix="1">
      <alignment vertical="top"/>
      <protection/>
    </xf>
    <xf numFmtId="172" fontId="0" fillId="34" borderId="14" xfId="0" applyNumberFormat="1" applyFill="1" applyBorder="1" applyAlignment="1" applyProtection="1">
      <alignment vertical="top"/>
      <protection/>
    </xf>
    <xf numFmtId="37" fontId="0" fillId="34" borderId="14" xfId="0" applyNumberFormat="1" applyFill="1" applyBorder="1" applyAlignment="1" applyProtection="1">
      <alignment/>
      <protection/>
    </xf>
    <xf numFmtId="3" fontId="0" fillId="34" borderId="14" xfId="0" applyNumberFormat="1" applyFill="1" applyBorder="1" applyAlignment="1" applyProtection="1" quotePrefix="1">
      <alignment/>
      <protection/>
    </xf>
    <xf numFmtId="37" fontId="0" fillId="34" borderId="14" xfId="0" applyNumberFormat="1" applyFill="1" applyBorder="1" applyAlignment="1" applyProtection="1">
      <alignment/>
      <protection locked="0"/>
    </xf>
    <xf numFmtId="37" fontId="0" fillId="34" borderId="15" xfId="0" applyNumberFormat="1" applyFill="1" applyBorder="1" applyAlignment="1" applyProtection="1">
      <alignment/>
      <protection/>
    </xf>
    <xf numFmtId="172" fontId="0" fillId="34" borderId="14" xfId="0" applyNumberFormat="1" applyFill="1" applyBorder="1" applyAlignment="1" applyProtection="1">
      <alignment/>
      <protection/>
    </xf>
    <xf numFmtId="3" fontId="0" fillId="34" borderId="15" xfId="0" applyNumberFormat="1" applyFill="1" applyBorder="1" applyAlignment="1" applyProtection="1" quotePrefix="1">
      <alignment/>
      <protection/>
    </xf>
    <xf numFmtId="3" fontId="0" fillId="34" borderId="14" xfId="0" applyNumberFormat="1" applyFill="1" applyBorder="1" applyAlignment="1" applyProtection="1">
      <alignment/>
      <protection/>
    </xf>
    <xf numFmtId="3" fontId="0" fillId="34" borderId="46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3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33" borderId="14" xfId="0" applyNumberFormat="1" applyFont="1" applyFill="1" applyBorder="1" applyAlignment="1" applyProtection="1">
      <alignment horizontal="right" vertical="top"/>
      <protection/>
    </xf>
    <xf numFmtId="3" fontId="0" fillId="33" borderId="14" xfId="71" applyNumberFormat="1" applyFont="1" applyFill="1" applyBorder="1" applyAlignment="1" applyProtection="1" quotePrefix="1">
      <alignment vertical="top"/>
      <protection/>
    </xf>
    <xf numFmtId="3" fontId="0" fillId="33" borderId="47" xfId="71" applyNumberFormat="1" applyFont="1" applyFill="1" applyBorder="1" applyAlignment="1" applyProtection="1" quotePrefix="1">
      <alignment vertical="top"/>
      <protection/>
    </xf>
    <xf numFmtId="3" fontId="0" fillId="37" borderId="14" xfId="0" applyNumberFormat="1" applyFill="1" applyBorder="1" applyAlignment="1" applyProtection="1">
      <alignment horizontal="right" vertical="top"/>
      <protection locked="0"/>
    </xf>
    <xf numFmtId="3" fontId="0" fillId="33" borderId="14" xfId="71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3" borderId="44" xfId="0" applyNumberFormat="1" applyFill="1" applyBorder="1" applyAlignment="1" applyProtection="1">
      <alignment horizontal="center" vertical="top"/>
      <protection locked="0"/>
    </xf>
    <xf numFmtId="10" fontId="0" fillId="33" borderId="51" xfId="0" applyNumberFormat="1" applyFill="1" applyBorder="1" applyAlignment="1" applyProtection="1">
      <alignment horizontal="center" vertical="top"/>
      <protection locked="0"/>
    </xf>
    <xf numFmtId="10" fontId="0" fillId="33" borderId="18" xfId="0" applyNumberFormat="1" applyFill="1" applyBorder="1" applyAlignment="1" applyProtection="1">
      <alignment horizontal="center" vertical="top"/>
      <protection locked="0"/>
    </xf>
    <xf numFmtId="10" fontId="0" fillId="33" borderId="10" xfId="0" applyNumberFormat="1" applyFill="1" applyBorder="1" applyAlignment="1" applyProtection="1">
      <alignment horizontal="center" vertical="top"/>
      <protection locked="0"/>
    </xf>
    <xf numFmtId="10" fontId="0" fillId="33" borderId="40" xfId="0" applyNumberFormat="1" applyFill="1" applyBorder="1" applyAlignment="1" applyProtection="1">
      <alignment horizontal="center" vertical="top"/>
      <protection locked="0"/>
    </xf>
    <xf numFmtId="10" fontId="0" fillId="33" borderId="42" xfId="0" applyNumberFormat="1" applyFill="1" applyBorder="1" applyAlignment="1" applyProtection="1">
      <alignment horizontal="center" vertical="top"/>
      <protection locked="0"/>
    </xf>
    <xf numFmtId="178" fontId="0" fillId="33" borderId="44" xfId="0" applyNumberFormat="1" applyFill="1" applyBorder="1" applyAlignment="1" applyProtection="1">
      <alignment horizontal="center" vertical="top"/>
      <protection locked="0"/>
    </xf>
    <xf numFmtId="178" fontId="0" fillId="33" borderId="14" xfId="0" applyNumberFormat="1" applyFill="1" applyBorder="1" applyAlignment="1" applyProtection="1">
      <alignment horizontal="center" vertical="top"/>
      <protection locked="0"/>
    </xf>
    <xf numFmtId="10" fontId="0" fillId="33" borderId="14" xfId="0" applyNumberFormat="1" applyFill="1" applyBorder="1" applyAlignment="1" applyProtection="1">
      <alignment horizontal="center" vertical="top"/>
      <protection locked="0"/>
    </xf>
    <xf numFmtId="10" fontId="0" fillId="33" borderId="9" xfId="0" applyNumberFormat="1" applyFill="1" applyBorder="1" applyAlignment="1" applyProtection="1">
      <alignment horizontal="center" vertical="top"/>
      <protection locked="0"/>
    </xf>
    <xf numFmtId="0" fontId="0" fillId="33" borderId="14" xfId="0" applyFill="1" applyBorder="1" applyAlignment="1" applyProtection="1">
      <alignment horizontal="center" vertical="top"/>
      <protection locked="0"/>
    </xf>
    <xf numFmtId="0" fontId="0" fillId="33" borderId="9" xfId="0" applyFill="1" applyBorder="1" applyAlignment="1" applyProtection="1">
      <alignment horizontal="center" vertical="top"/>
      <protection locked="0"/>
    </xf>
    <xf numFmtId="0" fontId="0" fillId="33" borderId="46" xfId="0" applyFill="1" applyBorder="1" applyAlignment="1" applyProtection="1">
      <alignment horizontal="center" vertical="top"/>
      <protection locked="0"/>
    </xf>
    <xf numFmtId="0" fontId="0" fillId="33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2" borderId="0" xfId="0" applyFill="1" applyBorder="1" applyAlignment="1" applyProtection="1">
      <alignment horizontal="center" vertical="top"/>
      <protection locked="0"/>
    </xf>
    <xf numFmtId="0" fontId="3" fillId="32" borderId="0" xfId="0" applyFont="1" applyFill="1" applyBorder="1" applyAlignment="1" applyProtection="1">
      <alignment vertical="top"/>
      <protection locked="0"/>
    </xf>
    <xf numFmtId="0" fontId="3" fillId="32" borderId="0" xfId="0" applyFont="1" applyFill="1" applyBorder="1" applyAlignment="1" applyProtection="1">
      <alignment horizontal="center" vertical="top"/>
      <protection locked="0"/>
    </xf>
    <xf numFmtId="3" fontId="3" fillId="32" borderId="0" xfId="42" applyNumberFormat="1" applyFont="1" applyFill="1" applyBorder="1" applyAlignment="1" applyProtection="1">
      <alignment horizontal="center" vertical="top"/>
      <protection locked="0"/>
    </xf>
    <xf numFmtId="3" fontId="3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Border="1" applyAlignment="1" applyProtection="1">
      <alignment horizontal="center" vertical="center" wrapText="1"/>
      <protection locked="0"/>
    </xf>
    <xf numFmtId="0" fontId="7" fillId="32" borderId="0" xfId="0" applyFont="1" applyFill="1" applyBorder="1" applyAlignment="1" applyProtection="1">
      <alignment vertical="top" wrapText="1"/>
      <protection locked="0"/>
    </xf>
    <xf numFmtId="0" fontId="7" fillId="32" borderId="0" xfId="0" applyFont="1" applyFill="1" applyBorder="1" applyAlignment="1" applyProtection="1">
      <alignment horizontal="center" vertical="top"/>
      <protection locked="0"/>
    </xf>
    <xf numFmtId="10" fontId="0" fillId="32" borderId="0" xfId="0" applyNumberFormat="1" applyFill="1" applyBorder="1" applyAlignment="1" applyProtection="1">
      <alignment horizontal="center" vertical="top"/>
      <protection locked="0"/>
    </xf>
    <xf numFmtId="10" fontId="0" fillId="37" borderId="44" xfId="0" applyNumberFormat="1" applyFill="1" applyBorder="1" applyAlignment="1" applyProtection="1">
      <alignment horizontal="center" vertical="top"/>
      <protection locked="0"/>
    </xf>
    <xf numFmtId="10" fontId="0" fillId="37" borderId="51" xfId="0" applyNumberFormat="1" applyFill="1" applyBorder="1" applyAlignment="1" applyProtection="1">
      <alignment horizontal="center" vertical="top"/>
      <protection locked="0"/>
    </xf>
    <xf numFmtId="10" fontId="0" fillId="37" borderId="18" xfId="0" applyNumberFormat="1" applyFill="1" applyBorder="1" applyAlignment="1" applyProtection="1">
      <alignment horizontal="center" vertical="top"/>
      <protection locked="0"/>
    </xf>
    <xf numFmtId="10" fontId="0" fillId="37" borderId="10" xfId="0" applyNumberFormat="1" applyFill="1" applyBorder="1" applyAlignment="1" applyProtection="1">
      <alignment horizontal="center" vertical="top"/>
      <protection locked="0"/>
    </xf>
    <xf numFmtId="178" fontId="0" fillId="37" borderId="44" xfId="0" applyNumberFormat="1" applyFill="1" applyBorder="1" applyAlignment="1" applyProtection="1">
      <alignment horizontal="center" vertical="top"/>
      <protection locked="0"/>
    </xf>
    <xf numFmtId="178" fontId="0" fillId="37" borderId="14" xfId="0" applyNumberFormat="1" applyFill="1" applyBorder="1" applyAlignment="1" applyProtection="1">
      <alignment horizontal="center" vertical="top"/>
      <protection locked="0"/>
    </xf>
    <xf numFmtId="10" fontId="0" fillId="37" borderId="14" xfId="0" applyNumberFormat="1" applyFill="1" applyBorder="1" applyAlignment="1" applyProtection="1">
      <alignment horizontal="center" vertical="top"/>
      <protection locked="0"/>
    </xf>
    <xf numFmtId="10" fontId="0" fillId="37" borderId="9" xfId="0" applyNumberFormat="1" applyFill="1" applyBorder="1" applyAlignment="1" applyProtection="1">
      <alignment horizontal="center" vertical="top"/>
      <protection locked="0"/>
    </xf>
    <xf numFmtId="0" fontId="0" fillId="37" borderId="14" xfId="0" applyFill="1" applyBorder="1" applyAlignment="1" applyProtection="1">
      <alignment horizontal="center" vertical="top"/>
      <protection locked="0"/>
    </xf>
    <xf numFmtId="0" fontId="0" fillId="37" borderId="9" xfId="0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 applyProtection="1">
      <alignment horizontal="center" vertical="center"/>
      <protection locked="0"/>
    </xf>
    <xf numFmtId="3" fontId="0" fillId="37" borderId="46" xfId="0" applyNumberFormat="1" applyFill="1" applyBorder="1" applyAlignment="1" applyProtection="1">
      <alignment horizontal="center" vertical="center"/>
      <protection locked="0"/>
    </xf>
    <xf numFmtId="0" fontId="0" fillId="37" borderId="46" xfId="0" applyFill="1" applyBorder="1" applyAlignment="1" applyProtection="1">
      <alignment horizontal="center" vertical="top"/>
      <protection locked="0"/>
    </xf>
    <xf numFmtId="0" fontId="0" fillId="37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34" borderId="48" xfId="42" applyNumberFormat="1" applyFont="1" applyFill="1" applyBorder="1" applyAlignment="1" applyProtection="1">
      <alignment horizontal="center" vertical="top"/>
      <protection locked="0"/>
    </xf>
    <xf numFmtId="4" fontId="9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49" xfId="0" applyFont="1" applyFill="1" applyBorder="1" applyAlignment="1" applyProtection="1">
      <alignment horizontal="center" vertical="top"/>
      <protection locked="0"/>
    </xf>
    <xf numFmtId="3" fontId="3" fillId="3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4" borderId="49" xfId="42" applyNumberFormat="1" applyFont="1" applyFill="1" applyBorder="1" applyAlignment="1" applyProtection="1">
      <alignment horizontal="center" vertical="top"/>
      <protection locked="0"/>
    </xf>
    <xf numFmtId="0" fontId="9" fillId="34" borderId="55" xfId="0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Border="1" applyAlignment="1" applyProtection="1">
      <alignment vertical="top" wrapText="1"/>
      <protection locked="0"/>
    </xf>
    <xf numFmtId="0" fontId="0" fillId="31" borderId="0" xfId="0" applyFill="1" applyBorder="1" applyAlignment="1" applyProtection="1">
      <alignment horizontal="center" vertical="top"/>
      <protection locked="0"/>
    </xf>
    <xf numFmtId="3" fontId="0" fillId="31" borderId="0" xfId="0" applyNumberFormat="1" applyFill="1" applyBorder="1" applyAlignment="1" applyProtection="1">
      <alignment horizontal="center" vertical="center"/>
      <protection locked="0"/>
    </xf>
    <xf numFmtId="0" fontId="0" fillId="32" borderId="17" xfId="0" applyFill="1" applyBorder="1" applyAlignment="1" applyProtection="1">
      <alignment horizontal="center" vertical="top"/>
      <protection locked="0"/>
    </xf>
    <xf numFmtId="3" fontId="0" fillId="32" borderId="0" xfId="0" applyNumberFormat="1" applyFill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 applyProtection="1">
      <alignment vertical="top"/>
      <protection locked="0"/>
    </xf>
    <xf numFmtId="0" fontId="3" fillId="32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3" borderId="0" xfId="0" applyNumberFormat="1" applyFill="1" applyAlignment="1">
      <alignment vertical="top"/>
    </xf>
    <xf numFmtId="0" fontId="0" fillId="37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4" borderId="15" xfId="0" applyNumberFormat="1" applyFill="1" applyBorder="1" applyAlignment="1" applyProtection="1">
      <alignment vertical="top"/>
      <protection/>
    </xf>
    <xf numFmtId="3" fontId="0" fillId="37" borderId="0" xfId="0" applyNumberFormat="1" applyFill="1" applyAlignment="1" applyProtection="1">
      <alignment/>
      <protection/>
    </xf>
    <xf numFmtId="3" fontId="0" fillId="37" borderId="0" xfId="0" applyNumberFormat="1" applyFill="1" applyAlignment="1">
      <alignment/>
    </xf>
    <xf numFmtId="3" fontId="0" fillId="33" borderId="0" xfId="0" applyNumberFormat="1" applyFill="1" applyAlignment="1" applyProtection="1">
      <alignment/>
      <protection/>
    </xf>
    <xf numFmtId="3" fontId="0" fillId="33" borderId="56" xfId="0" applyNumberFormat="1" applyFill="1" applyBorder="1" applyAlignment="1" applyProtection="1">
      <alignment/>
      <protection/>
    </xf>
    <xf numFmtId="0" fontId="0" fillId="33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7" borderId="14" xfId="0" applyNumberFormat="1" applyFill="1" applyBorder="1" applyAlignment="1">
      <alignment vertical="top"/>
    </xf>
    <xf numFmtId="10" fontId="0" fillId="33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33" borderId="41" xfId="0" applyFont="1" applyFill="1" applyBorder="1" applyAlignment="1" applyProtection="1">
      <alignment horizontal="center" vertical="top"/>
      <protection locked="0"/>
    </xf>
    <xf numFmtId="0" fontId="23" fillId="32" borderId="0" xfId="0" applyFont="1" applyFill="1" applyBorder="1" applyAlignment="1" applyProtection="1">
      <alignment horizontal="center" vertical="top"/>
      <protection locked="0"/>
    </xf>
    <xf numFmtId="0" fontId="19" fillId="32" borderId="0" xfId="0" applyFont="1" applyFill="1" applyBorder="1" applyAlignment="1" applyProtection="1">
      <alignment vertical="top" wrapText="1"/>
      <protection locked="0"/>
    </xf>
    <xf numFmtId="0" fontId="8" fillId="31" borderId="0" xfId="0" applyFont="1" applyFill="1" applyBorder="1" applyAlignment="1">
      <alignment vertical="top" wrapText="1"/>
    </xf>
    <xf numFmtId="3" fontId="0" fillId="34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3" borderId="0" xfId="0" applyFont="1" applyFill="1" applyAlignment="1">
      <alignment vertical="top"/>
    </xf>
    <xf numFmtId="3" fontId="0" fillId="33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37" borderId="0" xfId="0" applyNumberFormat="1" applyFill="1" applyAlignment="1">
      <alignment vertical="top"/>
    </xf>
    <xf numFmtId="10" fontId="0" fillId="37" borderId="0" xfId="0" applyNumberFormat="1" applyFill="1" applyAlignment="1">
      <alignment vertical="top"/>
    </xf>
    <xf numFmtId="9" fontId="0" fillId="37" borderId="0" xfId="0" applyNumberFormat="1" applyFill="1" applyAlignment="1">
      <alignment horizontal="center" vertical="top"/>
    </xf>
    <xf numFmtId="16" fontId="0" fillId="37" borderId="0" xfId="0" applyNumberFormat="1" applyFill="1" applyAlignment="1">
      <alignment horizontal="center" vertical="top"/>
    </xf>
    <xf numFmtId="3" fontId="0" fillId="37" borderId="0" xfId="0" applyNumberFormat="1" applyFill="1" applyAlignment="1">
      <alignment vertical="top"/>
    </xf>
    <xf numFmtId="3" fontId="0" fillId="4" borderId="0" xfId="0" applyNumberFormat="1" applyFill="1" applyBorder="1" applyAlignment="1" applyProtection="1">
      <alignment vertical="top"/>
      <protection locked="0"/>
    </xf>
    <xf numFmtId="3" fontId="0" fillId="4" borderId="0" xfId="0" applyNumberFormat="1" applyFill="1" applyBorder="1" applyAlignment="1" applyProtection="1">
      <alignment vertical="top"/>
      <protection/>
    </xf>
    <xf numFmtId="0" fontId="0" fillId="37" borderId="0" xfId="0" applyFill="1" applyAlignment="1">
      <alignment vertical="top"/>
    </xf>
    <xf numFmtId="0" fontId="0" fillId="34" borderId="14" xfId="0" applyFill="1" applyBorder="1" applyAlignment="1" applyProtection="1">
      <alignment horizontal="center" vertical="top"/>
      <protection locked="0"/>
    </xf>
    <xf numFmtId="37" fontId="19" fillId="33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1" borderId="0" xfId="0" applyFont="1" applyFill="1" applyAlignment="1" applyProtection="1">
      <alignment vertical="top"/>
      <protection locked="0"/>
    </xf>
    <xf numFmtId="0" fontId="0" fillId="31" borderId="0" xfId="0" applyFill="1" applyAlignment="1" applyProtection="1">
      <alignment vertical="top"/>
      <protection locked="0"/>
    </xf>
    <xf numFmtId="3" fontId="0" fillId="31" borderId="0" xfId="0" applyNumberFormat="1" applyFill="1" applyAlignment="1" applyProtection="1">
      <alignment vertical="top"/>
      <protection locked="0"/>
    </xf>
    <xf numFmtId="0" fontId="0" fillId="31" borderId="0" xfId="0" applyFont="1" applyFill="1" applyAlignment="1" applyProtection="1">
      <alignment vertical="top"/>
      <protection locked="0"/>
    </xf>
    <xf numFmtId="0" fontId="0" fillId="31" borderId="0" xfId="0" applyFill="1" applyAlignment="1" applyProtection="1">
      <alignment vertical="top"/>
      <protection locked="0"/>
    </xf>
    <xf numFmtId="0" fontId="0" fillId="31" borderId="0" xfId="0" applyFill="1" applyAlignment="1">
      <alignment vertical="top"/>
    </xf>
    <xf numFmtId="0" fontId="0" fillId="31" borderId="0" xfId="0" applyFill="1" applyAlignment="1" applyProtection="1" quotePrefix="1">
      <alignment vertical="top"/>
      <protection locked="0"/>
    </xf>
    <xf numFmtId="37" fontId="0" fillId="31" borderId="0" xfId="0" applyNumberFormat="1" applyFill="1" applyBorder="1" applyAlignment="1" applyProtection="1">
      <alignment vertical="top"/>
      <protection locked="0"/>
    </xf>
    <xf numFmtId="37" fontId="0" fillId="31" borderId="0" xfId="0" applyNumberFormat="1" applyFill="1" applyAlignment="1" applyProtection="1">
      <alignment vertical="top"/>
      <protection locked="0"/>
    </xf>
    <xf numFmtId="37" fontId="0" fillId="31" borderId="0" xfId="0" applyNumberFormat="1" applyFill="1" applyBorder="1" applyAlignment="1">
      <alignment vertical="top"/>
    </xf>
    <xf numFmtId="0" fontId="3" fillId="33" borderId="48" xfId="0" applyFont="1" applyFill="1" applyBorder="1" applyAlignment="1">
      <alignment horizontal="center" vertical="top"/>
    </xf>
    <xf numFmtId="0" fontId="3" fillId="33" borderId="49" xfId="0" applyFont="1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3" fontId="0" fillId="33" borderId="14" xfId="0" applyNumberFormat="1" applyFill="1" applyBorder="1" applyAlignment="1">
      <alignment horizontal="right" vertical="top"/>
    </xf>
    <xf numFmtId="0" fontId="0" fillId="37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3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2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1" borderId="0" xfId="0" applyFont="1" applyFill="1" applyAlignment="1">
      <alignment vertical="top" wrapText="1"/>
    </xf>
    <xf numFmtId="0" fontId="0" fillId="31" borderId="0" xfId="0" applyFill="1" applyAlignment="1" quotePrefix="1">
      <alignment horizontal="center" vertical="top"/>
    </xf>
    <xf numFmtId="3" fontId="0" fillId="32" borderId="0" xfId="0" applyNumberFormat="1" applyFill="1" applyBorder="1" applyAlignment="1">
      <alignment/>
    </xf>
    <xf numFmtId="3" fontId="0" fillId="32" borderId="0" xfId="0" applyNumberFormat="1" applyFill="1" applyBorder="1" applyAlignment="1" applyProtection="1">
      <alignment/>
      <protection/>
    </xf>
    <xf numFmtId="37" fontId="0" fillId="32" borderId="0" xfId="0" applyNumberFormat="1" applyFill="1" applyBorder="1" applyAlignment="1" applyProtection="1">
      <alignment vertical="top"/>
      <protection locked="0"/>
    </xf>
    <xf numFmtId="0" fontId="0" fillId="32" borderId="0" xfId="0" applyFill="1" applyBorder="1" applyAlignment="1" applyProtection="1">
      <alignment vertical="top"/>
      <protection locked="0"/>
    </xf>
    <xf numFmtId="0" fontId="0" fillId="32" borderId="0" xfId="0" applyFill="1" applyBorder="1" applyAlignment="1">
      <alignment vertical="top"/>
    </xf>
    <xf numFmtId="37" fontId="0" fillId="32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38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39" borderId="14" xfId="0" applyNumberFormat="1" applyFill="1" applyBorder="1" applyAlignment="1" applyProtection="1" quotePrefix="1">
      <alignment/>
      <protection/>
    </xf>
    <xf numFmtId="3" fontId="0" fillId="38" borderId="14" xfId="0" applyNumberFormat="1" applyFill="1" applyBorder="1" applyAlignment="1" applyProtection="1">
      <alignment vertical="top"/>
      <protection/>
    </xf>
    <xf numFmtId="10" fontId="0" fillId="39" borderId="14" xfId="0" applyNumberFormat="1" applyFill="1" applyBorder="1" applyAlignment="1" applyProtection="1" quotePrefix="1">
      <alignment vertical="top"/>
      <protection/>
    </xf>
    <xf numFmtId="37" fontId="0" fillId="39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5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38" borderId="14" xfId="0" applyNumberFormat="1" applyFill="1" applyBorder="1" applyAlignment="1" applyProtection="1">
      <alignment horizontal="right" vertical="top"/>
      <protection locked="0"/>
    </xf>
    <xf numFmtId="3" fontId="8" fillId="37" borderId="14" xfId="0" applyNumberFormat="1" applyFont="1" applyFill="1" applyBorder="1" applyAlignment="1">
      <alignment vertical="top"/>
    </xf>
    <xf numFmtId="3" fontId="8" fillId="33" borderId="14" xfId="0" applyNumberFormat="1" applyFont="1" applyFill="1" applyBorder="1" applyAlignment="1" applyProtection="1">
      <alignment horizontal="right"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38" borderId="14" xfId="0" applyNumberFormat="1" applyFill="1" applyBorder="1" applyAlignment="1" applyProtection="1">
      <alignment vertical="top"/>
      <protection/>
    </xf>
    <xf numFmtId="37" fontId="3" fillId="33" borderId="14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 horizontal="center" vertical="top"/>
    </xf>
    <xf numFmtId="0" fontId="0" fillId="0" borderId="0" xfId="78" applyFont="1">
      <alignment vertical="top"/>
      <protection locked="0"/>
    </xf>
    <xf numFmtId="10" fontId="0" fillId="37" borderId="0" xfId="81" applyFont="1" applyFill="1" applyAlignment="1" applyProtection="1">
      <alignment horizontal="center" vertical="top" wrapText="1"/>
      <protection locked="0"/>
    </xf>
    <xf numFmtId="3" fontId="0" fillId="0" borderId="18" xfId="0" applyNumberFormat="1" applyFont="1" applyBorder="1" applyAlignment="1" applyProtection="1">
      <alignment vertical="top"/>
      <protection/>
    </xf>
    <xf numFmtId="3" fontId="0" fillId="0" borderId="0" xfId="0" applyNumberFormat="1" applyFont="1" applyBorder="1" applyAlignment="1">
      <alignment horizontal="left" vertical="top"/>
    </xf>
    <xf numFmtId="10" fontId="0" fillId="12" borderId="18" xfId="81" applyFont="1" applyFill="1" applyBorder="1" applyAlignment="1" applyProtection="1">
      <alignment vertical="top"/>
      <protection/>
    </xf>
    <xf numFmtId="0" fontId="0" fillId="12" borderId="25" xfId="0" applyFont="1" applyFill="1" applyBorder="1" applyAlignment="1">
      <alignment vertical="top"/>
    </xf>
    <xf numFmtId="3" fontId="0" fillId="0" borderId="18" xfId="0" applyNumberFormat="1" applyFont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2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4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4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1" borderId="0" xfId="0" applyFill="1" applyAlignment="1" applyProtection="1">
      <alignment vertical="top" wrapText="1"/>
      <protection locked="0"/>
    </xf>
    <xf numFmtId="0" fontId="0" fillId="31" borderId="0" xfId="0" applyFill="1" applyAlignment="1" applyProtection="1" quotePrefix="1">
      <alignment vertical="top" wrapText="1"/>
      <protection locked="0"/>
    </xf>
    <xf numFmtId="0" fontId="0" fillId="31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0" xfId="46"/>
    <cellStyle name="Comma0 2" xfId="47"/>
    <cellStyle name="Comma0 3" xfId="48"/>
    <cellStyle name="Currency" xfId="49"/>
    <cellStyle name="Currency [0]" xfId="50"/>
    <cellStyle name="Currency0" xfId="51"/>
    <cellStyle name="Currency0 2" xfId="52"/>
    <cellStyle name="Currency0 3" xfId="53"/>
    <cellStyle name="Date" xfId="54"/>
    <cellStyle name="Date 2" xfId="55"/>
    <cellStyle name="Date 3" xfId="56"/>
    <cellStyle name="Explanatory Text" xfId="57"/>
    <cellStyle name="Fixed" xfId="58"/>
    <cellStyle name="Fixed 2" xfId="59"/>
    <cellStyle name="Fixed 3" xfId="60"/>
    <cellStyle name="Followed Hyperlink" xfId="61"/>
    <cellStyle name="Good" xfId="62"/>
    <cellStyle name="Heading 1" xfId="63"/>
    <cellStyle name="Heading 1 2" xfId="64"/>
    <cellStyle name="Heading 1 3" xfId="65"/>
    <cellStyle name="Heading 2" xfId="66"/>
    <cellStyle name="Heading 2 2" xfId="67"/>
    <cellStyle name="Heading 2 3" xfId="68"/>
    <cellStyle name="Heading 3" xfId="69"/>
    <cellStyle name="Heading 4" xfId="70"/>
    <cellStyle name="Hyperlink" xfId="71"/>
    <cellStyle name="Hyperlink 2" xfId="72"/>
    <cellStyle name="Hyperlink 3" xfId="73"/>
    <cellStyle name="Input" xfId="74"/>
    <cellStyle name="Linked Cell" xfId="75"/>
    <cellStyle name="Neutral" xfId="76"/>
    <cellStyle name="Normal 2" xfId="77"/>
    <cellStyle name="Normal 3" xfId="78"/>
    <cellStyle name="Note" xfId="79"/>
    <cellStyle name="Output" xfId="80"/>
    <cellStyle name="Percent" xfId="81"/>
    <cellStyle name="Title" xfId="82"/>
    <cellStyle name="Total" xfId="83"/>
    <cellStyle name="Total 2" xfId="84"/>
    <cellStyle name="Total 3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view="pageBreakPreview" zoomScale="60" workbookViewId="0" topLeftCell="A1">
      <selection activeCell="F1" sqref="F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464</v>
      </c>
      <c r="C1" s="8"/>
      <c r="E1" s="2" t="s">
        <v>465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513</v>
      </c>
      <c r="C3" s="8"/>
      <c r="D3" s="456" t="s">
        <v>450</v>
      </c>
      <c r="E3" s="8"/>
      <c r="F3" s="8"/>
      <c r="G3" s="8"/>
      <c r="H3" s="8"/>
    </row>
    <row r="4" spans="1:8" ht="12.75">
      <c r="A4" s="2" t="s">
        <v>482</v>
      </c>
      <c r="C4" s="8"/>
      <c r="D4" s="455" t="s">
        <v>445</v>
      </c>
      <c r="E4" s="429"/>
      <c r="H4" s="8"/>
    </row>
    <row r="5" spans="1:8" ht="12.75">
      <c r="A5" s="52"/>
      <c r="C5" s="8"/>
      <c r="D5" s="454" t="s">
        <v>446</v>
      </c>
      <c r="E5" s="399"/>
      <c r="H5" s="8"/>
    </row>
    <row r="6" spans="1:8" ht="12.75">
      <c r="A6" s="2" t="s">
        <v>126</v>
      </c>
      <c r="B6" s="389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500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501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501</v>
      </c>
    </row>
    <row r="18" spans="1:4" ht="15" customHeight="1">
      <c r="A18" s="390" t="s">
        <v>314</v>
      </c>
      <c r="C18" s="8"/>
      <c r="D18" s="8"/>
    </row>
    <row r="19" spans="1:4" ht="15" customHeight="1">
      <c r="A19" s="497" t="s">
        <v>315</v>
      </c>
      <c r="B19" s="8" t="s">
        <v>312</v>
      </c>
      <c r="C19" s="8" t="s">
        <v>64</v>
      </c>
      <c r="D19" s="389" t="s">
        <v>500</v>
      </c>
    </row>
    <row r="20" spans="1:4" ht="13.5" thickBot="1">
      <c r="A20" s="498"/>
      <c r="B20" s="8" t="s">
        <v>313</v>
      </c>
      <c r="C20" s="8" t="s">
        <v>64</v>
      </c>
      <c r="D20" s="258"/>
    </row>
    <row r="21" spans="1:4" ht="14.25" customHeight="1">
      <c r="A21" s="497" t="s">
        <v>311</v>
      </c>
      <c r="B21" s="8" t="s">
        <v>312</v>
      </c>
      <c r="C21" s="8"/>
      <c r="D21" s="491" t="s">
        <v>507</v>
      </c>
    </row>
    <row r="22" spans="1:4" ht="12.75">
      <c r="A22" s="497"/>
      <c r="B22" s="8" t="s">
        <v>313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5" t="s">
        <v>483</v>
      </c>
    </row>
    <row r="25" ht="6.75" customHeight="1" thickBot="1">
      <c r="A25" s="12"/>
    </row>
    <row r="26" spans="1:5" ht="12.75">
      <c r="A26" s="255" t="s">
        <v>67</v>
      </c>
      <c r="C26" s="8"/>
      <c r="E26" s="444" t="s">
        <v>296</v>
      </c>
    </row>
    <row r="27" spans="1:5" ht="12.75">
      <c r="A27" s="256" t="s">
        <v>68</v>
      </c>
      <c r="C27" s="8"/>
      <c r="E27" s="445" t="s">
        <v>297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286</v>
      </c>
      <c r="D31" s="422">
        <v>386493612</v>
      </c>
      <c r="H31" s="5"/>
    </row>
    <row r="32" ht="6" customHeight="1"/>
    <row r="33" spans="1:8" ht="12.75">
      <c r="A33" t="s">
        <v>71</v>
      </c>
      <c r="D33" s="423">
        <v>0.4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0.6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0.069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31275063.083039995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2933916</v>
      </c>
      <c r="E43" s="388">
        <f>D43</f>
        <v>2933916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28341147.083039995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27">
        <v>9447000</v>
      </c>
      <c r="E47" s="388">
        <f aca="true" t="shared" si="0" ref="E47:E53">D47</f>
        <v>9447000</v>
      </c>
      <c r="H47" s="40"/>
      <c r="J47" s="5"/>
      <c r="K47" s="5"/>
    </row>
    <row r="48" spans="1:11" ht="12.75">
      <c r="A48" t="s">
        <v>289</v>
      </c>
      <c r="D48" s="427">
        <v>9307000</v>
      </c>
      <c r="E48" s="388">
        <f>D48</f>
        <v>9307000</v>
      </c>
      <c r="F48" s="22"/>
      <c r="H48" s="40"/>
      <c r="J48" s="5"/>
      <c r="K48" s="5"/>
    </row>
    <row r="49" spans="1:11" ht="12.75">
      <c r="A49" t="s">
        <v>290</v>
      </c>
      <c r="D49" s="428">
        <v>0</v>
      </c>
      <c r="E49" s="388">
        <v>0</v>
      </c>
      <c r="F49" s="22"/>
      <c r="H49" s="40"/>
      <c r="J49" s="5"/>
      <c r="K49" s="5"/>
    </row>
    <row r="50" spans="1:11" ht="12.75">
      <c r="A50" t="s">
        <v>291</v>
      </c>
      <c r="D50" s="429"/>
      <c r="E50" s="388">
        <f t="shared" si="0"/>
        <v>0</v>
      </c>
      <c r="H50" s="40"/>
      <c r="J50" s="5"/>
      <c r="K50" s="5"/>
    </row>
    <row r="51" spans="1:11" ht="12.75">
      <c r="A51" t="s">
        <v>442</v>
      </c>
      <c r="D51" s="429"/>
      <c r="E51" s="388">
        <f t="shared" si="0"/>
        <v>0</v>
      </c>
      <c r="H51" s="40"/>
      <c r="J51" s="5"/>
      <c r="K51" s="5"/>
    </row>
    <row r="52" spans="1:11" ht="12.75">
      <c r="A52" t="s">
        <v>466</v>
      </c>
      <c r="D52" s="429"/>
      <c r="E52" s="388">
        <f t="shared" si="0"/>
        <v>0</v>
      </c>
      <c r="H52" s="40"/>
      <c r="J52" s="5"/>
      <c r="K52" s="5"/>
    </row>
    <row r="53" spans="4:11" ht="12.75">
      <c r="D53" s="429"/>
      <c r="E53" s="388">
        <f t="shared" si="0"/>
        <v>0</v>
      </c>
      <c r="H53" s="40"/>
      <c r="J53" s="5"/>
      <c r="K53" s="5"/>
    </row>
    <row r="54" spans="1:11" ht="12.75">
      <c r="A54" s="2" t="s">
        <v>292</v>
      </c>
      <c r="E54" s="254">
        <f>SUM(E43:E53)</f>
        <v>21687916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154597444.8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15274227.546240002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231896167.2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310</v>
      </c>
      <c r="B62" s="5"/>
      <c r="C62" s="5"/>
      <c r="D62" s="252">
        <f>D60*D39</f>
        <v>16000835.5368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3">
        <f>IF(D41&gt;0,(((D43+D47)/D41)*D62),0)</f>
        <v>6334279.812160159</v>
      </c>
      <c r="F64" s="5"/>
      <c r="H64" s="32"/>
      <c r="J64" s="5"/>
      <c r="K64" s="5"/>
    </row>
    <row r="65" spans="1:11" ht="12.75">
      <c r="A65" s="33" t="s">
        <v>381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3">
        <f>IF(D41&gt;0,(((D43+D47+D48)/D41)*D62),0)</f>
        <v>11095893.751853686</v>
      </c>
      <c r="F66" s="5"/>
      <c r="H66" s="32"/>
      <c r="J66" s="5"/>
      <c r="K66" s="5"/>
    </row>
    <row r="67" spans="1:11" ht="12.75">
      <c r="A67" s="33" t="s">
        <v>382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3">
        <f>IF(D41&gt;0,(((D43+D47+D48)/D41)*D62),0)</f>
        <v>11095893.751853686</v>
      </c>
      <c r="F68" s="5"/>
      <c r="H68" s="32"/>
      <c r="J68" s="5"/>
    </row>
    <row r="69" spans="1:10" ht="12.75">
      <c r="A69" s="33" t="s">
        <v>383</v>
      </c>
      <c r="B69" s="5"/>
      <c r="C69" s="5"/>
      <c r="D69" s="5"/>
      <c r="F69" s="5"/>
      <c r="H69" s="32"/>
      <c r="J69" s="5"/>
    </row>
    <row r="70" spans="1:10" ht="12.75">
      <c r="A70" s="45" t="s">
        <v>451</v>
      </c>
      <c r="B70" s="5"/>
      <c r="C70" s="5"/>
      <c r="D70" s="253">
        <f>D62</f>
        <v>16000835.5368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69" right="0.03937007874015748" top="1.6275" bottom="0.2362204724409449" header="0.5118110236220472" footer="0"/>
  <pageSetup fitToHeight="1" fitToWidth="1" horizontalDpi="600" verticalDpi="600" orientation="portrait" scale="77" r:id="rId2"/>
  <headerFooter alignWithMargins="0">
    <oddHeader>&amp;L&amp;G&amp;R&amp;"Helvetica,Regular"&amp;8Hydro Ottawa Limited
EB-2011-0054
Filed: 2011-10-03
Technical Conference Undertakings
Undertaking LT1.19
Attachment 2
Page &amp;P of &amp;N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view="pageBreakPreview" zoomScale="60" zoomScaleNormal="90" workbookViewId="0" topLeftCell="A175">
      <selection activeCell="F1" sqref="F1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468</v>
      </c>
      <c r="H1" s="210"/>
    </row>
    <row r="2" spans="1:8" ht="12.75">
      <c r="A2" s="211" t="s">
        <v>467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469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Hydro Ottawa Limited</v>
      </c>
      <c r="B6" s="115"/>
      <c r="D6" s="137"/>
      <c r="E6" s="115"/>
      <c r="G6" s="115"/>
      <c r="H6" s="466"/>
    </row>
    <row r="7" spans="1:8" ht="12.75">
      <c r="A7" s="211" t="str">
        <f>REGINFO!A4</f>
        <v>Reporting period:  2002</v>
      </c>
      <c r="B7" s="115"/>
      <c r="D7" s="137"/>
      <c r="E7" s="115"/>
      <c r="G7" s="115"/>
      <c r="H7" s="466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0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30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342</v>
      </c>
      <c r="B16" s="125">
        <v>1</v>
      </c>
      <c r="C16" s="260">
        <f>REGINFO!E54</f>
        <v>21687916</v>
      </c>
      <c r="D16" s="17"/>
      <c r="E16" s="268">
        <f>G16-C16</f>
        <v>-25279916</v>
      </c>
      <c r="F16" s="3"/>
      <c r="G16" s="268">
        <f>TAXREC!E50</f>
        <v>-3592000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2">
        <v>20609598</v>
      </c>
      <c r="D20" s="18"/>
      <c r="E20" s="268">
        <f>G20-C20</f>
        <v>2822402</v>
      </c>
      <c r="F20" s="6"/>
      <c r="G20" s="268">
        <f>TAXREC!E61</f>
        <v>23432000</v>
      </c>
      <c r="H20" s="151"/>
    </row>
    <row r="21" spans="1:8" ht="12.75">
      <c r="A21" s="158" t="s">
        <v>56</v>
      </c>
      <c r="B21" s="127">
        <v>3</v>
      </c>
      <c r="C21" s="262"/>
      <c r="D21" s="18"/>
      <c r="E21" s="268">
        <f>G21-C21</f>
        <v>309000</v>
      </c>
      <c r="F21" s="6"/>
      <c r="G21" s="268">
        <f>TAXREC!E62</f>
        <v>309000</v>
      </c>
      <c r="H21" s="151"/>
    </row>
    <row r="22" spans="1:8" ht="12.75">
      <c r="A22" s="158" t="s">
        <v>264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263</v>
      </c>
      <c r="B23" s="127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1"/>
    </row>
    <row r="24" spans="1:8" ht="12.75">
      <c r="A24" s="158" t="s">
        <v>265</v>
      </c>
      <c r="B24" s="127">
        <v>5</v>
      </c>
      <c r="C24" s="262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5.75">
      <c r="A30" s="485" t="s">
        <v>398</v>
      </c>
      <c r="B30" s="127"/>
      <c r="C30" s="260"/>
      <c r="D30" s="18"/>
      <c r="E30" s="268">
        <f>G30-C30</f>
        <v>101764</v>
      </c>
      <c r="F30" s="6"/>
      <c r="G30" s="268">
        <f>TAXREC!E66</f>
        <v>101764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343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2">
        <v>14887485</v>
      </c>
      <c r="D33" s="132"/>
      <c r="E33" s="268">
        <f aca="true" t="shared" si="0" ref="E33:E42">G33-C33</f>
        <v>12030398</v>
      </c>
      <c r="F33" s="6"/>
      <c r="G33" s="268">
        <f>TAXREC!E97+TAXREC!E98</f>
        <v>26917883</v>
      </c>
      <c r="H33" s="151"/>
    </row>
    <row r="34" spans="1:8" ht="12.75">
      <c r="A34" s="158" t="s">
        <v>57</v>
      </c>
      <c r="B34" s="127">
        <v>8</v>
      </c>
      <c r="C34" s="262">
        <v>0</v>
      </c>
      <c r="D34" s="132"/>
      <c r="E34" s="268">
        <f t="shared" si="0"/>
        <v>303000</v>
      </c>
      <c r="F34" s="6"/>
      <c r="G34" s="268">
        <f>TAXREC!E99</f>
        <v>303000</v>
      </c>
      <c r="H34" s="151"/>
    </row>
    <row r="35" spans="1:8" ht="12.75">
      <c r="A35" s="158" t="s">
        <v>45</v>
      </c>
      <c r="B35" s="127">
        <v>9</v>
      </c>
      <c r="C35" s="262">
        <v>0</v>
      </c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266</v>
      </c>
      <c r="B36" s="127">
        <v>10</v>
      </c>
      <c r="C36" s="262"/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f>REGINFO!D66</f>
        <v>11095893.751853686</v>
      </c>
      <c r="D37" s="132"/>
      <c r="E37" s="268">
        <f t="shared" si="0"/>
        <v>-328893.7518536858</v>
      </c>
      <c r="F37" s="6"/>
      <c r="G37" s="268">
        <f>TAXREC!E51</f>
        <v>10767000</v>
      </c>
      <c r="H37" s="151"/>
    </row>
    <row r="38" spans="1:8" ht="12.75">
      <c r="A38" s="155" t="s">
        <v>262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261</v>
      </c>
      <c r="B39" s="125">
        <v>4</v>
      </c>
      <c r="C39" s="262"/>
      <c r="D39" s="132"/>
      <c r="E39" s="268">
        <f t="shared" si="0"/>
        <v>0</v>
      </c>
      <c r="F39" s="6"/>
      <c r="G39" s="268">
        <f>TAXREC!E105</f>
        <v>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5.75">
      <c r="A48" s="485" t="s">
        <v>398</v>
      </c>
      <c r="B48" s="127"/>
      <c r="C48" s="260"/>
      <c r="D48" s="132"/>
      <c r="E48" s="268">
        <f>G48-C48</f>
        <v>0</v>
      </c>
      <c r="F48" s="6"/>
      <c r="G48" s="251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329</v>
      </c>
      <c r="B50" s="125"/>
      <c r="C50" s="264">
        <f>C16+SUM(C20:C30)-SUM(C33:C48)</f>
        <v>16314135.248146314</v>
      </c>
      <c r="D50" s="102"/>
      <c r="E50" s="264">
        <f>E16+SUM(E20:E30)-SUM(E33:E48)</f>
        <v>-34051254.24814631</v>
      </c>
      <c r="F50" s="432" t="s">
        <v>370</v>
      </c>
      <c r="G50" s="264">
        <f>G16+SUM(G20:G30)-SUM(G33:G48)</f>
        <v>-17737119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337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341</v>
      </c>
      <c r="B53" s="127">
        <v>13</v>
      </c>
      <c r="C53" s="263">
        <f>IF($C$50&gt;'Tax Rates'!$E$11,'Tax Rates'!$F$16,IF($C$50&gt;'Tax Rates'!$C$11,'Tax Rates'!$E$16,'Tax Rates'!$C$16))</f>
        <v>0.3862</v>
      </c>
      <c r="D53" s="102"/>
      <c r="E53" s="269">
        <f>+G53-C53</f>
        <v>0</v>
      </c>
      <c r="F53" s="114"/>
      <c r="G53" s="474">
        <f>TAXREC!E151</f>
        <v>0.3862</v>
      </c>
      <c r="H53" s="151"/>
      <c r="I53" s="471" t="s">
        <v>478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6300519.032834106</v>
      </c>
      <c r="D55" s="102"/>
      <c r="E55" s="268">
        <f>G55-C55</f>
        <v>-6300519.032834106</v>
      </c>
      <c r="F55" s="432" t="s">
        <v>371</v>
      </c>
      <c r="G55" s="265"/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32" t="s">
        <v>371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6300519.032834106</v>
      </c>
      <c r="D60" s="133"/>
      <c r="E60" s="270">
        <f>+E55-E58</f>
        <v>-6300519.032834106</v>
      </c>
      <c r="F60" s="432" t="s">
        <v>371</v>
      </c>
      <c r="G60" s="270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386493612</v>
      </c>
      <c r="D66" s="102"/>
      <c r="E66" s="268">
        <f>G66-C66</f>
        <v>91512311</v>
      </c>
      <c r="F66" s="6"/>
      <c r="G66" s="476">
        <v>478005923</v>
      </c>
      <c r="H66" s="151"/>
      <c r="I66" s="477" t="s">
        <v>479</v>
      </c>
    </row>
    <row r="67" spans="1:10" ht="12.75">
      <c r="A67" s="152" t="s">
        <v>363</v>
      </c>
      <c r="B67" s="125">
        <v>16</v>
      </c>
      <c r="C67" s="261">
        <f>IF(C66&gt;0,'Tax Rates'!C21,0)</f>
        <v>5000000</v>
      </c>
      <c r="D67" s="102"/>
      <c r="E67" s="268">
        <f>G67-C67</f>
        <v>-365584</v>
      </c>
      <c r="F67" s="6"/>
      <c r="G67" s="476">
        <v>4634416</v>
      </c>
      <c r="H67" s="151"/>
      <c r="I67" s="477" t="s">
        <v>479</v>
      </c>
      <c r="J67" s="478" t="s">
        <v>480</v>
      </c>
    </row>
    <row r="68" spans="1:8" ht="12.75">
      <c r="A68" s="152" t="s">
        <v>42</v>
      </c>
      <c r="B68" s="125"/>
      <c r="C68" s="265">
        <f>IF((C66-C67)&gt;0,C66-C67,0)</f>
        <v>381493612</v>
      </c>
      <c r="D68" s="102"/>
      <c r="E68" s="268">
        <f>SUM(E66:E67)</f>
        <v>91146727</v>
      </c>
      <c r="F68" s="114"/>
      <c r="G68" s="265">
        <f>G66-G67</f>
        <v>473371507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364</v>
      </c>
      <c r="B70" s="125">
        <v>17</v>
      </c>
      <c r="C70" s="302">
        <f>'Tax Rates'!C18</f>
        <v>0.003</v>
      </c>
      <c r="D70" s="102"/>
      <c r="E70" s="269">
        <f>+G70-C70</f>
        <v>0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316</v>
      </c>
      <c r="B72" s="125"/>
      <c r="C72" s="265">
        <f>IF(C68&gt;0,C68*C70,0)*REGINFO!$B$6/REGINFO!$B$7</f>
        <v>1144480.8360000001</v>
      </c>
      <c r="D72" s="101"/>
      <c r="E72" s="268">
        <f>+G72-C72</f>
        <v>275633.6849999998</v>
      </c>
      <c r="F72" s="479" t="s">
        <v>481</v>
      </c>
      <c r="G72" s="265">
        <f>IF(G68&gt;0,G68*G70,0)*REGINFO!$B$6/REGINFO!$B$7</f>
        <v>1420114.521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386493612</v>
      </c>
      <c r="D75" s="102"/>
      <c r="E75" s="268">
        <f>+G75-C75</f>
        <v>7214567</v>
      </c>
      <c r="F75" s="6"/>
      <c r="G75" s="476">
        <v>393708179</v>
      </c>
      <c r="H75" s="151"/>
      <c r="I75" s="477" t="s">
        <v>479</v>
      </c>
    </row>
    <row r="76" spans="1:9" ht="12.75">
      <c r="A76" s="152" t="s">
        <v>363</v>
      </c>
      <c r="B76" s="125">
        <v>19</v>
      </c>
      <c r="C76" s="261">
        <f>IF(C75&gt;0,'Tax Rates'!C22,0)</f>
        <v>10000000</v>
      </c>
      <c r="D76" s="18"/>
      <c r="E76" s="268">
        <f>+G76-C76</f>
        <v>0</v>
      </c>
      <c r="F76" s="6"/>
      <c r="G76" s="476">
        <v>10000000</v>
      </c>
      <c r="H76" s="151"/>
      <c r="I76" s="477" t="s">
        <v>479</v>
      </c>
    </row>
    <row r="77" spans="1:8" ht="12.75">
      <c r="A77" s="152" t="s">
        <v>42</v>
      </c>
      <c r="B77" s="125"/>
      <c r="C77" s="265">
        <f>IF((C75-C76)&gt;0,C75-C76,0)</f>
        <v>376493612</v>
      </c>
      <c r="D77" s="19"/>
      <c r="E77" s="268">
        <f>SUM(E75:E76)</f>
        <v>7214567</v>
      </c>
      <c r="F77" s="114"/>
      <c r="G77" s="265">
        <f>G75-G76</f>
        <v>383708179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364</v>
      </c>
      <c r="B79" s="125">
        <v>20</v>
      </c>
      <c r="C79" s="302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317</v>
      </c>
      <c r="B81" s="125"/>
      <c r="C81" s="265">
        <f>IF(C77&gt;0,C77*C79,0)*REGINFO!$B$6/REGINFO!$B$7</f>
        <v>847110.6270000001</v>
      </c>
      <c r="D81" s="102"/>
      <c r="E81" s="268">
        <f>+G81-C81</f>
        <v>16232.775749999797</v>
      </c>
      <c r="F81" s="6"/>
      <c r="G81" s="265">
        <f>G77*G79*B9/B10</f>
        <v>863343.4027499999</v>
      </c>
      <c r="H81" s="151"/>
    </row>
    <row r="82" spans="1:8" ht="12.75">
      <c r="A82" s="152" t="s">
        <v>318</v>
      </c>
      <c r="B82" s="125">
        <v>21</v>
      </c>
      <c r="C82" s="301">
        <f>IF(C77&gt;0,IF(C60&gt;0,C50*'Tax Rates'!C20,0),0)</f>
        <v>182718.31477923872</v>
      </c>
      <c r="D82" s="102"/>
      <c r="E82" s="268">
        <f>+G82-C82</f>
        <v>-142789.31477923872</v>
      </c>
      <c r="F82" s="6"/>
      <c r="G82" s="301">
        <v>39929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664392.3122207613</v>
      </c>
      <c r="D84" s="16"/>
      <c r="E84" s="487">
        <f>E81-E82</f>
        <v>159022.0905292385</v>
      </c>
      <c r="F84" s="103"/>
      <c r="G84" s="265">
        <f>G81-G82</f>
        <v>823414.4027499999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3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372</v>
      </c>
      <c r="B90" s="127">
        <v>22</v>
      </c>
      <c r="C90" s="265">
        <f>C60/(1-C88)</f>
        <v>10080830.45253457</v>
      </c>
      <c r="D90" s="20"/>
      <c r="E90" s="139"/>
      <c r="F90" s="431" t="s">
        <v>492</v>
      </c>
      <c r="G90" s="271">
        <f>TAXREC!E156</f>
        <v>0</v>
      </c>
      <c r="H90" s="151"/>
    </row>
    <row r="91" spans="1:8" ht="12.75">
      <c r="A91" s="158" t="s">
        <v>373</v>
      </c>
      <c r="B91" s="127">
        <v>23</v>
      </c>
      <c r="C91" s="265">
        <f>C84/(1-C88)</f>
        <v>1063027.6995532182</v>
      </c>
      <c r="D91" s="20"/>
      <c r="E91" s="139"/>
      <c r="F91" s="431" t="s">
        <v>492</v>
      </c>
      <c r="G91" s="271">
        <f>TAXREC!E158</f>
        <v>863343</v>
      </c>
      <c r="H91" s="151"/>
    </row>
    <row r="92" spans="1:8" ht="12.75">
      <c r="A92" s="158" t="s">
        <v>351</v>
      </c>
      <c r="B92" s="127">
        <v>24</v>
      </c>
      <c r="C92" s="265">
        <f>C72</f>
        <v>1144480.8360000001</v>
      </c>
      <c r="D92" s="20"/>
      <c r="E92" s="139"/>
      <c r="F92" s="431" t="s">
        <v>492</v>
      </c>
      <c r="G92" s="271">
        <f>TAXREC!E157</f>
        <v>1420115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493</v>
      </c>
      <c r="B95" s="125">
        <v>25</v>
      </c>
      <c r="C95" s="270">
        <f>SUM(C90:C93)</f>
        <v>12288338.988087788</v>
      </c>
      <c r="D95" s="6"/>
      <c r="E95" s="139"/>
      <c r="F95" s="431" t="s">
        <v>492</v>
      </c>
      <c r="G95" s="414">
        <f>SUM(G90:G94)</f>
        <v>2283458</v>
      </c>
      <c r="H95" s="164"/>
    </row>
    <row r="96" spans="1:8" ht="12.75">
      <c r="A96" s="404" t="s">
        <v>307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304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349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309000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366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367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365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303000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321</v>
      </c>
      <c r="B112" s="127">
        <v>11</v>
      </c>
      <c r="C112" s="112"/>
      <c r="D112" s="3"/>
      <c r="E112" s="473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368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369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6000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9" ht="12.75">
      <c r="A122" s="157" t="s">
        <v>495</v>
      </c>
      <c r="B122" s="127"/>
      <c r="C122" s="496" t="s">
        <v>512</v>
      </c>
      <c r="D122" s="3" t="s">
        <v>231</v>
      </c>
      <c r="E122" s="470">
        <f>G122</f>
        <v>0.3862</v>
      </c>
      <c r="F122" s="471" t="s">
        <v>478</v>
      </c>
      <c r="G122" s="494">
        <v>0.3862</v>
      </c>
      <c r="H122" s="495" t="s">
        <v>510</v>
      </c>
      <c r="I122" t="s">
        <v>511</v>
      </c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5">
        <f>E120*E122</f>
        <v>2317.2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2317.2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470">
        <f>IF((E120+C50)&gt;'Tax Rates'!$E$47,'Tax Rates'!$F$52-1.12%,IF((E120+C50)&gt;'Tax Rates'!$D$47,'Tax Rates'!$E$52-1.12%,IF((E120+C50)&gt;'Tax Rates'!$C$47,'Tax Rates'!$D$52-1.12%,'Tax Rates'!$C$52-1.12%)))</f>
        <v>0.375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355</v>
      </c>
      <c r="B132" s="130"/>
      <c r="C132" s="112"/>
      <c r="D132" s="3"/>
      <c r="E132" s="264">
        <f>E128/(1-E130)</f>
        <v>3707.5199999999995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358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3">
        <f>C50</f>
        <v>16314135.248146314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470">
        <f>IF((E120+E136)&gt;'Tax Rates'!E47,'Tax Rates'!F52,IF((E120+E136)&gt;'Tax Rates'!D47,'Tax Rates'!E52,IF((E120+E136)&gt;'Tax Rates'!C47,'Tax Rates'!D52,'Tax Rates'!C52)))</f>
        <v>0.3862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4">
        <f>IF(E136&gt;0,E136*E138,0)</f>
        <v>6300519.032834106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5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3">
        <f>E140-E142</f>
        <v>6300519.032834106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3">
        <f>C60</f>
        <v>6300519.032834106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3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84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386493612</v>
      </c>
      <c r="F151" s="37"/>
      <c r="G151" s="201"/>
      <c r="H151" s="164"/>
    </row>
    <row r="152" spans="1:8" ht="12.75">
      <c r="A152" s="171" t="s">
        <v>361</v>
      </c>
      <c r="B152" s="130"/>
      <c r="C152" s="112"/>
      <c r="D152" s="118" t="s">
        <v>188</v>
      </c>
      <c r="E152" s="306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3">
        <f>E151-E152</f>
        <v>381493612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362</v>
      </c>
      <c r="B155" s="130"/>
      <c r="C155" s="112"/>
      <c r="D155" s="119" t="s">
        <v>231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3">
        <f>IF(E153&gt;0,E153*E155*B9/B10,0)</f>
        <v>1144480.8360000001</v>
      </c>
      <c r="F157" s="37"/>
      <c r="G157" s="201"/>
      <c r="H157" s="164"/>
    </row>
    <row r="158" spans="1:8" ht="25.5">
      <c r="A158" s="171" t="s">
        <v>308</v>
      </c>
      <c r="B158" s="130"/>
      <c r="C158" s="112"/>
      <c r="D158" s="118" t="s">
        <v>188</v>
      </c>
      <c r="E158" s="306">
        <f>C72</f>
        <v>1144480.8360000001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5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386493612</v>
      </c>
      <c r="F162" s="37"/>
      <c r="G162" s="201"/>
      <c r="H162" s="164"/>
    </row>
    <row r="163" spans="1:8" ht="12.75">
      <c r="A163" s="171" t="s">
        <v>360</v>
      </c>
      <c r="B163" s="130"/>
      <c r="C163" s="112"/>
      <c r="D163" s="118" t="s">
        <v>188</v>
      </c>
      <c r="E163" s="306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3">
        <f>E162-E163</f>
        <v>376493612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309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3">
        <f>IF(E164&gt;0,E164*E166*B9/B10,0)</f>
        <v>847110.6270000001</v>
      </c>
      <c r="F168" s="37"/>
      <c r="G168" s="201"/>
      <c r="H168" s="164"/>
    </row>
    <row r="169" spans="1:8" ht="12.75">
      <c r="A169" s="171" t="s">
        <v>319</v>
      </c>
      <c r="B169" s="130"/>
      <c r="C169" s="112"/>
      <c r="D169" s="118" t="s">
        <v>188</v>
      </c>
      <c r="E169" s="308">
        <v>182718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3">
        <f>E168-E169</f>
        <v>664392.6270000001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350</v>
      </c>
      <c r="B172" s="130"/>
      <c r="C172" s="112"/>
      <c r="D172" s="118" t="s">
        <v>188</v>
      </c>
      <c r="E172" s="306">
        <f>C84</f>
        <v>664392.3122207613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5">
        <f>E170-E172</f>
        <v>0.3147792387753725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347</v>
      </c>
      <c r="B175" s="130"/>
      <c r="C175" s="112"/>
      <c r="D175" s="119"/>
      <c r="E175" s="470">
        <f>IF((E120+C50)&gt;'Tax Rates'!E47,'Tax Rates'!F52-1.12%,IF((E120+C50)&gt;'Tax Rates'!D47,'Tax Rates'!E52-1.12%,IF((E120+C50)&gt;'Tax Rates'!C47,'Tax Rates'!D52,'Tax Rates'!C52-1.12%)))</f>
        <v>0.375</v>
      </c>
      <c r="F175" s="471" t="s">
        <v>478</v>
      </c>
      <c r="G175" s="492" t="s">
        <v>508</v>
      </c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3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0.503646782040596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356</v>
      </c>
      <c r="B181" s="130"/>
      <c r="C181" s="112"/>
      <c r="D181" s="119" t="s">
        <v>189</v>
      </c>
      <c r="E181" s="303">
        <f>SUM(E177:E179)</f>
        <v>0.503646782040596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348</v>
      </c>
      <c r="B183" s="130"/>
      <c r="C183" s="112"/>
      <c r="D183" s="119" t="s">
        <v>187</v>
      </c>
      <c r="E183" s="303">
        <f>E132</f>
        <v>3707.5199999999995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357</v>
      </c>
      <c r="B185" s="130"/>
      <c r="C185" s="112"/>
      <c r="D185" s="119" t="s">
        <v>189</v>
      </c>
      <c r="E185" s="303">
        <f>E181+E183</f>
        <v>3708.02364678204</v>
      </c>
      <c r="F185" s="493" t="s">
        <v>509</v>
      </c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9">
        <f>REGINFO!D62</f>
        <v>16000835.5368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9">
        <f>REGINFO!D66</f>
        <v>11095893.751853686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344</v>
      </c>
      <c r="B196" s="127"/>
      <c r="C196" s="112"/>
      <c r="D196" s="120"/>
      <c r="E196" s="309">
        <f>E193-E194</f>
        <v>4904941.784946315</v>
      </c>
      <c r="F196" s="3"/>
      <c r="G196" s="123"/>
      <c r="H196" s="164"/>
    </row>
    <row r="197" spans="1:8" ht="12.75">
      <c r="A197" s="155" t="s">
        <v>345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123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123"/>
      <c r="H200" s="164"/>
    </row>
    <row r="201" spans="1:8" ht="12.75">
      <c r="A201" s="155" t="s">
        <v>252</v>
      </c>
      <c r="B201" s="127"/>
      <c r="C201" s="112"/>
      <c r="D201" s="120"/>
      <c r="E201" s="309">
        <f>G37+G42</f>
        <v>10767000</v>
      </c>
      <c r="F201" s="3"/>
      <c r="G201" s="123"/>
      <c r="H201" s="164"/>
    </row>
    <row r="202" spans="1:8" ht="12.75">
      <c r="A202" s="155" t="s">
        <v>346</v>
      </c>
      <c r="B202" s="127"/>
      <c r="C202" s="112"/>
      <c r="D202" s="120"/>
      <c r="E202" s="309">
        <f>REGINFO!D62</f>
        <v>16000835.5368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320</v>
      </c>
      <c r="B206" s="127"/>
      <c r="C206" s="112"/>
      <c r="D206" s="120"/>
      <c r="E206" s="472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10">
        <f>+E196-E204</f>
        <v>4904941.784946315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69" right="0.03937007874015748" top="1.6275" bottom="0.2362204724409449" header="0.5118110236220472" footer="0"/>
  <pageSetup horizontalDpi="600" verticalDpi="600" orientation="portrait" scale="50" r:id="rId2"/>
  <headerFooter alignWithMargins="0">
    <oddHeader>&amp;L&amp;G&amp;R&amp;"Helvetica,Regular"&amp;8Hydro Ottawa Limited
EB-2011-0054
Filed: 2011-10-03
Technical Conference Undertakings
Undertaking LT1.19
Attachment 2
Page &amp;P of &amp;N</oddHeader>
  </headerFooter>
  <rowBreaks count="4" manualBreakCount="4">
    <brk id="85" max="7" man="1"/>
    <brk id="149" max="7" man="1"/>
    <brk id="188" max="7" man="1"/>
    <brk id="212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tabSelected="1" view="pageBreakPreview" zoomScale="60" workbookViewId="0" topLeftCell="A121">
      <selection activeCell="F1" sqref="F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Hydro Ottawa Limited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6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489" t="s">
        <v>501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489" t="s">
        <v>500</v>
      </c>
      <c r="D15" s="25"/>
      <c r="E15" s="25"/>
      <c r="F15" s="20"/>
      <c r="G15" s="3"/>
      <c r="H15" s="3"/>
      <c r="I15" s="3"/>
    </row>
    <row r="16" spans="1:9" ht="12.75">
      <c r="A16" s="300" t="s">
        <v>228</v>
      </c>
      <c r="B16" s="20" t="s">
        <v>64</v>
      </c>
      <c r="C16" s="8" t="s">
        <v>501</v>
      </c>
      <c r="D16" s="25"/>
      <c r="E16" s="25"/>
      <c r="F16" s="20"/>
      <c r="G16" s="3"/>
      <c r="H16" s="3"/>
      <c r="I16" s="3"/>
    </row>
    <row r="17" spans="1:6" ht="12.75">
      <c r="A17" s="2" t="s">
        <v>284</v>
      </c>
      <c r="B17" s="20" t="s">
        <v>64</v>
      </c>
      <c r="C17" s="8" t="s">
        <v>501</v>
      </c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327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259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325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326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6">
        <v>498673000</v>
      </c>
      <c r="D31" s="287"/>
      <c r="E31" s="285">
        <f>C31-D31</f>
        <v>498673000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6">
        <v>84190000</v>
      </c>
      <c r="D32" s="287"/>
      <c r="E32" s="285">
        <f>C32-D32</f>
        <v>84190000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>
        <v>4876000</v>
      </c>
      <c r="D33" s="287"/>
      <c r="E33" s="285">
        <f>C33-D33</f>
        <v>4876000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6">
        <v>809000</v>
      </c>
      <c r="D34" s="287"/>
      <c r="E34" s="285">
        <f>C34-D34</f>
        <v>809000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285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6">
        <v>498673000</v>
      </c>
      <c r="D39" s="287"/>
      <c r="E39" s="285">
        <f>C39-D39</f>
        <v>498673000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6"/>
      <c r="D40" s="287"/>
      <c r="E40" s="285">
        <f aca="true" t="shared" si="0" ref="E40:E48">C40-D40</f>
        <v>0</v>
      </c>
      <c r="F40" s="11"/>
      <c r="G40" s="11"/>
      <c r="H40" s="6"/>
      <c r="I40" s="6"/>
    </row>
    <row r="41" spans="1:9" ht="12.75">
      <c r="A41" s="4" t="s">
        <v>505</v>
      </c>
      <c r="B41" s="23" t="s">
        <v>188</v>
      </c>
      <c r="C41" s="286">
        <v>2450000</v>
      </c>
      <c r="D41" s="287"/>
      <c r="E41" s="285">
        <f t="shared" si="0"/>
        <v>2450000</v>
      </c>
      <c r="F41" s="11"/>
      <c r="G41" s="11"/>
      <c r="H41" s="6"/>
      <c r="I41" s="6"/>
    </row>
    <row r="42" spans="1:9" ht="12.75">
      <c r="A42" s="4" t="s">
        <v>275</v>
      </c>
      <c r="B42" s="23" t="s">
        <v>188</v>
      </c>
      <c r="C42" s="286">
        <v>48371000</v>
      </c>
      <c r="D42" s="287"/>
      <c r="E42" s="285">
        <f t="shared" si="0"/>
        <v>48371000</v>
      </c>
      <c r="F42" s="11"/>
      <c r="G42" s="11"/>
      <c r="H42" s="6"/>
      <c r="I42" s="6"/>
    </row>
    <row r="43" spans="1:9" ht="12.75">
      <c r="A43" s="4" t="s">
        <v>276</v>
      </c>
      <c r="B43" s="23" t="s">
        <v>188</v>
      </c>
      <c r="C43" s="286">
        <v>23432000</v>
      </c>
      <c r="D43" s="287"/>
      <c r="E43" s="285">
        <f t="shared" si="0"/>
        <v>23432000</v>
      </c>
      <c r="F43" s="11"/>
      <c r="G43" s="11"/>
      <c r="H43" s="6"/>
      <c r="I43" s="6"/>
    </row>
    <row r="44" spans="1:9" ht="12.75">
      <c r="A44" s="4" t="s">
        <v>277</v>
      </c>
      <c r="B44" s="23" t="s">
        <v>188</v>
      </c>
      <c r="C44" s="286">
        <v>1250000</v>
      </c>
      <c r="D44" s="287"/>
      <c r="E44" s="285">
        <f t="shared" si="0"/>
        <v>1250000</v>
      </c>
      <c r="F44" s="11"/>
      <c r="G44" s="11"/>
      <c r="H44" s="6"/>
      <c r="I44" s="6"/>
    </row>
    <row r="45" spans="1:11" ht="12.75">
      <c r="A45" s="490" t="s">
        <v>506</v>
      </c>
      <c r="B45" s="23" t="s">
        <v>188</v>
      </c>
      <c r="C45" s="286">
        <v>17964000</v>
      </c>
      <c r="D45" s="287"/>
      <c r="E45" s="285">
        <f t="shared" si="0"/>
        <v>17964000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6"/>
      <c r="D46" s="287"/>
      <c r="E46" s="285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-3592000</v>
      </c>
      <c r="D50" s="282">
        <f>SUM(D31:D36)-SUM(D39:D49)</f>
        <v>0</v>
      </c>
      <c r="E50" s="282">
        <f>SUM(E31:E35)-SUM(E39:E48)</f>
        <v>-3592000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6">
        <v>10767000</v>
      </c>
      <c r="D51" s="286"/>
      <c r="E51" s="283">
        <f>+C51-D51</f>
        <v>10767000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6">
        <v>1024000</v>
      </c>
      <c r="D52" s="286"/>
      <c r="E52" s="284">
        <f>+C52-D52</f>
        <v>1024000</v>
      </c>
      <c r="F52" s="8"/>
    </row>
    <row r="53" spans="1:6" ht="12.75">
      <c r="A53" s="2" t="s">
        <v>131</v>
      </c>
      <c r="B53" s="8" t="s">
        <v>189</v>
      </c>
      <c r="C53" s="282">
        <f>C50-C51-C52</f>
        <v>-15383000</v>
      </c>
      <c r="D53" s="282">
        <f>D50-D51-D52</f>
        <v>0</v>
      </c>
      <c r="E53" s="282">
        <f>E50-E51-E52</f>
        <v>-15383000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8">
        <f>C52</f>
        <v>1024000</v>
      </c>
      <c r="D59" s="288">
        <f>D52</f>
        <v>0</v>
      </c>
      <c r="E59" s="273">
        <f>+C59-D59</f>
        <v>1024000</v>
      </c>
      <c r="F59" s="8"/>
    </row>
    <row r="60" spans="1:6" ht="12.75">
      <c r="A60" s="4" t="s">
        <v>328</v>
      </c>
      <c r="B60" s="8" t="s">
        <v>187</v>
      </c>
      <c r="C60" s="318">
        <v>0</v>
      </c>
      <c r="D60" s="318"/>
      <c r="E60" s="273">
        <f>+C60-D60</f>
        <v>0</v>
      </c>
      <c r="F60" s="8"/>
    </row>
    <row r="61" spans="1:7" ht="12.75">
      <c r="A61" t="s">
        <v>4</v>
      </c>
      <c r="B61" s="8" t="s">
        <v>187</v>
      </c>
      <c r="C61" s="480">
        <f>C43</f>
        <v>23432000</v>
      </c>
      <c r="D61" s="288">
        <f>D43</f>
        <v>0</v>
      </c>
      <c r="E61" s="273">
        <f>+C61-D61</f>
        <v>23432000</v>
      </c>
      <c r="F61" s="8"/>
      <c r="G61" s="416"/>
    </row>
    <row r="62" spans="1:6" ht="12.75">
      <c r="A62" t="s">
        <v>6</v>
      </c>
      <c r="B62" s="8" t="s">
        <v>187</v>
      </c>
      <c r="C62" s="318">
        <v>309000</v>
      </c>
      <c r="D62" s="288">
        <v>0</v>
      </c>
      <c r="E62" s="273">
        <f>+C62-D62</f>
        <v>309000</v>
      </c>
      <c r="F62" s="8"/>
    </row>
    <row r="63" spans="1:6" ht="12.75">
      <c r="A63" s="31" t="s">
        <v>278</v>
      </c>
      <c r="B63" s="8" t="s">
        <v>187</v>
      </c>
      <c r="C63" s="316"/>
      <c r="D63" s="317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6"/>
      <c r="D64" s="317">
        <f>'Tax Reserves'!D63</f>
        <v>0</v>
      </c>
      <c r="E64" s="273">
        <f>+C64-D64</f>
        <v>0</v>
      </c>
      <c r="F64" s="8"/>
    </row>
    <row r="65" spans="1:6" ht="12.75">
      <c r="A65" t="s">
        <v>447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8" t="s">
        <v>398</v>
      </c>
      <c r="B66" s="8"/>
      <c r="C66" s="447">
        <f>'TAXREC 3 No True-up'!C47</f>
        <v>101764</v>
      </c>
      <c r="D66" s="447">
        <f>'TAXREC 3 No True-up'!D47</f>
        <v>0</v>
      </c>
      <c r="E66" s="273">
        <f>+C66-D66</f>
        <v>101764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3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v>0</v>
      </c>
      <c r="E68" s="273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24866764</v>
      </c>
      <c r="D70" s="273">
        <f>SUM(D59:D68)</f>
        <v>0</v>
      </c>
      <c r="E70" s="273">
        <f>SUM(E59:E68)</f>
        <v>24866764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>
        <v>0</v>
      </c>
      <c r="D74" s="295">
        <v>0</v>
      </c>
      <c r="E74" s="273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486</v>
      </c>
      <c r="B76" s="8" t="s">
        <v>187</v>
      </c>
      <c r="C76" s="481"/>
      <c r="D76" s="295"/>
      <c r="E76" s="482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5"/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5"/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24866764</v>
      </c>
      <c r="D82" s="251">
        <f>D70+D80</f>
        <v>0</v>
      </c>
      <c r="E82" s="251">
        <f>E70+E80</f>
        <v>24866764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435</v>
      </c>
      <c r="B93" s="274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5">
        <v>26801693</v>
      </c>
      <c r="D97" s="295"/>
      <c r="E97" s="273">
        <f>+C97-D97</f>
        <v>26801693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>
        <v>116190</v>
      </c>
      <c r="D98" s="295"/>
      <c r="E98" s="273">
        <f>+C98-D98</f>
        <v>116190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5">
        <v>303000</v>
      </c>
      <c r="D99" s="295"/>
      <c r="E99" s="273">
        <f>+C99-D99</f>
        <v>303000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>
        <v>0</v>
      </c>
      <c r="D100" s="295">
        <v>0</v>
      </c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9">
        <f>'Tax Reserves'!C35</f>
        <v>0</v>
      </c>
      <c r="D104" s="319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279</v>
      </c>
      <c r="B105" s="8" t="s">
        <v>188</v>
      </c>
      <c r="C105" s="319"/>
      <c r="D105" s="319">
        <f>'Tax Reserves'!D50</f>
        <v>0</v>
      </c>
      <c r="E105" s="283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8" t="s">
        <v>398</v>
      </c>
      <c r="B108" s="8"/>
      <c r="C108" s="254">
        <f>'TAXREC 3 No True-up'!C73</f>
        <v>0</v>
      </c>
      <c r="D108" s="254">
        <f>'TAXREC 3 No True-up'!D73</f>
        <v>0</v>
      </c>
      <c r="E108" s="273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>
        <v>0</v>
      </c>
      <c r="D109" s="295">
        <v>0</v>
      </c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27220883</v>
      </c>
      <c r="D113" s="251">
        <f>SUM(D97:D111)</f>
        <v>0</v>
      </c>
      <c r="E113" s="251">
        <f>SUM(E97:E111)</f>
        <v>27220883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5"/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5"/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27220883</v>
      </c>
      <c r="D122" s="251">
        <f>D113+D120</f>
        <v>0</v>
      </c>
      <c r="E122" s="251">
        <f>+E113+E120</f>
        <v>27220883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-17737119</v>
      </c>
      <c r="D134" s="251">
        <f>D53+D82-D122</f>
        <v>0</v>
      </c>
      <c r="E134" s="251">
        <f>E53+E82-E122</f>
        <v>-17737119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378</v>
      </c>
      <c r="B136" s="8" t="s">
        <v>188</v>
      </c>
      <c r="C136" s="295"/>
      <c r="D136" s="295"/>
      <c r="E136" s="265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379</v>
      </c>
      <c r="B137" s="8" t="s">
        <v>188</v>
      </c>
      <c r="C137" s="311"/>
      <c r="D137" s="311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1"/>
      <c r="D138" s="311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-17737119</v>
      </c>
      <c r="D139" s="252">
        <f>D134-D136-D137-D138</f>
        <v>0</v>
      </c>
      <c r="E139" s="488">
        <f>E134-E136-E137-E138</f>
        <v>-17737119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305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324</v>
      </c>
      <c r="B142" s="8" t="s">
        <v>187</v>
      </c>
      <c r="C142" s="299"/>
      <c r="D142" s="299"/>
      <c r="E142" s="252">
        <f>C142-D142</f>
        <v>0</v>
      </c>
      <c r="F142" s="8"/>
      <c r="G142" s="45" t="s">
        <v>499</v>
      </c>
      <c r="H142" s="45"/>
      <c r="I142" s="45"/>
      <c r="J142" s="45"/>
      <c r="K142" s="45"/>
    </row>
    <row r="143" spans="1:11" ht="12.75">
      <c r="A143" s="46" t="s">
        <v>323</v>
      </c>
      <c r="B143" s="8" t="s">
        <v>187</v>
      </c>
      <c r="C143" s="299"/>
      <c r="D143" s="299"/>
      <c r="E143" s="293">
        <f>C143-D143</f>
        <v>0</v>
      </c>
      <c r="F143" s="8"/>
      <c r="G143" s="45" t="s">
        <v>499</v>
      </c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0</v>
      </c>
      <c r="D144" s="252">
        <f>D142+D143</f>
        <v>0</v>
      </c>
      <c r="E144" s="252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335</v>
      </c>
      <c r="B145" s="8" t="s">
        <v>188</v>
      </c>
      <c r="C145" s="299">
        <v>0</v>
      </c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0</v>
      </c>
      <c r="D146" s="252">
        <f>D144-D145</f>
        <v>0</v>
      </c>
      <c r="E146" s="252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305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330</v>
      </c>
      <c r="B149" s="8"/>
      <c r="C149" s="405">
        <v>0.2612</v>
      </c>
      <c r="D149" s="5"/>
      <c r="E149" s="406">
        <f>C149</f>
        <v>0.2612</v>
      </c>
      <c r="F149" s="8"/>
      <c r="G149" s="45" t="s">
        <v>473</v>
      </c>
      <c r="H149" s="45"/>
      <c r="I149" s="45"/>
      <c r="J149" s="45"/>
      <c r="K149" s="45"/>
    </row>
    <row r="150" spans="1:11" ht="12.75">
      <c r="A150" s="46" t="s">
        <v>331</v>
      </c>
      <c r="B150" s="8"/>
      <c r="C150" s="405">
        <v>0.125</v>
      </c>
      <c r="D150" s="5"/>
      <c r="E150" s="406">
        <f>C150</f>
        <v>0.125</v>
      </c>
      <c r="F150" s="8"/>
      <c r="G150" s="45" t="s">
        <v>474</v>
      </c>
      <c r="H150" s="45"/>
      <c r="I150" s="45"/>
      <c r="J150" s="45"/>
      <c r="K150" s="45"/>
    </row>
    <row r="151" spans="1:11" ht="12.75">
      <c r="A151" t="s">
        <v>332</v>
      </c>
      <c r="B151" s="8"/>
      <c r="C151" s="406">
        <f>SUM(C149:C150)</f>
        <v>0.3862</v>
      </c>
      <c r="D151" s="486" t="s">
        <v>494</v>
      </c>
      <c r="E151" s="406">
        <f>SUM(E149:E150)</f>
        <v>0.3862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359</v>
      </c>
      <c r="B153" s="8"/>
    </row>
    <row r="154" spans="1:2" ht="12.75">
      <c r="A154" s="14"/>
      <c r="B154" s="8"/>
    </row>
    <row r="155" spans="1:2" ht="12.75">
      <c r="A155" s="2" t="s">
        <v>491</v>
      </c>
      <c r="B155" s="8"/>
    </row>
    <row r="156" spans="1:5" ht="12.75">
      <c r="A156" t="s">
        <v>219</v>
      </c>
      <c r="B156" s="86" t="s">
        <v>187</v>
      </c>
      <c r="C156" s="251">
        <f>C146</f>
        <v>0</v>
      </c>
      <c r="D156" s="251">
        <f>D146</f>
        <v>0</v>
      </c>
      <c r="E156" s="251">
        <f>E146</f>
        <v>0</v>
      </c>
    </row>
    <row r="157" spans="1:5" ht="12.75">
      <c r="A157" t="s">
        <v>20</v>
      </c>
      <c r="B157" s="86" t="s">
        <v>187</v>
      </c>
      <c r="C157" s="483">
        <v>1420115</v>
      </c>
      <c r="D157" s="251"/>
      <c r="E157" s="251">
        <f>C157+D157</f>
        <v>1420115</v>
      </c>
    </row>
    <row r="158" spans="1:5" ht="12.75">
      <c r="A158" t="s">
        <v>218</v>
      </c>
      <c r="B158" s="86" t="s">
        <v>187</v>
      </c>
      <c r="C158" s="483">
        <v>863343</v>
      </c>
      <c r="D158" s="251"/>
      <c r="E158" s="251">
        <f>C158+D158</f>
        <v>863343</v>
      </c>
    </row>
    <row r="159" ht="12.75">
      <c r="B159" s="8"/>
    </row>
    <row r="160" spans="1:5" ht="12.75">
      <c r="A160" s="2" t="s">
        <v>302</v>
      </c>
      <c r="B160" s="66" t="s">
        <v>189</v>
      </c>
      <c r="C160" s="251">
        <f>C156+C157+C158</f>
        <v>2283458</v>
      </c>
      <c r="D160" s="251">
        <f>D156+D157+D158</f>
        <v>0</v>
      </c>
      <c r="E160" s="251">
        <f>E156+E157+E158</f>
        <v>2283458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D64" location="'Tax Reserves'!D21" display="'Tax Reserves'!D21"/>
    <hyperlink ref="D105" location="D36" tooltip="Go to the Tax Reserves worksheet" display="D36"/>
  </hyperlinks>
  <printOptions gridLines="1" headings="1"/>
  <pageMargins left="0.66" right="0.03937007874015748" top="1.6275" bottom="0.2362204724409449" header="0.5118110236220472" footer="0"/>
  <pageSetup horizontalDpi="600" verticalDpi="600" orientation="portrait" scale="71" r:id="rId2"/>
  <headerFooter alignWithMargins="0">
    <oddHeader>&amp;L&amp;G&amp;R&amp;"Helvetica,Regular"&amp;8Hydro Ottawa Limited
EB-2011-0054
Filed: 2011-10-03
Technical Conference Undertakings
Undertaking LT1.19
Attachment 2
Page &amp;P of &amp;N</oddHeader>
  </headerFooter>
  <rowBreaks count="2" manualBreakCount="2">
    <brk id="55" max="5" man="1"/>
    <brk id="123" max="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tabSelected="1" view="pageBreakPreview" zoomScale="60" workbookViewId="0" topLeftCell="A1">
      <selection activeCell="F1" sqref="F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301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Hydro Ottawa Limited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280</v>
      </c>
      <c r="B14" s="61"/>
      <c r="C14" s="295"/>
      <c r="D14" s="295"/>
      <c r="E14" s="251">
        <f aca="true" t="shared" si="0" ref="E14:E21">C14-D14</f>
        <v>0</v>
      </c>
    </row>
    <row r="15" spans="1:5" ht="12.75">
      <c r="A15" s="61" t="s">
        <v>281</v>
      </c>
      <c r="B15" s="61"/>
      <c r="C15" s="295"/>
      <c r="D15" s="295"/>
      <c r="E15" s="251">
        <f t="shared" si="0"/>
        <v>0</v>
      </c>
    </row>
    <row r="16" spans="1:5" ht="12.75">
      <c r="A16" s="61" t="s">
        <v>282</v>
      </c>
      <c r="B16" s="61"/>
      <c r="C16" s="295"/>
      <c r="D16" s="295"/>
      <c r="E16" s="251">
        <f t="shared" si="0"/>
        <v>0</v>
      </c>
    </row>
    <row r="17" spans="1:5" ht="12.75">
      <c r="A17" s="61" t="s">
        <v>283</v>
      </c>
      <c r="B17" s="61"/>
      <c r="C17" s="295"/>
      <c r="D17" s="295"/>
      <c r="E17" s="251">
        <f t="shared" si="0"/>
        <v>0</v>
      </c>
    </row>
    <row r="18" spans="1:5" ht="12.75">
      <c r="A18" s="61" t="s">
        <v>452</v>
      </c>
      <c r="B18" s="61"/>
      <c r="C18" s="295"/>
      <c r="D18" s="295"/>
      <c r="E18" s="251">
        <f t="shared" si="0"/>
        <v>0</v>
      </c>
    </row>
    <row r="19" spans="1:5" ht="12.75">
      <c r="A19" s="61" t="s">
        <v>452</v>
      </c>
      <c r="B19" s="61"/>
      <c r="C19" s="295"/>
      <c r="D19" s="295"/>
      <c r="E19" s="251">
        <f t="shared" si="0"/>
        <v>0</v>
      </c>
    </row>
    <row r="20" spans="1:5" ht="12.75">
      <c r="A20" s="61" t="s">
        <v>502</v>
      </c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280</v>
      </c>
      <c r="B26" s="61"/>
      <c r="C26" s="295"/>
      <c r="D26" s="295"/>
      <c r="E26" s="251">
        <f aca="true" t="shared" si="1" ref="E26:E33">C26-D26</f>
        <v>0</v>
      </c>
    </row>
    <row r="27" spans="1:5" ht="12.75">
      <c r="A27" s="61" t="s">
        <v>281</v>
      </c>
      <c r="B27" s="61"/>
      <c r="C27" s="295"/>
      <c r="D27" s="295"/>
      <c r="E27" s="251">
        <f t="shared" si="1"/>
        <v>0</v>
      </c>
    </row>
    <row r="28" spans="1:5" ht="12.75">
      <c r="A28" s="61" t="s">
        <v>282</v>
      </c>
      <c r="B28" s="61"/>
      <c r="C28" s="295"/>
      <c r="D28" s="295"/>
      <c r="E28" s="251">
        <f t="shared" si="1"/>
        <v>0</v>
      </c>
    </row>
    <row r="29" spans="1:5" ht="12.75">
      <c r="A29" s="61" t="s">
        <v>283</v>
      </c>
      <c r="B29" s="61"/>
      <c r="C29" s="295"/>
      <c r="D29" s="295"/>
      <c r="E29" s="251">
        <f t="shared" si="1"/>
        <v>0</v>
      </c>
    </row>
    <row r="30" spans="1:5" ht="12.75">
      <c r="A30" s="61" t="s">
        <v>452</v>
      </c>
      <c r="B30" s="61"/>
      <c r="C30" s="295"/>
      <c r="D30" s="295"/>
      <c r="E30" s="251">
        <f t="shared" si="1"/>
        <v>0</v>
      </c>
    </row>
    <row r="31" spans="1:5" ht="12.75">
      <c r="A31" s="61" t="s">
        <v>452</v>
      </c>
      <c r="B31" s="61"/>
      <c r="C31" s="295"/>
      <c r="D31" s="295"/>
      <c r="E31" s="251">
        <f t="shared" si="1"/>
        <v>0</v>
      </c>
    </row>
    <row r="32" spans="1:5" ht="12.75">
      <c r="A32" s="61" t="s">
        <v>502</v>
      </c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5"/>
      <c r="D43" s="295"/>
      <c r="E43" s="251">
        <f t="shared" si="2"/>
        <v>0</v>
      </c>
    </row>
    <row r="44" spans="1:5" ht="12.75">
      <c r="A44" s="61" t="s">
        <v>268</v>
      </c>
      <c r="B44" s="61"/>
      <c r="C44" s="295"/>
      <c r="D44" s="295"/>
      <c r="E44" s="251">
        <f t="shared" si="2"/>
        <v>0</v>
      </c>
    </row>
    <row r="45" spans="1:5" ht="12.75">
      <c r="A45" s="61" t="s">
        <v>269</v>
      </c>
      <c r="B45" s="61"/>
      <c r="C45" s="295"/>
      <c r="D45" s="295"/>
      <c r="E45" s="251">
        <f t="shared" si="2"/>
        <v>0</v>
      </c>
    </row>
    <row r="46" spans="1:5" ht="12.75">
      <c r="A46" s="61" t="s">
        <v>270</v>
      </c>
      <c r="B46" s="61"/>
      <c r="C46" s="295"/>
      <c r="D46" s="295"/>
      <c r="E46" s="251">
        <f t="shared" si="2"/>
        <v>0</v>
      </c>
    </row>
    <row r="47" spans="1:5" ht="12.75">
      <c r="A47" s="61" t="s">
        <v>452</v>
      </c>
      <c r="B47" s="61"/>
      <c r="C47" s="295"/>
      <c r="D47" s="295"/>
      <c r="E47" s="251">
        <f t="shared" si="2"/>
        <v>0</v>
      </c>
    </row>
    <row r="48" spans="1:5" ht="12.75">
      <c r="A48" s="61" t="s">
        <v>452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5"/>
      <c r="D55" s="295"/>
      <c r="E55" s="251">
        <f t="shared" si="3"/>
        <v>0</v>
      </c>
    </row>
    <row r="56" spans="1:5" ht="12.75">
      <c r="A56" s="246" t="s">
        <v>268</v>
      </c>
      <c r="B56" s="61"/>
      <c r="C56" s="295"/>
      <c r="D56" s="295"/>
      <c r="E56" s="251">
        <f t="shared" si="3"/>
        <v>0</v>
      </c>
    </row>
    <row r="57" spans="1:5" ht="12.75">
      <c r="A57" s="246" t="s">
        <v>269</v>
      </c>
      <c r="B57" s="61"/>
      <c r="C57" s="295"/>
      <c r="D57" s="295"/>
      <c r="E57" s="251">
        <f t="shared" si="3"/>
        <v>0</v>
      </c>
    </row>
    <row r="58" spans="1:5" ht="12.75">
      <c r="A58" s="246" t="s">
        <v>270</v>
      </c>
      <c r="B58" s="61"/>
      <c r="C58" s="295"/>
      <c r="D58" s="295"/>
      <c r="E58" s="251">
        <f t="shared" si="3"/>
        <v>0</v>
      </c>
    </row>
    <row r="59" spans="1:5" ht="12.75">
      <c r="A59" s="61" t="s">
        <v>452</v>
      </c>
      <c r="B59" s="61"/>
      <c r="C59" s="295"/>
      <c r="D59" s="295"/>
      <c r="E59" s="251">
        <f t="shared" si="3"/>
        <v>0</v>
      </c>
    </row>
    <row r="60" spans="1:5" ht="12.75">
      <c r="A60" s="61" t="s">
        <v>452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7" right="0.03937007874015748" top="1.6275" bottom="0.2362204724409449" header="0.5118110236220472" footer="0"/>
  <pageSetup horizontalDpi="600" verticalDpi="600" orientation="portrait" scale="77" r:id="rId2"/>
  <headerFooter alignWithMargins="0">
    <oddHeader>&amp;L&amp;G&amp;R&amp;"Helvetica,Regular"&amp;8Hydro Ottawa Limited
EB-2011-0054
Filed: 2011-10-03
Technical Conference Undertakings
Undertaking LT1.19
Attachment 2
Page &amp;P of &amp;N</oddHeader>
  </headerFooter>
  <rowBreaks count="1" manualBreakCount="1">
    <brk id="51" max="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tabSelected="1" view="pageBreakPreview" zoomScale="60" workbookViewId="0" topLeftCell="A67">
      <selection activeCell="F1" sqref="F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471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470</v>
      </c>
      <c r="B5" s="8"/>
      <c r="C5" s="8" t="s">
        <v>2</v>
      </c>
      <c r="D5" s="8"/>
      <c r="E5" s="8"/>
      <c r="F5" s="8"/>
    </row>
    <row r="6" spans="1:6" ht="12.75">
      <c r="A6" s="416" t="s">
        <v>449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Hydro Ottawa Limited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3"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3">
        <f>C17-D17</f>
        <v>0</v>
      </c>
    </row>
    <row r="18" spans="1:5" ht="12.75">
      <c r="A18" s="67" t="s">
        <v>253</v>
      </c>
      <c r="B18" t="s">
        <v>187</v>
      </c>
      <c r="C18" s="296"/>
      <c r="D18" s="296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3">
        <f t="shared" si="0"/>
        <v>0</v>
      </c>
    </row>
    <row r="20" spans="1:5" ht="12.75">
      <c r="A20" s="67" t="s">
        <v>453</v>
      </c>
      <c r="B20" t="s">
        <v>187</v>
      </c>
      <c r="C20" s="296">
        <v>0</v>
      </c>
      <c r="D20" s="314">
        <v>0</v>
      </c>
      <c r="E20" s="313">
        <f t="shared" si="0"/>
        <v>0</v>
      </c>
    </row>
    <row r="21" spans="1:5" ht="12.75">
      <c r="A21" s="67" t="s">
        <v>8</v>
      </c>
      <c r="B21" t="s">
        <v>187</v>
      </c>
      <c r="C21" s="296"/>
      <c r="D21" s="296"/>
      <c r="E21" s="313">
        <f t="shared" si="0"/>
        <v>0</v>
      </c>
    </row>
    <row r="22" spans="2:5" ht="12.75">
      <c r="B22" t="s">
        <v>187</v>
      </c>
      <c r="C22" s="296"/>
      <c r="D22" s="296"/>
      <c r="E22" s="313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139</v>
      </c>
      <c r="B29" t="s">
        <v>187</v>
      </c>
      <c r="C29" s="296">
        <v>0</v>
      </c>
      <c r="D29" s="296">
        <v>0</v>
      </c>
      <c r="E29" s="313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254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3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3">
        <f t="shared" si="0"/>
        <v>0</v>
      </c>
    </row>
    <row r="36" spans="1:5" ht="12.75">
      <c r="A36" s="67" t="s">
        <v>484</v>
      </c>
      <c r="B36" t="s">
        <v>187</v>
      </c>
      <c r="C36" s="296"/>
      <c r="D36" s="296"/>
      <c r="E36" s="313">
        <f t="shared" si="0"/>
        <v>0</v>
      </c>
    </row>
    <row r="37" spans="1:5" ht="12.75">
      <c r="A37" s="67"/>
      <c r="B37" t="s">
        <v>187</v>
      </c>
      <c r="C37" s="296"/>
      <c r="D37" s="296"/>
      <c r="E37" s="313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67" t="s">
        <v>503</v>
      </c>
      <c r="B41" t="s">
        <v>187</v>
      </c>
      <c r="C41" s="295">
        <v>0</v>
      </c>
      <c r="D41" s="295">
        <v>0</v>
      </c>
      <c r="E41" s="251">
        <f t="shared" si="0"/>
        <v>0</v>
      </c>
    </row>
    <row r="42" spans="1:5" ht="12.75">
      <c r="A42" s="67" t="s">
        <v>504</v>
      </c>
      <c r="B42" t="s">
        <v>187</v>
      </c>
      <c r="C42" s="295">
        <v>0</v>
      </c>
      <c r="D42" s="295">
        <v>0</v>
      </c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>IF($E24&gt;$C$11,A41," ")</f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>IF($E41&gt;$C$11,#REF!," ")</f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7" t="s">
        <v>203</v>
      </c>
      <c r="B78" s="278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7" t="s">
        <v>170</v>
      </c>
      <c r="B79" s="278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/>
      <c r="D82" s="295"/>
      <c r="E82" s="251">
        <f>C82-D82</f>
        <v>0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380</v>
      </c>
      <c r="B87" s="8" t="s">
        <v>188</v>
      </c>
      <c r="C87" s="295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2:5" ht="12.75">
      <c r="B92" s="8" t="s">
        <v>188</v>
      </c>
      <c r="C92" s="295"/>
      <c r="D92" s="295"/>
      <c r="E92" s="251"/>
    </row>
    <row r="93" spans="1:5" ht="12.75">
      <c r="A93" s="67"/>
      <c r="B93" s="8" t="s">
        <v>188</v>
      </c>
      <c r="C93" s="295"/>
      <c r="D93" s="295"/>
      <c r="E93" s="251">
        <f t="shared" si="5"/>
        <v>0</v>
      </c>
    </row>
    <row r="94" spans="1:5" ht="12.75">
      <c r="A94" s="67"/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 t="s">
        <v>485</v>
      </c>
      <c r="B96" s="8" t="s">
        <v>188</v>
      </c>
      <c r="C96" s="295"/>
      <c r="D96" s="295"/>
      <c r="E96" s="251">
        <f t="shared" si="5"/>
        <v>0</v>
      </c>
    </row>
    <row r="97" spans="1:5" ht="12.75">
      <c r="A97" s="67"/>
      <c r="B97" s="8" t="s">
        <v>188</v>
      </c>
      <c r="C97" s="295"/>
      <c r="D97" s="295"/>
      <c r="E97" s="251">
        <f t="shared" si="5"/>
        <v>0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IF($E93&gt;$C$11,#REF!,"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 </v>
      </c>
      <c r="B117" s="274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9" t="s">
        <v>201</v>
      </c>
      <c r="B120" s="274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66" right="0.03937007874015748" top="1.6275" bottom="0.2362204724409449" header="0.5118110236220472" footer="0"/>
  <pageSetup horizontalDpi="600" verticalDpi="600" orientation="portrait" scale="77" r:id="rId2"/>
  <headerFooter alignWithMargins="0">
    <oddHeader>&amp;L&amp;G&amp;R&amp;"Helvetica,Regular"&amp;8Hydro Ottawa Limited
EB-2011-0054
Filed: 2011-10-03
Technical Conference Undertakings
Undertaking LT1.19
Attachment 2
Page &amp;P of &amp;N</oddHeader>
  </headerFooter>
  <rowBreaks count="2" manualBreakCount="2">
    <brk id="47" max="5" man="1"/>
    <brk id="7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tabSelected="1" view="pageBreakPreview" zoomScale="60" workbookViewId="0" topLeftCell="A22">
      <selection activeCell="F1" sqref="F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388</v>
      </c>
      <c r="E3" s="92"/>
    </row>
    <row r="4" spans="1:6" ht="15.75">
      <c r="A4" s="465" t="s">
        <v>449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7" t="s">
        <v>389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Hydro Ottawa Limited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3">
        <f aca="true" t="shared" si="0" ref="E19:E45">C19-D19</f>
        <v>0</v>
      </c>
    </row>
    <row r="20" spans="1:5" ht="12.75">
      <c r="A20" t="s">
        <v>391</v>
      </c>
      <c r="B20" t="s">
        <v>187</v>
      </c>
      <c r="C20" s="296"/>
      <c r="D20" s="296"/>
      <c r="E20" s="313">
        <f t="shared" si="0"/>
        <v>0</v>
      </c>
    </row>
    <row r="21" spans="1:5" ht="12.75">
      <c r="A21" t="s">
        <v>457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 t="s">
        <v>394</v>
      </c>
      <c r="B22" t="s">
        <v>187</v>
      </c>
      <c r="C22" s="296"/>
      <c r="D22" s="314"/>
      <c r="E22" s="313">
        <f t="shared" si="0"/>
        <v>0</v>
      </c>
    </row>
    <row r="23" spans="1:5" ht="12.75">
      <c r="A23" s="67" t="s">
        <v>395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458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125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441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393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392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436</v>
      </c>
      <c r="B32" t="s">
        <v>187</v>
      </c>
      <c r="C32" s="296">
        <v>101764</v>
      </c>
      <c r="D32" s="296"/>
      <c r="E32" s="313">
        <f t="shared" si="0"/>
        <v>101764</v>
      </c>
    </row>
    <row r="33" spans="1:5" ht="12.75">
      <c r="A33" s="67" t="s">
        <v>437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454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81" t="s">
        <v>455</v>
      </c>
      <c r="C35" s="296"/>
      <c r="D35" s="296"/>
      <c r="E35" s="313">
        <f t="shared" si="0"/>
        <v>0</v>
      </c>
    </row>
    <row r="36" spans="1:5" ht="12.75">
      <c r="A36" s="67" t="s">
        <v>438</v>
      </c>
      <c r="C36" s="296"/>
      <c r="D36" s="296"/>
      <c r="E36" s="313">
        <f t="shared" si="0"/>
        <v>0</v>
      </c>
    </row>
    <row r="37" spans="1:5" ht="12.75">
      <c r="A37" s="67" t="s">
        <v>439</v>
      </c>
      <c r="C37" s="296"/>
      <c r="D37" s="296"/>
      <c r="E37" s="313">
        <f t="shared" si="0"/>
        <v>0</v>
      </c>
    </row>
    <row r="38" spans="1:5" ht="12.75">
      <c r="A38" s="67" t="s">
        <v>461</v>
      </c>
      <c r="C38" s="296"/>
      <c r="D38" s="296"/>
      <c r="E38" s="313">
        <f t="shared" si="0"/>
        <v>0</v>
      </c>
    </row>
    <row r="39" spans="1:5" ht="12.75">
      <c r="A39" s="67" t="s">
        <v>139</v>
      </c>
      <c r="B39" t="s">
        <v>187</v>
      </c>
      <c r="C39" s="296"/>
      <c r="D39" s="296"/>
      <c r="E39" s="313">
        <f t="shared" si="0"/>
        <v>0</v>
      </c>
    </row>
    <row r="40" spans="1:5" ht="12.75">
      <c r="A40" s="81" t="s">
        <v>396</v>
      </c>
      <c r="B40" t="s">
        <v>187</v>
      </c>
      <c r="C40" s="296"/>
      <c r="D40" s="296"/>
      <c r="E40" s="313">
        <f t="shared" si="0"/>
        <v>0</v>
      </c>
    </row>
    <row r="41" spans="1:5" ht="12.75">
      <c r="A41" s="81" t="s">
        <v>390</v>
      </c>
      <c r="B41" t="s">
        <v>187</v>
      </c>
      <c r="C41" s="296"/>
      <c r="D41" s="296"/>
      <c r="E41" s="313">
        <f t="shared" si="0"/>
        <v>0</v>
      </c>
    </row>
    <row r="42" spans="2:5" ht="12.75">
      <c r="B42" t="s">
        <v>187</v>
      </c>
      <c r="C42" s="296"/>
      <c r="D42" s="296"/>
      <c r="E42" s="313">
        <f t="shared" si="0"/>
        <v>0</v>
      </c>
    </row>
    <row r="43" spans="1:5" ht="12.75">
      <c r="A43" s="68" t="s">
        <v>204</v>
      </c>
      <c r="B43" t="s">
        <v>187</v>
      </c>
      <c r="C43" s="296"/>
      <c r="D43" s="296"/>
      <c r="E43" s="313">
        <f t="shared" si="0"/>
        <v>0</v>
      </c>
    </row>
    <row r="44" spans="2:5" ht="12.75">
      <c r="B44" t="s">
        <v>187</v>
      </c>
      <c r="C44" s="295"/>
      <c r="D44" s="295"/>
      <c r="E44" s="251">
        <f t="shared" si="0"/>
        <v>0</v>
      </c>
    </row>
    <row r="45" spans="2:5" ht="12.75">
      <c r="B45" t="s">
        <v>187</v>
      </c>
      <c r="C45" s="295"/>
      <c r="D45" s="295"/>
      <c r="E45" s="251">
        <f t="shared" si="0"/>
        <v>0</v>
      </c>
    </row>
    <row r="46" spans="1:5" ht="12.75">
      <c r="A46" s="67"/>
      <c r="B46" t="s">
        <v>187</v>
      </c>
      <c r="C46" s="295"/>
      <c r="D46" s="295"/>
      <c r="E46" s="280"/>
    </row>
    <row r="47" spans="1:5" ht="12.75">
      <c r="A47" s="450" t="s">
        <v>400</v>
      </c>
      <c r="B47" t="s">
        <v>189</v>
      </c>
      <c r="C47" s="251">
        <f>SUM(C19:C46)</f>
        <v>101764</v>
      </c>
      <c r="D47" s="251">
        <f>SUM(D19:D46)</f>
        <v>0</v>
      </c>
      <c r="E47" s="251">
        <f>SUM(E19:E46)</f>
        <v>101764</v>
      </c>
    </row>
    <row r="48" ht="12.75">
      <c r="A48" s="67"/>
    </row>
    <row r="49" ht="12.75">
      <c r="A49" s="81" t="s">
        <v>145</v>
      </c>
    </row>
    <row r="51" spans="1:5" ht="12.75">
      <c r="A51" s="71" t="s">
        <v>391</v>
      </c>
      <c r="B51" s="8" t="s">
        <v>188</v>
      </c>
      <c r="C51" s="295"/>
      <c r="D51" s="295"/>
      <c r="E51" s="251">
        <f aca="true" t="shared" si="1" ref="E51:E61">C51-D51</f>
        <v>0</v>
      </c>
    </row>
    <row r="52" spans="1:5" ht="12.75">
      <c r="A52" s="67" t="s">
        <v>457</v>
      </c>
      <c r="B52" s="8" t="s">
        <v>188</v>
      </c>
      <c r="C52" s="295"/>
      <c r="D52" s="295"/>
      <c r="E52" s="251">
        <f t="shared" si="1"/>
        <v>0</v>
      </c>
    </row>
    <row r="53" spans="1:5" ht="12.75">
      <c r="A53" t="s">
        <v>392</v>
      </c>
      <c r="B53" s="8" t="s">
        <v>188</v>
      </c>
      <c r="C53" s="295"/>
      <c r="D53" s="295"/>
      <c r="E53" s="251">
        <f t="shared" si="1"/>
        <v>0</v>
      </c>
    </row>
    <row r="54" spans="1:5" ht="12.75">
      <c r="A54" t="s">
        <v>440</v>
      </c>
      <c r="B54" s="8" t="s">
        <v>188</v>
      </c>
      <c r="C54" s="295"/>
      <c r="D54" s="295"/>
      <c r="E54" s="251">
        <f t="shared" si="1"/>
        <v>0</v>
      </c>
    </row>
    <row r="55" spans="1:5" ht="12.75">
      <c r="A55" s="67" t="s">
        <v>448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s="67" t="s">
        <v>460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s="2" t="s">
        <v>456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7" t="s">
        <v>459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31" t="s">
        <v>183</v>
      </c>
      <c r="B59" s="8" t="s">
        <v>188</v>
      </c>
      <c r="C59" s="295"/>
      <c r="D59" s="295"/>
      <c r="E59" s="251">
        <f t="shared" si="1"/>
        <v>0</v>
      </c>
    </row>
    <row r="60" spans="2:5" ht="12.75">
      <c r="B60" s="8" t="s">
        <v>188</v>
      </c>
      <c r="C60" s="295"/>
      <c r="D60" s="295"/>
      <c r="E60" s="251">
        <f t="shared" si="1"/>
        <v>0</v>
      </c>
    </row>
    <row r="61" spans="2:5" ht="12.75">
      <c r="B61" s="8" t="s">
        <v>188</v>
      </c>
      <c r="C61" s="295"/>
      <c r="D61" s="295"/>
      <c r="E61" s="251">
        <f t="shared" si="1"/>
        <v>0</v>
      </c>
    </row>
    <row r="62" spans="2:5" ht="12.75">
      <c r="B62" s="8" t="s">
        <v>188</v>
      </c>
      <c r="C62" s="295"/>
      <c r="D62" s="295"/>
      <c r="E62" s="251">
        <f aca="true" t="shared" si="2" ref="E62:E72">C62-D62</f>
        <v>0</v>
      </c>
    </row>
    <row r="63" spans="2:5" ht="12.75">
      <c r="B63" s="8" t="s">
        <v>188</v>
      </c>
      <c r="C63" s="295"/>
      <c r="D63" s="295"/>
      <c r="E63" s="251">
        <f t="shared" si="2"/>
        <v>0</v>
      </c>
    </row>
    <row r="64" spans="1:5" ht="12.75">
      <c r="A64" s="469" t="s">
        <v>397</v>
      </c>
      <c r="B64" s="8" t="s">
        <v>188</v>
      </c>
      <c r="C64" s="295"/>
      <c r="D64" s="295"/>
      <c r="E64" s="251">
        <f t="shared" si="2"/>
        <v>0</v>
      </c>
    </row>
    <row r="65" spans="2:5" ht="12.75">
      <c r="B65" s="8" t="s">
        <v>188</v>
      </c>
      <c r="C65" s="295"/>
      <c r="D65" s="295"/>
      <c r="E65" s="251">
        <f t="shared" si="2"/>
        <v>0</v>
      </c>
    </row>
    <row r="66" spans="1:5" ht="12.75">
      <c r="A66" s="469" t="s">
        <v>390</v>
      </c>
      <c r="B66" s="8" t="s">
        <v>188</v>
      </c>
      <c r="C66" s="295"/>
      <c r="D66" s="295"/>
      <c r="E66" s="251">
        <f t="shared" si="2"/>
        <v>0</v>
      </c>
    </row>
    <row r="67" spans="1:5" ht="12.75">
      <c r="A67" s="67"/>
      <c r="B67" s="8" t="s">
        <v>188</v>
      </c>
      <c r="C67" s="295"/>
      <c r="D67" s="295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5"/>
      <c r="D68" s="295"/>
      <c r="E68" s="251">
        <f t="shared" si="2"/>
        <v>0</v>
      </c>
    </row>
    <row r="69" spans="1:5" ht="12.75">
      <c r="A69" s="67"/>
      <c r="B69" s="8" t="s">
        <v>188</v>
      </c>
      <c r="C69" s="295"/>
      <c r="D69" s="295"/>
      <c r="E69" s="251">
        <f t="shared" si="2"/>
        <v>0</v>
      </c>
    </row>
    <row r="70" spans="1:5" ht="12.75">
      <c r="A70" s="67"/>
      <c r="B70" s="8" t="s">
        <v>188</v>
      </c>
      <c r="C70" s="295"/>
      <c r="D70" s="295"/>
      <c r="E70" s="251">
        <f t="shared" si="2"/>
        <v>0</v>
      </c>
    </row>
    <row r="71" spans="1:5" ht="12.75">
      <c r="A71" s="67"/>
      <c r="B71" s="8" t="s">
        <v>188</v>
      </c>
      <c r="C71" s="295"/>
      <c r="D71" s="295"/>
      <c r="E71" s="251">
        <f t="shared" si="2"/>
        <v>0</v>
      </c>
    </row>
    <row r="72" spans="1:5" ht="12.75">
      <c r="A72" s="67"/>
      <c r="B72" s="8" t="s">
        <v>188</v>
      </c>
      <c r="C72" s="295"/>
      <c r="D72" s="295"/>
      <c r="E72" s="280">
        <f t="shared" si="2"/>
        <v>0</v>
      </c>
    </row>
    <row r="73" spans="1:5" ht="12.75">
      <c r="A73" s="449" t="s">
        <v>399</v>
      </c>
      <c r="B73" s="8" t="s">
        <v>189</v>
      </c>
      <c r="C73" s="251">
        <f>SUM(C51:C72)</f>
        <v>0</v>
      </c>
      <c r="D73" s="251">
        <f>SUM(D51:D72)</f>
        <v>0</v>
      </c>
      <c r="E73" s="251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1" right="0.03937007874015748" top="1.6275" bottom="0.2362204724409449" header="0.5118110236220472" footer="0"/>
  <pageSetup horizontalDpi="600" verticalDpi="600" orientation="portrait" scale="77" r:id="rId2"/>
  <headerFooter alignWithMargins="0">
    <oddHeader>&amp;L&amp;G&amp;R&amp;"Helvetica,Regular"&amp;8Hydro Ottawa Limited
EB-2011-0054
Filed: 2011-10-03
Technical Conference Undertakings
Undertaking LT1.19
Attachment 2
Page &amp;P of &amp;N</oddHeader>
  </headerFooter>
  <rowBreaks count="1" manualBreakCount="1">
    <brk id="48" max="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tabSelected="1" view="pageBreakPreview" zoomScale="60" workbookViewId="0" topLeftCell="A1">
      <selection activeCell="F1" sqref="F1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EB-2008-381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306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Hydro Ottawa Limited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2002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338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5" t="s">
        <v>496</v>
      </c>
      <c r="B8" s="506"/>
      <c r="C8" s="506"/>
      <c r="D8" s="506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472</v>
      </c>
      <c r="B10" s="327"/>
      <c r="C10" s="376" t="s">
        <v>111</v>
      </c>
      <c r="D10" s="376"/>
      <c r="E10" s="376" t="s">
        <v>111</v>
      </c>
      <c r="F10" s="377" t="s">
        <v>497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299</v>
      </c>
      <c r="B13" s="410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298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303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260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333</v>
      </c>
      <c r="B21" s="407" t="s">
        <v>476</v>
      </c>
      <c r="C21" s="362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334</v>
      </c>
      <c r="B22" s="408" t="s">
        <v>477</v>
      </c>
      <c r="C22" s="363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9" t="s">
        <v>498</v>
      </c>
      <c r="B23" s="500"/>
      <c r="C23" s="500"/>
      <c r="D23" s="500"/>
      <c r="E23" s="500"/>
      <c r="F23" s="500"/>
      <c r="G23" s="439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339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7" t="s">
        <v>490</v>
      </c>
      <c r="B26" s="508"/>
      <c r="C26" s="508"/>
      <c r="D26" s="508"/>
      <c r="E26" s="508"/>
      <c r="F26" s="508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/>
      <c r="E27" s="368">
        <v>200001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444</v>
      </c>
      <c r="B28" s="327"/>
      <c r="C28" s="370" t="s">
        <v>111</v>
      </c>
      <c r="D28" s="370"/>
      <c r="E28" s="370" t="s">
        <v>111</v>
      </c>
      <c r="F28" s="371" t="s">
        <v>497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200000</v>
      </c>
      <c r="D29" s="372"/>
      <c r="E29" s="372">
        <v>700000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298</v>
      </c>
      <c r="B32" s="410">
        <v>2002</v>
      </c>
      <c r="C32" s="328">
        <v>0.1312</v>
      </c>
      <c r="D32" s="328"/>
      <c r="E32" s="329">
        <v>0.2612</v>
      </c>
      <c r="F32" s="329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2002</v>
      </c>
      <c r="C33" s="330">
        <v>0.06</v>
      </c>
      <c r="D33" s="330"/>
      <c r="E33" s="331">
        <v>0.06</v>
      </c>
      <c r="F33" s="331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260</v>
      </c>
      <c r="B34" s="410">
        <v>2002</v>
      </c>
      <c r="C34" s="332">
        <f>SUM(C32:C33)</f>
        <v>0.1912</v>
      </c>
      <c r="D34" s="332"/>
      <c r="E34" s="333">
        <f>SUM(E32:E33)</f>
        <v>0.3212</v>
      </c>
      <c r="F34" s="333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2002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2002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2002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487</v>
      </c>
      <c r="B39" s="407" t="s">
        <v>476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488</v>
      </c>
      <c r="B40" s="408" t="s">
        <v>477</v>
      </c>
      <c r="C40" s="363">
        <v>10000000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1" t="s">
        <v>336</v>
      </c>
      <c r="B41" s="500"/>
      <c r="C41" s="500"/>
      <c r="D41" s="500"/>
      <c r="E41" s="500"/>
      <c r="F41" s="500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2"/>
      <c r="B42" s="502"/>
      <c r="C42" s="502"/>
      <c r="D42" s="502"/>
      <c r="E42" s="502"/>
      <c r="F42" s="502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340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489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/>
      <c r="E45" s="368">
        <v>200001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/>
      <c r="E46" s="370" t="s">
        <v>111</v>
      </c>
      <c r="F46" s="371" t="s">
        <v>497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200000</v>
      </c>
      <c r="D47" s="372"/>
      <c r="E47" s="372">
        <v>700000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298</v>
      </c>
      <c r="B50" s="245"/>
      <c r="C50" s="352">
        <v>0.1312</v>
      </c>
      <c r="D50" s="352"/>
      <c r="E50" s="353">
        <v>0.2212</v>
      </c>
      <c r="F50" s="353">
        <f>TAXREC!C149</f>
        <v>0.2612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0.06</v>
      </c>
      <c r="D51" s="354"/>
      <c r="E51" s="355">
        <v>0.0975</v>
      </c>
      <c r="F51" s="355">
        <f>TAXREC!C150</f>
        <v>0.125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260</v>
      </c>
      <c r="B52" s="245"/>
      <c r="C52" s="332">
        <f>SUM(C50:C51)</f>
        <v>0.1912</v>
      </c>
      <c r="D52" s="332"/>
      <c r="E52" s="333">
        <f>SUM(E50:E51)</f>
        <v>0.3187</v>
      </c>
      <c r="F52" s="333">
        <f>SUM(F50:F51)</f>
        <v>0.3862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0.00225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352</v>
      </c>
      <c r="B57" s="407" t="s">
        <v>476</v>
      </c>
      <c r="C57" s="362">
        <v>4668892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353</v>
      </c>
      <c r="B58" s="408" t="s">
        <v>477</v>
      </c>
      <c r="C58" s="363">
        <v>10000000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9" t="s">
        <v>354</v>
      </c>
      <c r="B59" s="503"/>
      <c r="C59" s="503"/>
      <c r="D59" s="503"/>
      <c r="E59" s="503"/>
      <c r="F59" s="503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4"/>
      <c r="B60" s="504"/>
      <c r="C60" s="504"/>
      <c r="D60" s="504"/>
      <c r="E60" s="504"/>
      <c r="F60" s="504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1" right="0.03937007874015748" top="1.6275" bottom="0.2362204724409449" header="0.5118110236220472" footer="0"/>
  <pageSetup horizontalDpi="600" verticalDpi="600" orientation="portrait" scale="77" r:id="rId2"/>
  <headerFooter alignWithMargins="0">
    <oddHeader>&amp;L&amp;G&amp;R&amp;"Helvetica,Regular"&amp;8Hydro Ottawa Limited
EB-2011-0054
Filed: 2011-10-03
Technical Conference Undertakings
Undertaking LT1.19
Attachment 2
Page &amp;P of &amp;N</oddHeader>
  </headerFooter>
  <rowBreaks count="1" manualBreakCount="1">
    <brk id="42" max="9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tabSelected="1" view="pageBreakPreview" zoomScale="60" workbookViewId="0" topLeftCell="A1">
      <selection activeCell="F1" sqref="F1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462</v>
      </c>
      <c r="B2" s="2"/>
    </row>
    <row r="3" spans="1:15" ht="12.75">
      <c r="A3" s="2" t="str">
        <f>REGINFO!A3</f>
        <v>Utility Name: Hydro Ottawa Limited</v>
      </c>
      <c r="O3" s="417" t="str">
        <f>REGINFO!E1</f>
        <v>Version 2009.1</v>
      </c>
    </row>
    <row r="4" spans="1:15" ht="12.75">
      <c r="A4" s="2" t="str">
        <f>REGINFO!A4</f>
        <v>Reporting period:  2002</v>
      </c>
      <c r="E4" s="418" t="s">
        <v>322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0</v>
      </c>
      <c r="F11" s="420"/>
      <c r="G11" s="397">
        <f>E22</f>
        <v>0</v>
      </c>
      <c r="H11" s="420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401</v>
      </c>
      <c r="B12" s="66" t="s">
        <v>190</v>
      </c>
      <c r="C12" s="396"/>
      <c r="D12" s="392"/>
      <c r="E12" s="396"/>
      <c r="F12" s="95"/>
      <c r="G12" s="419">
        <f>C12+E12</f>
        <v>0</v>
      </c>
      <c r="H12" s="95"/>
      <c r="I12" s="419">
        <f>(E12/12*9)+(G12/12*3)</f>
        <v>0</v>
      </c>
      <c r="J12" s="392"/>
      <c r="K12" s="419">
        <f>E12/12*3</f>
        <v>0</v>
      </c>
      <c r="L12" s="392"/>
      <c r="M12" s="419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443</v>
      </c>
      <c r="B13" s="66"/>
      <c r="C13" s="419"/>
      <c r="D13" s="392"/>
      <c r="E13" s="419"/>
      <c r="F13" s="95"/>
      <c r="G13" s="419"/>
      <c r="H13" s="95"/>
      <c r="I13" s="419"/>
      <c r="J13" s="392"/>
      <c r="K13" s="396"/>
      <c r="L13" s="392"/>
      <c r="M13" s="419"/>
      <c r="N13" s="392"/>
      <c r="O13" s="397">
        <f t="shared" si="0"/>
        <v>0</v>
      </c>
    </row>
    <row r="14" spans="1:15" ht="25.5">
      <c r="A14" s="81" t="s">
        <v>402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403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9">
        <f>TAXCALC!E132</f>
        <v>3707.5199999999995</v>
      </c>
      <c r="N15" s="392"/>
      <c r="O15" s="397">
        <f t="shared" si="0"/>
        <v>3707.5199999999995</v>
      </c>
    </row>
    <row r="16" spans="1:15" ht="27" customHeight="1">
      <c r="A16" s="81" t="s">
        <v>404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405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9">
        <f>TAXCALC!E181</f>
        <v>0.503646782040596</v>
      </c>
      <c r="N17" s="392"/>
      <c r="O17" s="397">
        <f t="shared" si="0"/>
        <v>0.503646782040596</v>
      </c>
    </row>
    <row r="18" spans="1:15" ht="25.5">
      <c r="A18" s="81" t="s">
        <v>406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3" t="s">
        <v>407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475</v>
      </c>
      <c r="B20" s="66" t="s">
        <v>188</v>
      </c>
      <c r="C20" s="419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377</v>
      </c>
      <c r="B22" s="34"/>
      <c r="C22" s="398">
        <f>SUM(C11:C20)</f>
        <v>0</v>
      </c>
      <c r="D22" s="420"/>
      <c r="E22" s="398">
        <f>SUM(E11:E20)</f>
        <v>0</v>
      </c>
      <c r="F22" s="420"/>
      <c r="G22" s="398">
        <f>SUM(G11:G20)</f>
        <v>0</v>
      </c>
      <c r="H22" s="420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3708.02364678204</v>
      </c>
      <c r="N22" s="391"/>
      <c r="O22" s="451">
        <f>SUM(O11:O20)</f>
        <v>3708.02364678204</v>
      </c>
    </row>
    <row r="23" spans="1:15" ht="13.5" thickTop="1">
      <c r="A23" s="434"/>
      <c r="B23" s="435"/>
      <c r="C23" s="441"/>
      <c r="D23" s="442"/>
      <c r="E23" s="441"/>
      <c r="F23" s="442"/>
      <c r="G23" s="441"/>
      <c r="H23" s="442"/>
      <c r="I23" s="441"/>
      <c r="J23" s="435"/>
      <c r="K23" s="441"/>
      <c r="L23" s="188"/>
      <c r="M23" s="443"/>
      <c r="N23" s="188"/>
      <c r="O23" s="443"/>
    </row>
    <row r="24" spans="1:15" ht="12.75">
      <c r="A24" s="457"/>
      <c r="B24" s="458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60"/>
    </row>
    <row r="25" spans="1:15" ht="12.75">
      <c r="A25" s="434"/>
      <c r="B25" s="435"/>
      <c r="C25" s="461"/>
      <c r="D25" s="461"/>
      <c r="E25" s="461"/>
      <c r="F25" s="461"/>
      <c r="G25" s="461"/>
      <c r="H25" s="461"/>
      <c r="I25" s="461"/>
      <c r="J25" s="462"/>
      <c r="K25" s="461"/>
      <c r="L25" s="463"/>
      <c r="M25" s="464"/>
      <c r="N25" s="463"/>
      <c r="O25" s="464"/>
    </row>
    <row r="26" spans="1:15" ht="12.75">
      <c r="A26" s="434" t="s">
        <v>408</v>
      </c>
      <c r="B26" s="435"/>
      <c r="C26" s="461"/>
      <c r="D26" s="461"/>
      <c r="E26" s="461"/>
      <c r="F26" s="461"/>
      <c r="G26" s="461"/>
      <c r="H26" s="461"/>
      <c r="I26" s="461"/>
      <c r="J26" s="462"/>
      <c r="K26" s="461"/>
      <c r="L26" s="463"/>
      <c r="M26" s="464"/>
      <c r="N26" s="463"/>
      <c r="O26" s="464"/>
    </row>
    <row r="27" spans="1:15" ht="9" customHeight="1">
      <c r="A27" s="434"/>
      <c r="B27" s="435"/>
      <c r="C27" s="435"/>
      <c r="D27" s="435"/>
      <c r="E27" s="435"/>
      <c r="F27" s="435"/>
      <c r="G27" s="435"/>
      <c r="H27" s="435"/>
      <c r="I27" s="435"/>
      <c r="J27" s="435"/>
      <c r="K27" s="436"/>
      <c r="L27" s="188"/>
      <c r="M27" s="188"/>
      <c r="N27" s="188"/>
      <c r="O27" s="188"/>
    </row>
    <row r="28" spans="1:15" ht="12.75">
      <c r="A28" s="434" t="s">
        <v>409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188"/>
      <c r="M28" s="188"/>
      <c r="N28" s="188"/>
      <c r="O28" s="188"/>
    </row>
    <row r="29" spans="1:15" ht="12.75">
      <c r="A29" s="437" t="s">
        <v>410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188"/>
      <c r="M29" s="188"/>
      <c r="N29" s="188"/>
      <c r="O29" s="188"/>
    </row>
    <row r="30" spans="1:15" ht="9" customHeight="1">
      <c r="A30" s="188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188"/>
      <c r="M30" s="188"/>
      <c r="N30" s="188"/>
      <c r="O30" s="188"/>
    </row>
    <row r="31" spans="1:15" ht="12.75">
      <c r="A31" s="452" t="s">
        <v>411</v>
      </c>
      <c r="B31" s="80"/>
      <c r="C31" s="80"/>
      <c r="D31" s="80"/>
      <c r="E31" s="80"/>
      <c r="F31" s="80"/>
      <c r="G31" s="80"/>
      <c r="H31" s="80"/>
      <c r="I31" s="448"/>
      <c r="J31" s="448"/>
      <c r="K31" s="448"/>
      <c r="L31" s="448"/>
      <c r="M31" s="448"/>
      <c r="N31" s="448"/>
      <c r="O31" s="448"/>
    </row>
    <row r="32" spans="1:15" ht="9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</row>
    <row r="33" spans="1:19" ht="12.75">
      <c r="A33" s="510" t="s">
        <v>412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421"/>
      <c r="Q33" s="421"/>
      <c r="R33" s="421"/>
      <c r="S33" s="421"/>
    </row>
    <row r="34" spans="1:19" ht="12.75">
      <c r="A34" s="509" t="s">
        <v>413</v>
      </c>
      <c r="B34" s="512"/>
      <c r="C34" s="512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421"/>
      <c r="Q34" s="421"/>
      <c r="R34" s="421"/>
      <c r="S34" s="421"/>
    </row>
    <row r="35" spans="1:19" ht="12.75">
      <c r="A35" s="509" t="s">
        <v>434</v>
      </c>
      <c r="B35" s="512"/>
      <c r="C35" s="512"/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421"/>
      <c r="Q35" s="421"/>
      <c r="R35" s="421"/>
      <c r="S35" s="421"/>
    </row>
    <row r="36" spans="1:19" ht="12.75">
      <c r="A36" s="509" t="s">
        <v>414</v>
      </c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421"/>
      <c r="Q36" s="421"/>
      <c r="R36" s="421"/>
      <c r="S36" s="421"/>
    </row>
    <row r="37" spans="1:19" ht="12.75">
      <c r="A37" s="438" t="s">
        <v>374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21"/>
      <c r="Q37" s="421"/>
      <c r="R37" s="421"/>
      <c r="S37" s="421"/>
    </row>
    <row r="38" spans="1:19" ht="12.75">
      <c r="A38" s="438" t="s">
        <v>375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21"/>
      <c r="Q38" s="421"/>
      <c r="R38" s="421"/>
      <c r="S38" s="421"/>
    </row>
    <row r="39" spans="1:19" ht="12.75">
      <c r="A39" s="438" t="s">
        <v>415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21"/>
      <c r="Q39" s="421"/>
      <c r="R39" s="421"/>
      <c r="S39" s="421"/>
    </row>
    <row r="40" spans="1:19" ht="12.75">
      <c r="A40" s="438" t="s">
        <v>416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21"/>
      <c r="Q40" s="421"/>
      <c r="R40" s="421"/>
      <c r="S40" s="421"/>
    </row>
    <row r="41" spans="2:19" ht="9" customHeight="1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21"/>
      <c r="Q41" s="421"/>
      <c r="R41" s="421"/>
      <c r="S41" s="421"/>
    </row>
    <row r="42" spans="1:15" ht="12.75">
      <c r="A42" s="440" t="s">
        <v>417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188"/>
      <c r="M42" s="188"/>
      <c r="N42" s="188"/>
      <c r="O42" s="188"/>
    </row>
    <row r="43" spans="1:15" ht="12.75">
      <c r="A43" s="435" t="s">
        <v>418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188"/>
      <c r="M43" s="188"/>
      <c r="N43" s="188"/>
      <c r="O43" s="188"/>
    </row>
    <row r="44" spans="1:15" ht="9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188"/>
      <c r="M44" s="188"/>
      <c r="N44" s="188"/>
      <c r="O44" s="188"/>
    </row>
    <row r="45" spans="1:15" ht="12.75">
      <c r="A45" s="440" t="s">
        <v>419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188"/>
      <c r="M45" s="188"/>
      <c r="N45" s="188"/>
      <c r="O45" s="188"/>
    </row>
    <row r="46" spans="1:15" ht="12.75">
      <c r="A46" s="435" t="s">
        <v>420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188"/>
      <c r="M46" s="188"/>
      <c r="N46" s="188"/>
      <c r="O46" s="188"/>
    </row>
    <row r="47" spans="1:15" ht="9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188"/>
      <c r="M47" s="188"/>
      <c r="N47" s="188"/>
      <c r="O47" s="188"/>
    </row>
    <row r="48" spans="1:15" ht="12.75">
      <c r="A48" s="440" t="s">
        <v>421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188"/>
      <c r="M48" s="188"/>
      <c r="N48" s="188"/>
      <c r="O48" s="188"/>
    </row>
    <row r="49" spans="1:15" ht="12.75">
      <c r="A49" s="435" t="s">
        <v>422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188"/>
      <c r="M49" s="188"/>
      <c r="N49" s="188"/>
      <c r="O49" s="188"/>
    </row>
    <row r="50" spans="1:15" ht="9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188"/>
      <c r="M50" s="188"/>
      <c r="N50" s="188"/>
      <c r="O50" s="188"/>
    </row>
    <row r="51" spans="1:15" ht="12.75">
      <c r="A51" s="440" t="s">
        <v>423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188"/>
      <c r="M51" s="188"/>
      <c r="N51" s="188"/>
      <c r="O51" s="188"/>
    </row>
    <row r="52" spans="1:15" ht="12.75">
      <c r="A52" s="435" t="s">
        <v>420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188"/>
      <c r="M52" s="188"/>
      <c r="N52" s="188"/>
      <c r="O52" s="188"/>
    </row>
    <row r="53" spans="1:15" ht="9" customHeight="1">
      <c r="A53" s="440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188"/>
      <c r="M53" s="188"/>
      <c r="N53" s="188"/>
      <c r="O53" s="188"/>
    </row>
    <row r="54" spans="1:15" ht="12.75">
      <c r="A54" s="435" t="s">
        <v>424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188"/>
      <c r="M54" s="188"/>
      <c r="N54" s="188"/>
      <c r="O54" s="188"/>
    </row>
    <row r="55" spans="1:15" ht="9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188"/>
      <c r="M55" s="188"/>
      <c r="N55" s="188"/>
      <c r="O55" s="188"/>
    </row>
    <row r="56" spans="1:15" ht="12.75" customHeight="1">
      <c r="A56" s="440" t="s">
        <v>425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188"/>
      <c r="M56" s="188"/>
      <c r="N56" s="188"/>
      <c r="O56" s="188"/>
    </row>
    <row r="57" spans="1:15" ht="9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188"/>
      <c r="M57" s="188"/>
      <c r="N57" s="188"/>
      <c r="O57" s="188"/>
    </row>
    <row r="58" spans="1:15" ht="12.75">
      <c r="A58" s="435" t="s">
        <v>426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188"/>
      <c r="M58" s="188"/>
      <c r="N58" s="188"/>
      <c r="O58" s="188"/>
    </row>
    <row r="59" spans="1:15" ht="12.75">
      <c r="A59" s="435" t="s">
        <v>427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188"/>
      <c r="M59" s="188"/>
      <c r="N59" s="188"/>
      <c r="O59" s="188"/>
    </row>
    <row r="60" spans="1:15" ht="12.75">
      <c r="A60" s="435" t="s">
        <v>428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188"/>
      <c r="M60" s="188"/>
      <c r="N60" s="188"/>
      <c r="O60" s="188"/>
    </row>
    <row r="61" spans="1:15" ht="12.75">
      <c r="A61" s="435" t="s">
        <v>384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188"/>
      <c r="M61" s="188"/>
      <c r="N61" s="188"/>
      <c r="O61" s="188"/>
    </row>
    <row r="62" spans="1:15" ht="9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188"/>
      <c r="M62" s="188"/>
      <c r="N62" s="188"/>
      <c r="O62" s="188"/>
    </row>
    <row r="63" spans="1:15" ht="12.75">
      <c r="A63" s="435" t="s">
        <v>429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188"/>
      <c r="M63" s="188"/>
      <c r="N63" s="188"/>
      <c r="O63" s="188"/>
    </row>
    <row r="64" spans="1:15" ht="12.75">
      <c r="A64" s="435" t="s">
        <v>430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188"/>
      <c r="M64" s="188"/>
      <c r="N64" s="188"/>
      <c r="O64" s="188"/>
    </row>
    <row r="65" spans="1:15" ht="12.75">
      <c r="A65" s="435" t="s">
        <v>386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188"/>
      <c r="M65" s="188"/>
      <c r="N65" s="188"/>
      <c r="O65" s="188"/>
    </row>
    <row r="66" spans="1:15" ht="3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188"/>
      <c r="M66" s="188"/>
      <c r="N66" s="188"/>
      <c r="O66" s="188"/>
    </row>
    <row r="67" spans="1:15" ht="12.75">
      <c r="A67" s="435" t="s">
        <v>385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188"/>
      <c r="M67" s="188"/>
      <c r="N67" s="188"/>
      <c r="O67" s="188"/>
    </row>
    <row r="68" spans="1:15" ht="12.75">
      <c r="A68" s="435" t="s">
        <v>387</v>
      </c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188"/>
      <c r="M68" s="188"/>
      <c r="N68" s="188"/>
      <c r="O68" s="188"/>
    </row>
    <row r="69" spans="1:15" ht="3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188"/>
      <c r="M69" s="188"/>
      <c r="N69" s="188"/>
      <c r="O69" s="188"/>
    </row>
    <row r="70" spans="1:15" ht="12.75">
      <c r="A70" s="435" t="s">
        <v>431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188"/>
      <c r="M70" s="188"/>
      <c r="N70" s="188"/>
      <c r="O70" s="188"/>
    </row>
    <row r="71" spans="1:15" ht="12.75">
      <c r="A71" s="435" t="s">
        <v>432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188"/>
      <c r="M71" s="188"/>
      <c r="N71" s="188"/>
      <c r="O71" s="188"/>
    </row>
    <row r="72" spans="1:15" ht="12.75">
      <c r="A72" s="435" t="s">
        <v>433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188"/>
      <c r="M72" s="188"/>
      <c r="N72" s="188"/>
      <c r="O72" s="188"/>
    </row>
    <row r="73" spans="1:15" ht="9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188"/>
      <c r="M73" s="188"/>
      <c r="N73" s="188"/>
      <c r="O73" s="188"/>
    </row>
    <row r="74" spans="1:15" ht="12.75" customHeight="1">
      <c r="A74" s="509" t="s">
        <v>463</v>
      </c>
      <c r="B74" s="509"/>
      <c r="C74" s="509"/>
      <c r="D74" s="509"/>
      <c r="E74" s="509"/>
      <c r="F74" s="509"/>
      <c r="G74" s="509"/>
      <c r="H74" s="509"/>
      <c r="I74" s="509"/>
      <c r="J74" s="509"/>
      <c r="K74" s="509"/>
      <c r="L74" s="509"/>
      <c r="M74" s="509"/>
      <c r="N74" s="509"/>
      <c r="O74" s="509"/>
    </row>
    <row r="75" spans="1:15" ht="12.75">
      <c r="A75" s="435" t="s">
        <v>376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188"/>
      <c r="M75" s="188"/>
      <c r="N75" s="188"/>
      <c r="O75" s="188"/>
    </row>
    <row r="76" spans="1:15" ht="12.75">
      <c r="A76" s="188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188"/>
      <c r="M76" s="188"/>
      <c r="N76" s="188"/>
      <c r="O76" s="188"/>
    </row>
    <row r="77" spans="1:15" ht="12.75">
      <c r="A77" s="188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188"/>
      <c r="M77" s="188"/>
      <c r="N77" s="188"/>
      <c r="O77" s="188"/>
    </row>
    <row r="78" spans="1:17" ht="12.75">
      <c r="A78" s="188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188"/>
      <c r="O78" s="188"/>
      <c r="P78" s="188"/>
      <c r="Q78" s="188"/>
    </row>
    <row r="79" spans="1:17" ht="12.75">
      <c r="A79" s="188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188"/>
      <c r="O79" s="188"/>
      <c r="P79" s="188"/>
      <c r="Q79" s="188"/>
    </row>
    <row r="80" spans="1:17" ht="12.75">
      <c r="A80" s="188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188"/>
      <c r="O80" s="188"/>
      <c r="P80" s="188"/>
      <c r="Q80" s="188"/>
    </row>
    <row r="81" spans="1:17" ht="12.7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188"/>
      <c r="O81" s="188"/>
      <c r="P81" s="188"/>
      <c r="Q81" s="188"/>
    </row>
    <row r="82" spans="1:17" ht="12.75">
      <c r="A82" s="188"/>
      <c r="B82" s="188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188"/>
      <c r="O82" s="188"/>
      <c r="P82" s="188"/>
      <c r="Q82" s="188"/>
    </row>
    <row r="83" spans="1:17" ht="12.75">
      <c r="A83" s="188"/>
      <c r="B83" s="188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188"/>
      <c r="O83" s="188"/>
      <c r="P83" s="188"/>
      <c r="Q83" s="188"/>
    </row>
    <row r="84" spans="1:17" ht="12.7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188"/>
      <c r="O84" s="188"/>
      <c r="P84" s="188"/>
      <c r="Q84" s="188"/>
    </row>
    <row r="85" spans="1:17" ht="12.75">
      <c r="A85" s="188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188"/>
      <c r="O85" s="188"/>
      <c r="P85" s="188"/>
      <c r="Q85" s="188"/>
    </row>
    <row r="86" spans="1:17" ht="12.75">
      <c r="A86" s="188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188"/>
      <c r="O86" s="188"/>
      <c r="P86" s="188"/>
      <c r="Q86" s="188"/>
    </row>
    <row r="87" spans="1:17" ht="12.75">
      <c r="A87" s="188"/>
      <c r="B87" s="188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188"/>
      <c r="O87" s="188"/>
      <c r="P87" s="188"/>
      <c r="Q87" s="188"/>
    </row>
    <row r="88" spans="1:17" ht="12.75">
      <c r="A88" s="188"/>
      <c r="B88" s="188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188"/>
      <c r="O88" s="188"/>
      <c r="P88" s="188"/>
      <c r="Q88" s="188"/>
    </row>
    <row r="89" spans="1:17" ht="12.75">
      <c r="A89" s="188"/>
      <c r="B89" s="188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188"/>
      <c r="O89" s="188"/>
      <c r="P89" s="188"/>
      <c r="Q89" s="188"/>
    </row>
    <row r="90" spans="1:17" ht="12.75">
      <c r="A90" s="188"/>
      <c r="B90" s="188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188"/>
      <c r="O90" s="188"/>
      <c r="P90" s="188"/>
      <c r="Q90" s="188"/>
    </row>
    <row r="91" spans="1:17" ht="12.75">
      <c r="A91" s="188"/>
      <c r="B91" s="188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188"/>
      <c r="O91" s="188"/>
      <c r="P91" s="188"/>
      <c r="Q91" s="188"/>
    </row>
    <row r="92" spans="1:17" ht="12.75">
      <c r="A92" s="188"/>
      <c r="B92" s="188"/>
      <c r="C92" s="509"/>
      <c r="D92" s="509"/>
      <c r="E92" s="509"/>
      <c r="F92" s="509"/>
      <c r="G92" s="509"/>
      <c r="H92" s="509"/>
      <c r="I92" s="509"/>
      <c r="J92" s="509"/>
      <c r="K92" s="509"/>
      <c r="L92" s="509"/>
      <c r="M92" s="509"/>
      <c r="N92" s="509"/>
      <c r="O92" s="509"/>
      <c r="P92" s="509"/>
      <c r="Q92" s="509"/>
    </row>
    <row r="93" spans="1:17" ht="12.75">
      <c r="A93" s="188"/>
      <c r="B93" s="188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1" right="0.03937007874015748" top="1.6275" bottom="0.2362204724409449" header="0.5118110236220472" footer="0"/>
  <pageSetup horizontalDpi="600" verticalDpi="600" orientation="portrait" scale="61" r:id="rId2"/>
  <headerFooter alignWithMargins="0">
    <oddHeader>&amp;L&amp;G&amp;R&amp;"Helvetica,Regular"&amp;8Hydro Ottawa Limited
EB-2011-0054
Filed: 2011-10-03
Technical Conference Undertakings
Undertaking LT1.19
Attachment 2
Page &amp;P of &amp;N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kimberleya</cp:lastModifiedBy>
  <cp:lastPrinted>2011-10-03T13:55:36Z</cp:lastPrinted>
  <dcterms:created xsi:type="dcterms:W3CDTF">2001-11-07T16:15:53Z</dcterms:created>
  <dcterms:modified xsi:type="dcterms:W3CDTF">2011-10-03T13:55:45Z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