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7290" tabRatio="1000" activeTab="0"/>
  </bookViews>
  <sheets>
    <sheet name="Rec &amp; JEs" sheetId="1" r:id="rId1"/>
    <sheet name="Festival Apr 06 " sheetId="2" r:id="rId2"/>
    <sheet name="Festival Mar 06" sheetId="3" r:id="rId3"/>
    <sheet name="Festival Feb 06" sheetId="4" r:id="rId4"/>
    <sheet name="Festival Jan 06" sheetId="5" r:id="rId5"/>
    <sheet name="Festival Dec 05" sheetId="6" r:id="rId6"/>
    <sheet name="Festival Nov 05" sheetId="7" r:id="rId7"/>
    <sheet name="Festival Oct 05 " sheetId="8" r:id="rId8"/>
    <sheet name="Festival Sep 05" sheetId="9" r:id="rId9"/>
    <sheet name="Festival Aug 05" sheetId="10" r:id="rId10"/>
    <sheet name="Festival Jul 05 " sheetId="11" r:id="rId11"/>
    <sheet name="Festival Jun 05" sheetId="12" r:id="rId12"/>
    <sheet name="Festival May 05" sheetId="13" r:id="rId13"/>
    <sheet name="Festival Apr 05" sheetId="14" r:id="rId14"/>
  </sheets>
  <externalReferences>
    <externalReference r:id="rId17"/>
  </externalReferences>
  <definedNames>
    <definedName name="_xlnm.Print_Titles" localSheetId="0">'Rec &amp; JEs'!$1:$16</definedName>
  </definedNames>
  <calcPr fullCalcOnLoad="1"/>
</workbook>
</file>

<file path=xl/sharedStrings.xml><?xml version="1.0" encoding="utf-8"?>
<sst xmlns="http://schemas.openxmlformats.org/spreadsheetml/2006/main" count="1017" uniqueCount="122">
  <si>
    <t>Festival Hydro Inc.</t>
  </si>
  <si>
    <t>Festival</t>
  </si>
  <si>
    <t>Code</t>
  </si>
  <si>
    <t>Category</t>
  </si>
  <si>
    <t>kW's</t>
  </si>
  <si>
    <t>kWh's</t>
  </si>
  <si>
    <t>Rate</t>
  </si>
  <si>
    <t>AA1</t>
  </si>
  <si>
    <t>Residential</t>
  </si>
  <si>
    <t>AA2</t>
  </si>
  <si>
    <t>Residential Seaforth</t>
  </si>
  <si>
    <t>AA3</t>
  </si>
  <si>
    <t>Residential Hensall</t>
  </si>
  <si>
    <t>CCC</t>
  </si>
  <si>
    <t>General Service &lt; 50 kWh</t>
  </si>
  <si>
    <t>FFF</t>
  </si>
  <si>
    <t>Sentinel Lighting</t>
  </si>
  <si>
    <t>Totals</t>
  </si>
  <si>
    <t>GEN</t>
  </si>
  <si>
    <t>TOU</t>
  </si>
  <si>
    <t>Amount</t>
  </si>
  <si>
    <t>FAG</t>
  </si>
  <si>
    <t>FF1</t>
  </si>
  <si>
    <t>FF2</t>
  </si>
  <si>
    <t>HEN</t>
  </si>
  <si>
    <t>REL</t>
  </si>
  <si>
    <t>Street Lighting TOU</t>
  </si>
  <si>
    <t>LGH</t>
  </si>
  <si>
    <t>Actuals per the billing registers</t>
  </si>
  <si>
    <t>Budgeted Recoveries</t>
  </si>
  <si>
    <t>.</t>
  </si>
  <si>
    <t>Difference over (under) absorbed</t>
  </si>
  <si>
    <t>Recovered</t>
  </si>
  <si>
    <t>Recovery</t>
  </si>
  <si>
    <t>Interest Calculation</t>
  </si>
  <si>
    <t>Opening Balance</t>
  </si>
  <si>
    <t>March Closing balance</t>
  </si>
  <si>
    <t>Interest Income</t>
  </si>
  <si>
    <t xml:space="preserve">Outstanding </t>
  </si>
  <si>
    <t>Balance</t>
  </si>
  <si>
    <t>March Revised balance</t>
  </si>
  <si>
    <t>April Opening balance</t>
  </si>
  <si>
    <t>Recovered in April</t>
  </si>
  <si>
    <t>April Closing balance</t>
  </si>
  <si>
    <t>Recovered in May</t>
  </si>
  <si>
    <t>May Revised balance</t>
  </si>
  <si>
    <t>May Opening balance</t>
  </si>
  <si>
    <t>Principal</t>
  </si>
  <si>
    <t>May Closing balance</t>
  </si>
  <si>
    <t>Jun Opening balance</t>
  </si>
  <si>
    <t>Recovered in Jun</t>
  </si>
  <si>
    <t>Jun Revised balance</t>
  </si>
  <si>
    <t>Jun Closing balance</t>
  </si>
  <si>
    <t>12 months</t>
  </si>
  <si>
    <t>Monthly amount to set up</t>
  </si>
  <si>
    <t>Jan Closing Balance</t>
  </si>
  <si>
    <t>A/c 4405</t>
  </si>
  <si>
    <t>Recovered in Aug</t>
  </si>
  <si>
    <t>Recovered in Jul</t>
  </si>
  <si>
    <t>Fixed monthly</t>
  </si>
  <si>
    <t>Total</t>
  </si>
  <si>
    <t>recovery</t>
  </si>
  <si>
    <t>Recovered in Sep</t>
  </si>
  <si>
    <t>Recovered in Oct</t>
  </si>
  <si>
    <t>Recovered in Nov</t>
  </si>
  <si>
    <t>Recovered in Dec</t>
  </si>
  <si>
    <t xml:space="preserve">Total </t>
  </si>
  <si>
    <t>Jan Opening balance</t>
  </si>
  <si>
    <t>Feb Opening balance</t>
  </si>
  <si>
    <t>YTD Int</t>
  </si>
  <si>
    <t>Interest @ 7.25</t>
  </si>
  <si>
    <t>Summary</t>
  </si>
  <si>
    <t>Opening balance</t>
  </si>
  <si>
    <t>Closing balance</t>
  </si>
  <si>
    <t xml:space="preserve"> Revised balance</t>
  </si>
  <si>
    <t>Started recovery in April</t>
  </si>
  <si>
    <t>1 month new PILS</t>
  </si>
  <si>
    <t>New PILS</t>
  </si>
  <si>
    <t>SLR</t>
  </si>
  <si>
    <t>ZCC</t>
  </si>
  <si>
    <t xml:space="preserve">Recovered in </t>
  </si>
  <si>
    <t>Total 2005 PILs</t>
  </si>
  <si>
    <t>Hensall</t>
  </si>
  <si>
    <t>Seaforth</t>
  </si>
  <si>
    <t>FHI</t>
  </si>
  <si>
    <t xml:space="preserve">2005 PIL recovery - at 7.25% </t>
  </si>
  <si>
    <t>ZFF</t>
  </si>
  <si>
    <t>Gen Ser &gt; 50 kWh (Non TOU)</t>
  </si>
  <si>
    <t>Gen Ser &gt; 50 kWh ( TOU)</t>
  </si>
  <si>
    <t>ZFF1</t>
  </si>
  <si>
    <t>2005 PIL Recovery</t>
  </si>
  <si>
    <t>Period:  Apr 2005</t>
  </si>
  <si>
    <t>Distn kW's</t>
  </si>
  <si>
    <t>Distn kWh's</t>
  </si>
  <si>
    <t>Period:  May 2005</t>
  </si>
  <si>
    <t>*</t>
  </si>
  <si>
    <t>Period:  June 2005</t>
  </si>
  <si>
    <t>Period:  August 2005</t>
  </si>
  <si>
    <t>Period:  July 2005</t>
  </si>
  <si>
    <t>Scattered Unmetered</t>
  </si>
  <si>
    <t>Period:  Oct 2005</t>
  </si>
  <si>
    <t>Period:  Nov 2005</t>
  </si>
  <si>
    <t>Period:  Dec 2005</t>
  </si>
  <si>
    <t>Period:  Jan 2006</t>
  </si>
  <si>
    <t>Period:  Feb 2006</t>
  </si>
  <si>
    <t>Period:  Mar 2006</t>
  </si>
  <si>
    <t>Opening - 2004</t>
  </si>
  <si>
    <t>Add Interest</t>
  </si>
  <si>
    <t xml:space="preserve">Less Recovery </t>
  </si>
  <si>
    <t>Total - 2004</t>
  </si>
  <si>
    <t>Period:  Apr 2006</t>
  </si>
  <si>
    <t>MLG</t>
  </si>
  <si>
    <t>2005 True Up</t>
  </si>
  <si>
    <t>True up</t>
  </si>
  <si>
    <t>Dec 31/05</t>
  </si>
  <si>
    <t>Life to Apr 30/06</t>
  </si>
  <si>
    <t>Jan to Apr 06</t>
  </si>
  <si>
    <t>Original Filed</t>
  </si>
  <si>
    <t xml:space="preserve">Jan Feb Mar 2005 </t>
  </si>
  <si>
    <t>Use 2002 PIL Proxy</t>
  </si>
  <si>
    <t>Per month</t>
  </si>
  <si>
    <t>Apr to Dec - Use 2005 Pil Proxy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</si>
</sst>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_);\(0.000\)"/>
    <numFmt numFmtId="180" formatCode="0.0_);\(0.0\)"/>
    <numFmt numFmtId="181" formatCode="0_);\(0\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"/>
    <numFmt numFmtId="187" formatCode="#,##0.00000"/>
    <numFmt numFmtId="188" formatCode="#,##0.0000000000_);\(#,##0.0000000000\)"/>
    <numFmt numFmtId="189" formatCode="#,##0.000000_);\(#,##0.000000\)"/>
    <numFmt numFmtId="190" formatCode="#,##0.000;\-#,##0.000"/>
    <numFmt numFmtId="191" formatCode="#,##0.0;\-#,##0.0"/>
    <numFmt numFmtId="192" formatCode="#,##0.0000;\-#,##0.0000"/>
    <numFmt numFmtId="193" formatCode="#,##0.00000;\-#,##0.00000"/>
    <numFmt numFmtId="194" formatCode="#,##0.000000;\-#,##0.000000"/>
    <numFmt numFmtId="195" formatCode="#,##0.0000000;\-#,##0.0000000"/>
    <numFmt numFmtId="196" formatCode="#,##0.00000000;\-#,##0.00000000"/>
    <numFmt numFmtId="197" formatCode="0.000000000"/>
    <numFmt numFmtId="198" formatCode="#,##0.00_ ;\-#,##0.00\ 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9" fontId="0" fillId="0" borderId="11" xfId="0" applyNumberFormat="1" applyBorder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Alignment="1">
      <alignment horizontal="center"/>
    </xf>
    <xf numFmtId="184" fontId="0" fillId="0" borderId="0" xfId="0" applyNumberFormat="1" applyAlignment="1">
      <alignment/>
    </xf>
    <xf numFmtId="184" fontId="3" fillId="0" borderId="0" xfId="0" applyNumberFormat="1" applyFont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2" xfId="0" applyNumberFormat="1" applyBorder="1" applyAlignment="1">
      <alignment/>
    </xf>
    <xf numFmtId="185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39" fontId="3" fillId="0" borderId="0" xfId="0" applyNumberFormat="1" applyFont="1" applyBorder="1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9" fontId="0" fillId="0" borderId="0" xfId="0" applyNumberFormat="1" applyFont="1" applyAlignment="1">
      <alignment/>
    </xf>
    <xf numFmtId="39" fontId="0" fillId="0" borderId="12" xfId="0" applyNumberFormat="1" applyFont="1" applyBorder="1" applyAlignment="1">
      <alignment horizontal="center"/>
    </xf>
    <xf numFmtId="39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9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39" fontId="8" fillId="0" borderId="0" xfId="0" applyNumberFormat="1" applyFont="1" applyBorder="1" applyAlignment="1">
      <alignment horizontal="right"/>
    </xf>
    <xf numFmtId="39" fontId="8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9" fontId="5" fillId="0" borderId="0" xfId="0" applyNumberFormat="1" applyFont="1" applyAlignment="1">
      <alignment/>
    </xf>
    <xf numFmtId="39" fontId="7" fillId="0" borderId="0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 quotePrefix="1">
      <alignment/>
    </xf>
    <xf numFmtId="39" fontId="9" fillId="0" borderId="0" xfId="0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bbie\PILs%20Calculations\2005%20PILS%20Recovery\2001PILrecove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Charge"/>
      <sheetName val="PILSummary"/>
      <sheetName val="PILRecoveryAmt"/>
      <sheetName val="Festival August 30"/>
      <sheetName val="Festival July 31"/>
      <sheetName val="Festival June 30"/>
      <sheetName val="Festival May 31"/>
      <sheetName val="Festival Apr 30"/>
      <sheetName val="Festival Mar 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7"/>
  <sheetViews>
    <sheetView tabSelected="1" zoomScalePageLayoutView="0" workbookViewId="0" topLeftCell="A213">
      <selection activeCell="A14" sqref="A14"/>
    </sheetView>
  </sheetViews>
  <sheetFormatPr defaultColWidth="9.140625" defaultRowHeight="12.75"/>
  <cols>
    <col min="1" max="1" width="11.421875" style="0" customWidth="1"/>
    <col min="2" max="2" width="22.00390625" style="0" customWidth="1"/>
    <col min="3" max="3" width="17.140625" style="2" customWidth="1"/>
    <col min="4" max="4" width="14.8515625" style="2" customWidth="1"/>
    <col min="5" max="5" width="15.00390625" style="2" customWidth="1"/>
    <col min="6" max="6" width="13.8515625" style="16" customWidth="1"/>
    <col min="7" max="7" width="12.8515625" style="2" bestFit="1" customWidth="1"/>
    <col min="8" max="8" width="14.28125" style="2" bestFit="1" customWidth="1"/>
    <col min="9" max="9" width="14.28125" style="2" customWidth="1"/>
    <col min="10" max="10" width="13.57421875" style="2" bestFit="1" customWidth="1"/>
    <col min="11" max="12" width="14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  <col min="16" max="16" width="9.7109375" style="0" bestFit="1" customWidth="1"/>
    <col min="17" max="17" width="12.8515625" style="0" customWidth="1"/>
    <col min="19" max="19" width="10.140625" style="0" bestFit="1" customWidth="1"/>
    <col min="20" max="20" width="12.7109375" style="0" customWidth="1"/>
    <col min="23" max="23" width="9.8515625" style="0" customWidth="1"/>
    <col min="24" max="24" width="11.7109375" style="0" bestFit="1" customWidth="1"/>
    <col min="25" max="25" width="10.00390625" style="0" customWidth="1"/>
    <col min="26" max="26" width="9.8515625" style="0" customWidth="1"/>
    <col min="27" max="27" width="11.7109375" style="0" bestFit="1" customWidth="1"/>
    <col min="28" max="28" width="10.57421875" style="0" customWidth="1"/>
    <col min="29" max="29" width="9.7109375" style="0" bestFit="1" customWidth="1"/>
    <col min="30" max="30" width="12.28125" style="0" bestFit="1" customWidth="1"/>
  </cols>
  <sheetData>
    <row r="1" spans="1:33" ht="12.75">
      <c r="A1" s="1" t="s">
        <v>0</v>
      </c>
      <c r="K1" s="24"/>
      <c r="L1" s="24"/>
      <c r="M1" s="21"/>
      <c r="N1" s="21"/>
      <c r="O1" s="21"/>
      <c r="P1" s="31"/>
      <c r="Q1" s="31"/>
      <c r="R1" s="31"/>
      <c r="S1" s="31"/>
      <c r="T1" s="31"/>
      <c r="U1" s="31"/>
      <c r="V1" s="33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2.75">
      <c r="A2" s="32" t="s">
        <v>85</v>
      </c>
      <c r="K2" s="24"/>
      <c r="L2" s="24"/>
      <c r="M2" s="21"/>
      <c r="N2" s="21"/>
      <c r="O2" s="21"/>
      <c r="P2" s="31"/>
      <c r="Q2" s="31"/>
      <c r="R2" s="31"/>
      <c r="S2" s="31"/>
      <c r="T2" s="31"/>
      <c r="U2" s="31"/>
      <c r="V2" s="34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6:33" ht="12.75">
      <c r="F3" s="46" t="s">
        <v>82</v>
      </c>
      <c r="G3" s="47">
        <v>6287</v>
      </c>
      <c r="K3" s="21"/>
      <c r="L3" s="24"/>
      <c r="M3" s="25"/>
      <c r="N3" s="21"/>
      <c r="O3" s="21"/>
      <c r="P3" s="25"/>
      <c r="Q3" s="21"/>
      <c r="R3" s="21"/>
      <c r="S3" s="25"/>
      <c r="T3" s="21"/>
      <c r="U3" s="21"/>
      <c r="V3" s="31"/>
      <c r="W3" s="25"/>
      <c r="X3" s="21"/>
      <c r="Y3" s="21"/>
      <c r="Z3" s="25"/>
      <c r="AA3" s="21"/>
      <c r="AB3" s="21"/>
      <c r="AC3" s="25"/>
      <c r="AD3" s="21"/>
      <c r="AE3" s="21"/>
      <c r="AF3" s="31"/>
      <c r="AG3" s="31"/>
    </row>
    <row r="4" spans="2:33" ht="12.75">
      <c r="B4" t="s">
        <v>81</v>
      </c>
      <c r="C4" s="2">
        <f>+G6</f>
        <v>1252830</v>
      </c>
      <c r="F4" s="30" t="s">
        <v>83</v>
      </c>
      <c r="G4" s="48">
        <v>24557</v>
      </c>
      <c r="K4" s="21"/>
      <c r="L4" s="25"/>
      <c r="M4" s="25"/>
      <c r="N4" s="21"/>
      <c r="O4" s="25"/>
      <c r="P4" s="25"/>
      <c r="Q4" s="21"/>
      <c r="R4" s="25"/>
      <c r="S4" s="25"/>
      <c r="T4" s="21"/>
      <c r="U4" s="25"/>
      <c r="V4" s="31"/>
      <c r="W4" s="25"/>
      <c r="X4" s="21"/>
      <c r="Y4" s="25"/>
      <c r="Z4" s="25"/>
      <c r="AA4" s="21"/>
      <c r="AB4" s="25"/>
      <c r="AC4" s="25"/>
      <c r="AD4" s="21"/>
      <c r="AE4" s="25"/>
      <c r="AF4" s="31"/>
      <c r="AG4" s="31"/>
    </row>
    <row r="5" spans="3:33" ht="12.75">
      <c r="C5" s="2" t="s">
        <v>53</v>
      </c>
      <c r="F5" s="30" t="s">
        <v>84</v>
      </c>
      <c r="G5" s="48">
        <v>1221986</v>
      </c>
      <c r="K5" s="6"/>
      <c r="L5" s="25"/>
      <c r="M5" s="6"/>
      <c r="N5" s="6"/>
      <c r="O5" s="25"/>
      <c r="P5" s="6"/>
      <c r="Q5" s="6"/>
      <c r="R5" s="25"/>
      <c r="S5" s="6"/>
      <c r="T5" s="6"/>
      <c r="U5" s="25"/>
      <c r="V5" s="31"/>
      <c r="W5" s="6"/>
      <c r="X5" s="6"/>
      <c r="Y5" s="25"/>
      <c r="Z5" s="6"/>
      <c r="AA5" s="6"/>
      <c r="AB5" s="25"/>
      <c r="AC5" s="6"/>
      <c r="AD5" s="6"/>
      <c r="AE5" s="25"/>
      <c r="AF5" s="31"/>
      <c r="AG5" s="31"/>
    </row>
    <row r="6" spans="2:33" ht="13.5" thickBot="1">
      <c r="B6" t="s">
        <v>54</v>
      </c>
      <c r="C6" s="22">
        <f>+C4/12</f>
        <v>104402.5</v>
      </c>
      <c r="D6" s="14" t="s">
        <v>75</v>
      </c>
      <c r="F6" s="49"/>
      <c r="G6" s="50">
        <f>SUM(G3:G5)</f>
        <v>1252830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/>
      <c r="W6" s="6"/>
      <c r="X6" s="6"/>
      <c r="Y6" s="6"/>
      <c r="Z6" s="6"/>
      <c r="AA6" s="6"/>
      <c r="AB6" s="6"/>
      <c r="AC6" s="6"/>
      <c r="AD6" s="6"/>
      <c r="AE6" s="6"/>
      <c r="AF6" s="31"/>
      <c r="AG6" s="31"/>
    </row>
    <row r="7" spans="3:33" ht="13.5" thickTop="1">
      <c r="C7" s="21"/>
      <c r="D7" s="14"/>
      <c r="F7" s="21"/>
      <c r="G7" s="21">
        <f>+G6/12*9</f>
        <v>939622.5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6"/>
      <c r="X7" s="6"/>
      <c r="Y7" s="6"/>
      <c r="Z7" s="6"/>
      <c r="AA7" s="6"/>
      <c r="AB7" s="6"/>
      <c r="AC7" s="6"/>
      <c r="AD7" s="6"/>
      <c r="AE7" s="6"/>
      <c r="AF7" s="31"/>
      <c r="AG7" s="31"/>
    </row>
    <row r="8" spans="2:33" ht="12.75">
      <c r="B8" s="41" t="s">
        <v>118</v>
      </c>
      <c r="C8" s="21"/>
      <c r="D8" s="14"/>
      <c r="F8" s="21"/>
      <c r="G8" s="2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6"/>
      <c r="X8" s="6"/>
      <c r="Y8" s="6"/>
      <c r="Z8" s="6"/>
      <c r="AA8" s="6"/>
      <c r="AB8" s="6"/>
      <c r="AC8" s="6"/>
      <c r="AD8" s="6"/>
      <c r="AE8" s="6"/>
      <c r="AF8" s="31"/>
      <c r="AG8" s="31"/>
    </row>
    <row r="9" spans="2:33" ht="12.75">
      <c r="B9" s="27" t="s">
        <v>119</v>
      </c>
      <c r="C9" s="21">
        <v>1226571</v>
      </c>
      <c r="D9" s="14">
        <f>+C9/12</f>
        <v>102214.25</v>
      </c>
      <c r="E9" s="28" t="s">
        <v>120</v>
      </c>
      <c r="F9" s="21"/>
      <c r="G9" s="2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"/>
      <c r="W9" s="6"/>
      <c r="X9" s="6"/>
      <c r="Y9" s="6"/>
      <c r="Z9" s="6"/>
      <c r="AA9" s="6"/>
      <c r="AB9" s="6"/>
      <c r="AC9" s="6"/>
      <c r="AD9" s="6"/>
      <c r="AE9" s="6"/>
      <c r="AF9" s="31"/>
      <c r="AG9" s="31"/>
    </row>
    <row r="10" spans="3:33" ht="12.75">
      <c r="C10" s="21"/>
      <c r="D10" s="14"/>
      <c r="F10" s="21"/>
      <c r="G10" s="2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31"/>
      <c r="AG10" s="31"/>
    </row>
    <row r="11" spans="2:33" ht="12.75">
      <c r="B11" s="27" t="s">
        <v>121</v>
      </c>
      <c r="C11" s="21"/>
      <c r="D11" s="14">
        <f>+C6</f>
        <v>104402.5</v>
      </c>
      <c r="E11" s="28" t="s">
        <v>120</v>
      </c>
      <c r="F11" s="21"/>
      <c r="G11" s="2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31"/>
      <c r="AG11" s="31"/>
    </row>
    <row r="12" spans="3:33" ht="12.75">
      <c r="C12" s="21"/>
      <c r="D12" s="14"/>
      <c r="F12" s="21"/>
      <c r="G12" s="2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31"/>
      <c r="AG12" s="31"/>
    </row>
    <row r="13" spans="6:33" ht="12.75">
      <c r="F13" s="2"/>
      <c r="K13" s="21"/>
      <c r="L13" s="21"/>
      <c r="M13" s="21"/>
      <c r="N13" s="21"/>
      <c r="O13" s="2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3:33" ht="12.75">
      <c r="C14" s="6" t="s">
        <v>38</v>
      </c>
      <c r="D14" s="8"/>
      <c r="E14" s="6" t="s">
        <v>38</v>
      </c>
      <c r="F14" s="4"/>
      <c r="G14" s="35" t="s">
        <v>66</v>
      </c>
      <c r="K14" s="21"/>
      <c r="L14" s="21"/>
      <c r="M14" s="21"/>
      <c r="N14" s="21"/>
      <c r="O14" s="21"/>
      <c r="P14" s="31"/>
      <c r="Q14" s="21"/>
      <c r="R14" s="21"/>
      <c r="S14" s="31"/>
      <c r="T14" s="21"/>
      <c r="U14" s="21"/>
      <c r="V14" s="31"/>
      <c r="W14" s="31"/>
      <c r="X14" s="21"/>
      <c r="Y14" s="21"/>
      <c r="Z14" s="31"/>
      <c r="AA14" s="21"/>
      <c r="AB14" s="21"/>
      <c r="AC14" s="31"/>
      <c r="AD14" s="21"/>
      <c r="AE14" s="21"/>
      <c r="AF14" s="31"/>
      <c r="AG14" s="31"/>
    </row>
    <row r="15" spans="2:33" ht="12.75">
      <c r="B15" s="1" t="s">
        <v>34</v>
      </c>
      <c r="C15" s="10" t="s">
        <v>39</v>
      </c>
      <c r="D15" s="10" t="s">
        <v>37</v>
      </c>
      <c r="E15" s="10" t="s">
        <v>47</v>
      </c>
      <c r="F15" s="4"/>
      <c r="G15" s="35" t="s">
        <v>32</v>
      </c>
      <c r="K15" s="21"/>
      <c r="L15" s="21"/>
      <c r="M15" s="21"/>
      <c r="N15" s="21"/>
      <c r="O15" s="21"/>
      <c r="P15" s="31"/>
      <c r="Q15" s="21"/>
      <c r="R15" s="21"/>
      <c r="S15" s="31"/>
      <c r="T15" s="21"/>
      <c r="U15" s="21"/>
      <c r="V15" s="31"/>
      <c r="W15" s="31"/>
      <c r="X15" s="21"/>
      <c r="Y15" s="21"/>
      <c r="Z15" s="31"/>
      <c r="AA15" s="21"/>
      <c r="AB15" s="21"/>
      <c r="AC15" s="31"/>
      <c r="AD15" s="21"/>
      <c r="AE15" s="21"/>
      <c r="AF15" s="31"/>
      <c r="AG15" s="31"/>
    </row>
    <row r="16" spans="4:33" ht="12.75">
      <c r="D16" s="14" t="s">
        <v>56</v>
      </c>
      <c r="F16" s="4"/>
      <c r="K16" s="21"/>
      <c r="L16" s="21"/>
      <c r="M16" s="21"/>
      <c r="N16" s="21"/>
      <c r="O16" s="21"/>
      <c r="P16" s="31"/>
      <c r="Q16" s="21"/>
      <c r="R16" s="21"/>
      <c r="S16" s="31"/>
      <c r="T16" s="21"/>
      <c r="U16" s="21"/>
      <c r="V16" s="31"/>
      <c r="W16" s="31"/>
      <c r="X16" s="21"/>
      <c r="Y16" s="21"/>
      <c r="Z16" s="31"/>
      <c r="AA16" s="21"/>
      <c r="AB16" s="21"/>
      <c r="AC16" s="31"/>
      <c r="AD16" s="21"/>
      <c r="AE16" s="21"/>
      <c r="AF16" s="31"/>
      <c r="AG16" s="31"/>
    </row>
    <row r="17" spans="1:33" ht="12.75">
      <c r="A17" s="26">
        <v>38353</v>
      </c>
      <c r="B17" t="s">
        <v>35</v>
      </c>
      <c r="C17" s="2">
        <v>0</v>
      </c>
      <c r="D17" s="14"/>
      <c r="E17" s="2">
        <v>0</v>
      </c>
      <c r="F17" s="4"/>
      <c r="K17" s="21"/>
      <c r="L17" s="21"/>
      <c r="M17" s="21"/>
      <c r="N17" s="21"/>
      <c r="O17" s="21"/>
      <c r="P17" s="31"/>
      <c r="Q17" s="21"/>
      <c r="R17" s="21"/>
      <c r="S17" s="31"/>
      <c r="T17" s="21"/>
      <c r="U17" s="21"/>
      <c r="V17" s="31"/>
      <c r="W17" s="31"/>
      <c r="X17" s="21"/>
      <c r="Y17" s="21"/>
      <c r="Z17" s="31"/>
      <c r="AA17" s="21"/>
      <c r="AB17" s="21"/>
      <c r="AC17" s="31"/>
      <c r="AD17" s="21"/>
      <c r="AE17" s="21"/>
      <c r="AF17" s="31"/>
      <c r="AG17" s="31"/>
    </row>
    <row r="18" spans="1:33" ht="12.75">
      <c r="A18" s="26"/>
      <c r="B18" t="s">
        <v>76</v>
      </c>
      <c r="C18" s="2">
        <v>102214.25</v>
      </c>
      <c r="D18" s="14"/>
      <c r="E18" s="2">
        <f>+C18</f>
        <v>102214.25</v>
      </c>
      <c r="F18" s="4"/>
      <c r="K18" s="21"/>
      <c r="L18" s="21"/>
      <c r="M18" s="21"/>
      <c r="N18" s="21"/>
      <c r="O18" s="21"/>
      <c r="P18" s="31"/>
      <c r="Q18" s="21"/>
      <c r="R18" s="21"/>
      <c r="S18" s="31"/>
      <c r="T18" s="21"/>
      <c r="U18" s="21"/>
      <c r="V18" s="31"/>
      <c r="W18" s="31"/>
      <c r="X18" s="21"/>
      <c r="Y18" s="21"/>
      <c r="Z18" s="31"/>
      <c r="AA18" s="21"/>
      <c r="AB18" s="21"/>
      <c r="AC18" s="31"/>
      <c r="AD18" s="21"/>
      <c r="AE18" s="21"/>
      <c r="AF18" s="31"/>
      <c r="AG18" s="31"/>
    </row>
    <row r="19" spans="2:33" ht="12.75">
      <c r="B19" t="s">
        <v>70</v>
      </c>
      <c r="C19" s="2">
        <f>+E17*0.0725/365*31</f>
        <v>0</v>
      </c>
      <c r="D19" s="28">
        <f>+C19</f>
        <v>0</v>
      </c>
      <c r="E19" s="2">
        <v>0</v>
      </c>
      <c r="F19" s="4"/>
      <c r="K19" s="21"/>
      <c r="L19" s="21"/>
      <c r="M19" s="21"/>
      <c r="N19" s="21"/>
      <c r="O19" s="21"/>
      <c r="P19" s="31"/>
      <c r="Q19" s="21"/>
      <c r="R19" s="21"/>
      <c r="S19" s="31"/>
      <c r="T19" s="21"/>
      <c r="U19" s="21"/>
      <c r="V19" s="31"/>
      <c r="W19" s="31"/>
      <c r="X19" s="21"/>
      <c r="Y19" s="21"/>
      <c r="Z19" s="31"/>
      <c r="AA19" s="21"/>
      <c r="AB19" s="21"/>
      <c r="AC19" s="31"/>
      <c r="AD19" s="21"/>
      <c r="AE19" s="21"/>
      <c r="AF19" s="31"/>
      <c r="AG19" s="31"/>
    </row>
    <row r="20" spans="2:33" ht="13.5" thickBot="1">
      <c r="B20" s="27" t="s">
        <v>55</v>
      </c>
      <c r="C20" s="29">
        <f>SUM(C17:C19)</f>
        <v>102214.25</v>
      </c>
      <c r="D20" s="29">
        <f>SUM(D17:D19)</f>
        <v>0</v>
      </c>
      <c r="E20" s="29">
        <f>SUM(E17:E19)</f>
        <v>102214.25</v>
      </c>
      <c r="F20" s="29">
        <f>SUM(F17:F19)</f>
        <v>0</v>
      </c>
      <c r="G20" s="29">
        <f>SUM(G17:G19)</f>
        <v>0</v>
      </c>
      <c r="K20" s="21"/>
      <c r="L20" s="21"/>
      <c r="M20" s="21"/>
      <c r="N20" s="21"/>
      <c r="O20" s="21"/>
      <c r="P20" s="31"/>
      <c r="Q20" s="21"/>
      <c r="R20" s="2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2:33" ht="13.5" thickTop="1">
      <c r="B21" s="1"/>
      <c r="C21" s="37"/>
      <c r="D21" s="38"/>
      <c r="F21" s="2"/>
      <c r="K21" s="21"/>
      <c r="L21" s="21"/>
      <c r="M21" s="21"/>
      <c r="N21" s="21"/>
      <c r="O21" s="21"/>
      <c r="P21" s="31"/>
      <c r="Q21" s="21"/>
      <c r="R21" s="21"/>
      <c r="S21" s="31"/>
      <c r="T21" s="21"/>
      <c r="U21" s="21"/>
      <c r="V21" s="31"/>
      <c r="W21" s="31"/>
      <c r="X21" s="21"/>
      <c r="Y21" s="21"/>
      <c r="Z21" s="31"/>
      <c r="AA21" s="21"/>
      <c r="AB21" s="21"/>
      <c r="AC21" s="31"/>
      <c r="AD21" s="21"/>
      <c r="AE21" s="21"/>
      <c r="AF21" s="31"/>
      <c r="AG21" s="31"/>
    </row>
    <row r="22" spans="1:33" ht="12.75">
      <c r="A22" s="26">
        <v>38384</v>
      </c>
      <c r="B22" t="s">
        <v>35</v>
      </c>
      <c r="C22" s="2">
        <f>+C20</f>
        <v>102214.25</v>
      </c>
      <c r="D22" s="28">
        <f>+D20</f>
        <v>0</v>
      </c>
      <c r="E22" s="28">
        <f>+E20</f>
        <v>102214.25</v>
      </c>
      <c r="F22" s="28">
        <f>+F20</f>
        <v>0</v>
      </c>
      <c r="G22" s="28">
        <f>+G20</f>
        <v>0</v>
      </c>
      <c r="K22" s="21"/>
      <c r="L22" s="21"/>
      <c r="M22" s="21"/>
      <c r="N22" s="21"/>
      <c r="O22" s="21"/>
      <c r="P22" s="31"/>
      <c r="Q22" s="21"/>
      <c r="R22" s="21"/>
      <c r="S22" s="31"/>
      <c r="T22" s="21"/>
      <c r="U22" s="21"/>
      <c r="V22" s="31"/>
      <c r="W22" s="31"/>
      <c r="X22" s="21"/>
      <c r="Y22" s="21"/>
      <c r="Z22" s="31"/>
      <c r="AA22" s="21"/>
      <c r="AB22" s="21"/>
      <c r="AC22" s="31"/>
      <c r="AD22" s="21"/>
      <c r="AE22" s="21"/>
      <c r="AF22" s="31"/>
      <c r="AG22" s="31"/>
    </row>
    <row r="23" spans="1:33" ht="12.75">
      <c r="A23" s="26"/>
      <c r="B23" t="s">
        <v>76</v>
      </c>
      <c r="C23" s="2">
        <v>102214.25</v>
      </c>
      <c r="D23" s="14"/>
      <c r="E23" s="28">
        <f>+C23</f>
        <v>102214.25</v>
      </c>
      <c r="F23" s="14"/>
      <c r="G23" s="14"/>
      <c r="K23" s="21"/>
      <c r="L23" s="21"/>
      <c r="M23" s="21"/>
      <c r="N23" s="21"/>
      <c r="O23" s="21"/>
      <c r="P23" s="31"/>
      <c r="Q23" s="21"/>
      <c r="R23" s="21"/>
      <c r="S23" s="31"/>
      <c r="T23" s="21"/>
      <c r="U23" s="21"/>
      <c r="V23" s="31"/>
      <c r="W23" s="31"/>
      <c r="X23" s="21"/>
      <c r="Y23" s="21"/>
      <c r="Z23" s="31"/>
      <c r="AA23" s="21"/>
      <c r="AB23" s="21"/>
      <c r="AC23" s="31"/>
      <c r="AD23" s="21"/>
      <c r="AE23" s="21"/>
      <c r="AF23" s="31"/>
      <c r="AG23" s="31"/>
    </row>
    <row r="24" spans="2:33" ht="12.75">
      <c r="B24" t="s">
        <v>70</v>
      </c>
      <c r="C24" s="2">
        <f>+E20*0.0725/365*30.42</f>
        <v>617.6121031849316</v>
      </c>
      <c r="D24" s="28">
        <f>+C24</f>
        <v>617.6121031849316</v>
      </c>
      <c r="E24" s="2">
        <v>0</v>
      </c>
      <c r="F24" s="2"/>
      <c r="K24" s="21"/>
      <c r="L24" s="21"/>
      <c r="M24" s="21"/>
      <c r="N24" s="21"/>
      <c r="O24" s="21"/>
      <c r="P24" s="31"/>
      <c r="Q24" s="21"/>
      <c r="R24" s="2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2:33" ht="13.5" thickBot="1">
      <c r="B25" s="27" t="s">
        <v>55</v>
      </c>
      <c r="C25" s="29">
        <f>SUM(C22:C24)</f>
        <v>205046.11210318492</v>
      </c>
      <c r="D25" s="29">
        <f>+D24+D20</f>
        <v>617.6121031849316</v>
      </c>
      <c r="E25" s="29">
        <f>SUM(E22:E24)</f>
        <v>204428.5</v>
      </c>
      <c r="F25" s="22">
        <f>+E25+D25</f>
        <v>205046.11210318492</v>
      </c>
      <c r="G25" s="29">
        <f>SUM(G22:G24)</f>
        <v>0</v>
      </c>
      <c r="K25" s="21"/>
      <c r="L25" s="21"/>
      <c r="M25" s="21"/>
      <c r="N25" s="21"/>
      <c r="O25" s="21"/>
      <c r="P25" s="31"/>
      <c r="Q25" s="21"/>
      <c r="R25" s="2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3:33" ht="13.5" thickTop="1">
      <c r="C26" s="37"/>
      <c r="D26" s="38"/>
      <c r="F26" s="2"/>
      <c r="K26" s="21"/>
      <c r="L26" s="21"/>
      <c r="M26" s="21"/>
      <c r="N26" s="21"/>
      <c r="O26" s="21"/>
      <c r="P26" s="31"/>
      <c r="Q26" s="21"/>
      <c r="R26" s="2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4:33" ht="12.75">
      <c r="D27" s="14"/>
      <c r="F27" s="2"/>
      <c r="K27" s="21"/>
      <c r="L27" s="21"/>
      <c r="M27" s="21"/>
      <c r="N27" s="21"/>
      <c r="O27" s="21"/>
      <c r="P27" s="31"/>
      <c r="Q27" s="21"/>
      <c r="R27" s="2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2.75">
      <c r="A28" s="26">
        <v>38412</v>
      </c>
      <c r="B28" t="s">
        <v>35</v>
      </c>
      <c r="C28" s="2">
        <f>+C25</f>
        <v>205046.11210318492</v>
      </c>
      <c r="D28" s="2">
        <f>+D25</f>
        <v>617.6121031849316</v>
      </c>
      <c r="E28" s="2">
        <f>+E25</f>
        <v>204428.5</v>
      </c>
      <c r="F28" s="2">
        <f>+F25</f>
        <v>205046.11210318492</v>
      </c>
      <c r="G28" s="2">
        <f>+G25</f>
        <v>0</v>
      </c>
      <c r="K28" s="21"/>
      <c r="L28" s="21"/>
      <c r="M28" s="21"/>
      <c r="N28" s="21"/>
      <c r="O28" s="21"/>
      <c r="P28" s="31"/>
      <c r="Q28" s="21"/>
      <c r="R28" s="2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2:33" ht="12.75">
      <c r="B29" t="s">
        <v>76</v>
      </c>
      <c r="C29" s="20">
        <v>102214.25</v>
      </c>
      <c r="E29" s="20">
        <f>+C29</f>
        <v>102214.25</v>
      </c>
      <c r="F29" s="2"/>
      <c r="G29" s="2">
        <v>0</v>
      </c>
      <c r="K29" s="21"/>
      <c r="L29" s="21"/>
      <c r="M29" s="21"/>
      <c r="N29" s="21"/>
      <c r="O29" s="21"/>
      <c r="P29" s="21"/>
      <c r="Q29" s="21"/>
      <c r="R29" s="21"/>
      <c r="S29" s="21"/>
      <c r="T29" s="31"/>
      <c r="U29" s="21"/>
      <c r="V29" s="31"/>
      <c r="W29" s="21"/>
      <c r="X29" s="31"/>
      <c r="Y29" s="21"/>
      <c r="Z29" s="21"/>
      <c r="AA29" s="31"/>
      <c r="AB29" s="21"/>
      <c r="AC29" s="21"/>
      <c r="AD29" s="31"/>
      <c r="AE29" s="21"/>
      <c r="AF29" s="31"/>
      <c r="AG29" s="31"/>
    </row>
    <row r="30" spans="2:33" ht="12.75">
      <c r="B30" t="s">
        <v>40</v>
      </c>
      <c r="C30" s="2">
        <f>+C28+C29</f>
        <v>307260.3621031849</v>
      </c>
      <c r="E30" s="2">
        <f>+E28+E29</f>
        <v>306642.75</v>
      </c>
      <c r="F30" s="2"/>
      <c r="K30" s="21"/>
      <c r="L30" s="21"/>
      <c r="M30" s="21"/>
      <c r="N30" s="21"/>
      <c r="O30" s="21"/>
      <c r="P30" s="21"/>
      <c r="Q30" s="21"/>
      <c r="R30" s="21"/>
      <c r="S30" s="21"/>
      <c r="T30" s="31"/>
      <c r="U30" s="21"/>
      <c r="V30" s="31"/>
      <c r="W30" s="21"/>
      <c r="X30" s="31"/>
      <c r="Y30" s="21"/>
      <c r="Z30" s="21"/>
      <c r="AA30" s="31"/>
      <c r="AB30" s="21"/>
      <c r="AC30" s="21"/>
      <c r="AD30" s="31"/>
      <c r="AE30" s="21"/>
      <c r="AF30" s="31"/>
      <c r="AG30" s="31"/>
    </row>
    <row r="31" spans="2:33" ht="12.75">
      <c r="B31" t="s">
        <v>70</v>
      </c>
      <c r="C31" s="2">
        <f>+E28*0.0725/365*30.42</f>
        <v>1235.2242063698632</v>
      </c>
      <c r="D31" s="2">
        <f>+C31</f>
        <v>1235.2242063698632</v>
      </c>
      <c r="E31" s="2">
        <v>0</v>
      </c>
      <c r="F31" s="2"/>
      <c r="K31" s="21"/>
      <c r="L31" s="21"/>
      <c r="M31" s="21"/>
      <c r="N31" s="21"/>
      <c r="O31" s="21"/>
      <c r="P31" s="21"/>
      <c r="Q31" s="21"/>
      <c r="R31" s="21"/>
      <c r="S31" s="21"/>
      <c r="T31" s="31"/>
      <c r="U31" s="21"/>
      <c r="V31" s="31"/>
      <c r="W31" s="21"/>
      <c r="X31" s="31"/>
      <c r="Y31" s="21"/>
      <c r="Z31" s="21"/>
      <c r="AA31" s="31"/>
      <c r="AB31" s="21"/>
      <c r="AC31" s="21"/>
      <c r="AD31" s="31"/>
      <c r="AE31" s="21"/>
      <c r="AF31" s="31"/>
      <c r="AG31" s="31"/>
    </row>
    <row r="32" spans="2:33" ht="13.5" thickBot="1">
      <c r="B32" t="s">
        <v>36</v>
      </c>
      <c r="C32" s="22">
        <f>+C30+C31</f>
        <v>308495.58630955475</v>
      </c>
      <c r="D32" s="29">
        <f>+D31+D25</f>
        <v>1852.8363095547948</v>
      </c>
      <c r="E32" s="22">
        <f>+E30+E31</f>
        <v>306642.75</v>
      </c>
      <c r="F32" s="22">
        <f>+E32+D32</f>
        <v>308495.5863095548</v>
      </c>
      <c r="G32" s="22">
        <f>+G29</f>
        <v>0</v>
      </c>
      <c r="K32" s="21"/>
      <c r="L32" s="21"/>
      <c r="M32" s="21"/>
      <c r="N32" s="21"/>
      <c r="O32" s="21"/>
      <c r="P32" s="31"/>
      <c r="Q32" s="21"/>
      <c r="R32" s="21"/>
      <c r="S32" s="21"/>
      <c r="T32" s="31"/>
      <c r="U32" s="21"/>
      <c r="V32" s="31"/>
      <c r="W32" s="21"/>
      <c r="X32" s="31"/>
      <c r="Y32" s="21"/>
      <c r="Z32" s="21"/>
      <c r="AA32" s="31"/>
      <c r="AB32" s="21"/>
      <c r="AC32" s="21"/>
      <c r="AD32" s="31"/>
      <c r="AE32" s="21"/>
      <c r="AF32" s="31"/>
      <c r="AG32" s="31"/>
    </row>
    <row r="33" spans="5:33" ht="13.5" thickTop="1">
      <c r="E33" s="4"/>
      <c r="F33" s="2"/>
      <c r="K33" s="21"/>
      <c r="L33" s="21"/>
      <c r="M33" s="21"/>
      <c r="N33" s="21"/>
      <c r="O33" s="21"/>
      <c r="P33" s="31"/>
      <c r="Q33" s="21"/>
      <c r="R33" s="2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2.75">
      <c r="A34" s="26">
        <v>38443</v>
      </c>
      <c r="B34" t="s">
        <v>41</v>
      </c>
      <c r="C34" s="2">
        <f>+C32</f>
        <v>308495.58630955475</v>
      </c>
      <c r="D34" s="2">
        <f>+D32</f>
        <v>1852.8363095547948</v>
      </c>
      <c r="E34" s="2">
        <f>+E32</f>
        <v>306642.75</v>
      </c>
      <c r="F34" s="2">
        <f>+F32</f>
        <v>308495.5863095548</v>
      </c>
      <c r="G34" s="2">
        <f>+G32</f>
        <v>0</v>
      </c>
      <c r="K34" s="21"/>
      <c r="L34" s="21"/>
      <c r="M34" s="21"/>
      <c r="N34" s="21"/>
      <c r="O34" s="21"/>
      <c r="P34" s="31"/>
      <c r="Q34" s="21"/>
      <c r="R34" s="2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2.75">
      <c r="A35" s="26"/>
      <c r="B35" t="s">
        <v>76</v>
      </c>
      <c r="C35" s="2">
        <f>+C6</f>
        <v>104402.5</v>
      </c>
      <c r="E35" s="20">
        <f>+C35</f>
        <v>104402.5</v>
      </c>
      <c r="F35" s="2"/>
      <c r="K35" s="21"/>
      <c r="L35" s="21"/>
      <c r="M35" s="21"/>
      <c r="N35" s="21"/>
      <c r="O35" s="21"/>
      <c r="P35" s="31"/>
      <c r="Q35" s="21"/>
      <c r="R35" s="2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2:33" ht="12.75">
      <c r="B36" t="s">
        <v>42</v>
      </c>
      <c r="C36" s="20">
        <f>-'Festival Apr 05'!N34</f>
        <v>-26792.63983735107</v>
      </c>
      <c r="E36" s="20">
        <f>+C36</f>
        <v>-26792.63983735107</v>
      </c>
      <c r="F36" s="2"/>
      <c r="G36" s="2">
        <f>-E36</f>
        <v>26792.63983735107</v>
      </c>
      <c r="K36" s="21"/>
      <c r="L36" s="21"/>
      <c r="M36" s="21"/>
      <c r="N36" s="21"/>
      <c r="O36" s="21"/>
      <c r="P36" s="31"/>
      <c r="Q36" s="21"/>
      <c r="R36" s="2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2:33" ht="12.75">
      <c r="B37" t="s">
        <v>40</v>
      </c>
      <c r="C37" s="2">
        <f>SUM(C34:C36)</f>
        <v>386105.4464722037</v>
      </c>
      <c r="E37" s="2">
        <f>SUM(E34:E36)</f>
        <v>384252.61016264895</v>
      </c>
      <c r="F37" s="2"/>
      <c r="K37" s="21"/>
      <c r="L37" s="21"/>
      <c r="M37" s="21"/>
      <c r="N37" s="21"/>
      <c r="O37" s="21"/>
      <c r="P37" s="31"/>
      <c r="Q37" s="21"/>
      <c r="R37" s="2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2:33" ht="12.75">
      <c r="B38" t="s">
        <v>70</v>
      </c>
      <c r="C38" s="2">
        <f>+E34*0.0725/365*30.42</f>
        <v>1852.8363095547945</v>
      </c>
      <c r="D38" s="2">
        <f>+C38</f>
        <v>1852.8363095547945</v>
      </c>
      <c r="E38" s="2">
        <v>0</v>
      </c>
      <c r="F38" s="2"/>
      <c r="K38" s="21"/>
      <c r="L38" s="21"/>
      <c r="M38" s="21"/>
      <c r="N38" s="21"/>
      <c r="O38" s="21"/>
      <c r="P38" s="21"/>
      <c r="Q38" s="21"/>
      <c r="R38" s="21"/>
      <c r="S38" s="21"/>
      <c r="T38" s="31"/>
      <c r="U38" s="21"/>
      <c r="V38" s="31"/>
      <c r="W38" s="21"/>
      <c r="X38" s="31"/>
      <c r="Y38" s="21"/>
      <c r="Z38" s="21"/>
      <c r="AA38" s="31"/>
      <c r="AB38" s="21"/>
      <c r="AC38" s="21"/>
      <c r="AD38" s="31"/>
      <c r="AE38" s="21"/>
      <c r="AF38" s="31"/>
      <c r="AG38" s="31"/>
    </row>
    <row r="39" spans="2:33" ht="13.5" thickBot="1">
      <c r="B39" t="s">
        <v>43</v>
      </c>
      <c r="C39" s="22">
        <f>+C37+C38</f>
        <v>387958.2827817585</v>
      </c>
      <c r="D39" s="22">
        <f>+D32+D38</f>
        <v>3705.6726191095895</v>
      </c>
      <c r="E39" s="22">
        <f>+E37+E38</f>
        <v>384252.61016264895</v>
      </c>
      <c r="F39" s="22">
        <f>+E39+D39</f>
        <v>387958.2827817585</v>
      </c>
      <c r="G39" s="22">
        <f>+G32+G36</f>
        <v>26792.63983735107</v>
      </c>
      <c r="K39" s="21"/>
      <c r="L39" s="21"/>
      <c r="M39" s="21"/>
      <c r="N39" s="21"/>
      <c r="O39" s="21"/>
      <c r="P39" s="31"/>
      <c r="Q39" s="21"/>
      <c r="R39" s="2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5:33" ht="13.5" thickTop="1">
      <c r="E40" s="4"/>
      <c r="F40" s="2"/>
      <c r="K40" s="21"/>
      <c r="L40" s="21"/>
      <c r="M40" s="21"/>
      <c r="N40" s="21"/>
      <c r="O40" s="21"/>
      <c r="P40" s="31"/>
      <c r="Q40" s="21"/>
      <c r="R40" s="2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2.75">
      <c r="A41" s="26">
        <v>38473</v>
      </c>
      <c r="B41" t="s">
        <v>46</v>
      </c>
      <c r="C41" s="2">
        <f>+C39</f>
        <v>387958.2827817585</v>
      </c>
      <c r="D41" s="2">
        <f>+D39</f>
        <v>3705.6726191095895</v>
      </c>
      <c r="E41" s="2">
        <f>+E39</f>
        <v>384252.61016264895</v>
      </c>
      <c r="F41" s="2">
        <f>+F39</f>
        <v>387958.2827817585</v>
      </c>
      <c r="G41" s="2">
        <f>+G39</f>
        <v>26792.63983735107</v>
      </c>
      <c r="K41" s="21"/>
      <c r="L41" s="21"/>
      <c r="M41" s="21"/>
      <c r="N41" s="21"/>
      <c r="O41" s="21"/>
      <c r="P41" s="31"/>
      <c r="Q41" s="21"/>
      <c r="R41" s="2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2.75">
      <c r="A42" s="26"/>
      <c r="B42" t="s">
        <v>76</v>
      </c>
      <c r="C42" s="2">
        <f>+C6</f>
        <v>104402.5</v>
      </c>
      <c r="E42" s="2">
        <f>+C42</f>
        <v>104402.5</v>
      </c>
      <c r="F42" s="2"/>
      <c r="K42" s="21"/>
      <c r="L42" s="21"/>
      <c r="M42" s="21"/>
      <c r="N42" s="21"/>
      <c r="O42" s="21"/>
      <c r="P42" s="31"/>
      <c r="Q42" s="21"/>
      <c r="R42" s="2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2:33" ht="12.75">
      <c r="B43" t="s">
        <v>44</v>
      </c>
      <c r="C43" s="20">
        <f>-'Festival May 05'!N34</f>
        <v>-95126.14075975001</v>
      </c>
      <c r="E43" s="20">
        <f>+C43</f>
        <v>-95126.14075975001</v>
      </c>
      <c r="F43" s="2"/>
      <c r="G43" s="2">
        <f>-E43</f>
        <v>95126.14075975001</v>
      </c>
      <c r="K43" s="21"/>
      <c r="L43" s="21"/>
      <c r="M43" s="21"/>
      <c r="N43" s="21"/>
      <c r="O43" s="21"/>
      <c r="P43" s="21"/>
      <c r="Q43" s="21"/>
      <c r="R43" s="21"/>
      <c r="S43" s="21"/>
      <c r="T43" s="31"/>
      <c r="U43" s="21"/>
      <c r="V43" s="31"/>
      <c r="W43" s="21"/>
      <c r="X43" s="31"/>
      <c r="Y43" s="21"/>
      <c r="Z43" s="21"/>
      <c r="AA43" s="31"/>
      <c r="AB43" s="21"/>
      <c r="AC43" s="21"/>
      <c r="AD43" s="31"/>
      <c r="AE43" s="21"/>
      <c r="AF43" s="31"/>
      <c r="AG43" s="31"/>
    </row>
    <row r="44" spans="2:33" ht="12.75">
      <c r="B44" t="s">
        <v>45</v>
      </c>
      <c r="C44" s="2">
        <f>SUM(C41:C43)</f>
        <v>397234.64202200854</v>
      </c>
      <c r="E44" s="2">
        <f>SUM(E41:E43)</f>
        <v>393528.9694028989</v>
      </c>
      <c r="F44" s="2"/>
      <c r="K44" s="21"/>
      <c r="L44" s="21"/>
      <c r="M44" s="21"/>
      <c r="N44" s="21"/>
      <c r="O44" s="21"/>
      <c r="P44" s="31"/>
      <c r="Q44" s="21"/>
      <c r="R44" s="2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2:33" ht="12.75">
      <c r="B45" t="s">
        <v>70</v>
      </c>
      <c r="C45" s="2">
        <f>+E41*0.0725/365*30.42</f>
        <v>2321.780600227984</v>
      </c>
      <c r="D45" s="2">
        <f>+C45</f>
        <v>2321.780600227984</v>
      </c>
      <c r="E45" s="2">
        <v>0</v>
      </c>
      <c r="F45" s="2"/>
      <c r="K45" s="21"/>
      <c r="L45" s="21"/>
      <c r="M45" s="21"/>
      <c r="N45" s="21"/>
      <c r="O45" s="21"/>
      <c r="P45" s="31"/>
      <c r="Q45" s="21"/>
      <c r="R45" s="2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2:33" ht="13.5" thickBot="1">
      <c r="B46" t="s">
        <v>48</v>
      </c>
      <c r="C46" s="22">
        <f>+C44+C45</f>
        <v>399556.42262223654</v>
      </c>
      <c r="D46" s="22">
        <f>+D39+D45</f>
        <v>6027.4532193375735</v>
      </c>
      <c r="E46" s="22">
        <f>+E44+E45</f>
        <v>393528.9694028989</v>
      </c>
      <c r="F46" s="22">
        <f>+E46+D46</f>
        <v>399556.4226222365</v>
      </c>
      <c r="G46" s="22">
        <f>+G39+G43</f>
        <v>121918.78059710108</v>
      </c>
      <c r="K46" s="21"/>
      <c r="L46" s="21"/>
      <c r="M46" s="21"/>
      <c r="N46" s="21"/>
      <c r="O46" s="21"/>
      <c r="P46" s="21"/>
      <c r="Q46" s="21"/>
      <c r="R46" s="21"/>
      <c r="S46" s="21"/>
      <c r="T46" s="31"/>
      <c r="U46" s="21"/>
      <c r="V46" s="31"/>
      <c r="W46" s="21"/>
      <c r="X46" s="31"/>
      <c r="Y46" s="21"/>
      <c r="Z46" s="21"/>
      <c r="AA46" s="31"/>
      <c r="AB46" s="21"/>
      <c r="AC46" s="21"/>
      <c r="AD46" s="31"/>
      <c r="AE46" s="21"/>
      <c r="AF46" s="31"/>
      <c r="AG46" s="31"/>
    </row>
    <row r="47" spans="5:33" ht="13.5" thickTop="1">
      <c r="E47" s="4"/>
      <c r="F47" s="2"/>
      <c r="K47" s="21"/>
      <c r="L47" s="21"/>
      <c r="M47" s="21"/>
      <c r="N47" s="21"/>
      <c r="O47" s="21"/>
      <c r="P47" s="31"/>
      <c r="Q47" s="21"/>
      <c r="R47" s="2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2.75">
      <c r="A48" s="26">
        <v>38504</v>
      </c>
      <c r="B48" t="s">
        <v>49</v>
      </c>
      <c r="C48" s="2">
        <f>+C46</f>
        <v>399556.42262223654</v>
      </c>
      <c r="D48" s="2">
        <f>+D46</f>
        <v>6027.4532193375735</v>
      </c>
      <c r="E48" s="2">
        <f>+E46</f>
        <v>393528.9694028989</v>
      </c>
      <c r="F48" s="2">
        <f>+F46</f>
        <v>399556.4226222365</v>
      </c>
      <c r="G48" s="2">
        <f>+G46</f>
        <v>121918.78059710108</v>
      </c>
      <c r="K48" s="21"/>
      <c r="L48" s="21"/>
      <c r="M48" s="21"/>
      <c r="N48" s="21"/>
      <c r="O48" s="21"/>
      <c r="P48" s="31"/>
      <c r="Q48" s="21"/>
      <c r="R48" s="2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2.75">
      <c r="A49" s="26"/>
      <c r="B49" t="s">
        <v>76</v>
      </c>
      <c r="C49" s="2">
        <f>+C6</f>
        <v>104402.5</v>
      </c>
      <c r="E49" s="2">
        <f>+C49</f>
        <v>104402.5</v>
      </c>
      <c r="F49" s="2"/>
      <c r="K49" s="21"/>
      <c r="L49" s="21"/>
      <c r="M49" s="21"/>
      <c r="N49" s="21"/>
      <c r="O49" s="21"/>
      <c r="P49" s="31"/>
      <c r="Q49" s="21"/>
      <c r="R49" s="2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2:33" ht="12.75">
      <c r="B50" t="s">
        <v>50</v>
      </c>
      <c r="C50" s="20">
        <f>-'Festival Jun 05'!N34</f>
        <v>-92899.36153674999</v>
      </c>
      <c r="E50" s="20">
        <f>+C50</f>
        <v>-92899.36153674999</v>
      </c>
      <c r="F50" s="2"/>
      <c r="G50" s="2">
        <f>-E50</f>
        <v>92899.36153674999</v>
      </c>
      <c r="K50" s="21"/>
      <c r="L50" s="21"/>
      <c r="M50" s="21"/>
      <c r="N50" s="21"/>
      <c r="O50" s="21"/>
      <c r="P50" s="31"/>
      <c r="Q50" s="21"/>
      <c r="R50" s="2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2:33" ht="12.75">
      <c r="B51" t="s">
        <v>51</v>
      </c>
      <c r="C51" s="2">
        <f>SUM(C48:C50)</f>
        <v>411059.56108548655</v>
      </c>
      <c r="E51" s="2">
        <f>SUM(E48:E50)</f>
        <v>405032.10786614893</v>
      </c>
      <c r="F51" s="2"/>
      <c r="K51" s="21"/>
      <c r="L51" s="21"/>
      <c r="M51" s="21"/>
      <c r="N51" s="21"/>
      <c r="O51" s="21"/>
      <c r="P51" s="21"/>
      <c r="Q51" s="21"/>
      <c r="R51" s="21"/>
      <c r="S51" s="21"/>
      <c r="T51" s="31"/>
      <c r="U51" s="21"/>
      <c r="V51" s="31"/>
      <c r="W51" s="21"/>
      <c r="X51" s="31"/>
      <c r="Y51" s="21"/>
      <c r="Z51" s="21"/>
      <c r="AA51" s="31"/>
      <c r="AB51" s="21"/>
      <c r="AC51" s="21"/>
      <c r="AD51" s="31"/>
      <c r="AE51" s="21"/>
      <c r="AF51" s="31"/>
      <c r="AG51" s="31"/>
    </row>
    <row r="52" spans="2:33" ht="12.75">
      <c r="B52" t="s">
        <v>70</v>
      </c>
      <c r="C52" s="2">
        <f>+E48*0.0725/365*30.42</f>
        <v>2377.831412519516</v>
      </c>
      <c r="D52" s="2">
        <f>+C52</f>
        <v>2377.831412519516</v>
      </c>
      <c r="E52" s="2">
        <v>0</v>
      </c>
      <c r="F52" s="2"/>
      <c r="K52" s="21"/>
      <c r="L52" s="21"/>
      <c r="M52" s="21"/>
      <c r="N52" s="21"/>
      <c r="O52" s="21"/>
      <c r="P52" s="31"/>
      <c r="Q52" s="21"/>
      <c r="R52" s="2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2:33" ht="13.5" thickBot="1">
      <c r="B53" t="s">
        <v>52</v>
      </c>
      <c r="C53" s="22">
        <f>+C51+C52</f>
        <v>413437.39249800605</v>
      </c>
      <c r="D53" s="22">
        <f>+D46+D52</f>
        <v>8405.28463185709</v>
      </c>
      <c r="E53" s="22">
        <f>+E51+E52</f>
        <v>405032.10786614893</v>
      </c>
      <c r="F53" s="22">
        <f>+E53+D53</f>
        <v>413437.392498006</v>
      </c>
      <c r="G53" s="22">
        <f>+G46+G50</f>
        <v>214818.14213385107</v>
      </c>
      <c r="K53" s="21"/>
      <c r="L53" s="21"/>
      <c r="M53" s="21"/>
      <c r="N53" s="21"/>
      <c r="O53" s="21"/>
      <c r="P53" s="21"/>
      <c r="Q53" s="21"/>
      <c r="R53" s="21"/>
      <c r="S53" s="21"/>
      <c r="T53" s="31"/>
      <c r="U53" s="21"/>
      <c r="V53" s="31"/>
      <c r="W53" s="21"/>
      <c r="X53" s="31"/>
      <c r="Y53" s="21"/>
      <c r="Z53" s="21"/>
      <c r="AA53" s="31"/>
      <c r="AB53" s="21"/>
      <c r="AC53" s="21"/>
      <c r="AD53" s="31"/>
      <c r="AE53" s="21"/>
      <c r="AF53" s="31"/>
      <c r="AG53" s="31"/>
    </row>
    <row r="54" spans="9:15" ht="13.5" thickTop="1">
      <c r="I54"/>
      <c r="J54" s="21"/>
      <c r="K54" s="24"/>
      <c r="M54" s="3"/>
      <c r="N54"/>
      <c r="O54"/>
    </row>
    <row r="55" spans="1:15" ht="12.75">
      <c r="A55" s="26">
        <v>38534</v>
      </c>
      <c r="B55" t="s">
        <v>49</v>
      </c>
      <c r="C55" s="2">
        <f>+C53</f>
        <v>413437.39249800605</v>
      </c>
      <c r="D55" s="2">
        <f>+D53</f>
        <v>8405.28463185709</v>
      </c>
      <c r="E55" s="2">
        <f>+E53</f>
        <v>405032.10786614893</v>
      </c>
      <c r="F55" s="2">
        <f>+F53</f>
        <v>413437.392498006</v>
      </c>
      <c r="G55" s="2">
        <f>+G53</f>
        <v>214818.14213385107</v>
      </c>
      <c r="I55"/>
      <c r="J55" s="21"/>
      <c r="K55" s="24"/>
      <c r="M55" s="3"/>
      <c r="N55"/>
      <c r="O55"/>
    </row>
    <row r="56" spans="1:15" ht="12.75">
      <c r="A56" s="26"/>
      <c r="B56" t="s">
        <v>76</v>
      </c>
      <c r="C56" s="2">
        <f>+$C$6</f>
        <v>104402.5</v>
      </c>
      <c r="E56" s="2">
        <f>+C56</f>
        <v>104402.5</v>
      </c>
      <c r="F56" s="2"/>
      <c r="I56"/>
      <c r="J56" s="21"/>
      <c r="K56" s="24"/>
      <c r="M56" s="3"/>
      <c r="N56"/>
      <c r="O56"/>
    </row>
    <row r="57" spans="2:15" ht="12.75">
      <c r="B57" t="s">
        <v>58</v>
      </c>
      <c r="C57" s="20">
        <f>-'Festival Jul 05 '!N34</f>
        <v>-108766.33863999999</v>
      </c>
      <c r="E57" s="20">
        <f>+C57</f>
        <v>-108766.33863999999</v>
      </c>
      <c r="F57" s="2"/>
      <c r="G57" s="2">
        <f>-E57</f>
        <v>108766.33863999999</v>
      </c>
      <c r="I57"/>
      <c r="J57" s="21"/>
      <c r="K57" s="24"/>
      <c r="M57" s="3"/>
      <c r="N57"/>
      <c r="O57"/>
    </row>
    <row r="58" spans="2:15" ht="12.75">
      <c r="B58" t="s">
        <v>74</v>
      </c>
      <c r="C58" s="2">
        <f>SUM(C55:C57)</f>
        <v>409073.5538580061</v>
      </c>
      <c r="E58" s="2">
        <f>SUM(E55:E57)</f>
        <v>400668.26922614896</v>
      </c>
      <c r="F58" s="2"/>
      <c r="I58"/>
      <c r="J58" s="21"/>
      <c r="K58" s="24"/>
      <c r="M58" s="3"/>
      <c r="N58"/>
      <c r="O58"/>
    </row>
    <row r="59" spans="2:15" ht="12.75">
      <c r="B59" t="s">
        <v>70</v>
      </c>
      <c r="C59" s="2">
        <f>+E55*0.0725/365*31</f>
        <v>2493.99907514841</v>
      </c>
      <c r="D59" s="2">
        <f>+C59</f>
        <v>2493.99907514841</v>
      </c>
      <c r="E59" s="2">
        <v>0</v>
      </c>
      <c r="F59" s="2"/>
      <c r="I59"/>
      <c r="J59" s="21"/>
      <c r="K59" s="24"/>
      <c r="M59" s="3"/>
      <c r="N59"/>
      <c r="O59"/>
    </row>
    <row r="60" spans="2:15" ht="13.5" thickBot="1">
      <c r="B60" t="s">
        <v>73</v>
      </c>
      <c r="C60" s="22">
        <f>+C58+C59</f>
        <v>411567.5529331545</v>
      </c>
      <c r="D60" s="22">
        <f>+D55+D59</f>
        <v>10899.2837070055</v>
      </c>
      <c r="E60" s="22">
        <f>+E58+E59</f>
        <v>400668.26922614896</v>
      </c>
      <c r="F60" s="22">
        <f>+E60+D60</f>
        <v>411567.55293315445</v>
      </c>
      <c r="G60" s="22">
        <f>SUM(G55:G59)</f>
        <v>323584.48077385104</v>
      </c>
      <c r="I60"/>
      <c r="J60" s="21"/>
      <c r="K60" s="24"/>
      <c r="M60" s="3"/>
      <c r="N60"/>
      <c r="O60"/>
    </row>
    <row r="61" spans="9:15" ht="13.5" thickTop="1">
      <c r="I61"/>
      <c r="J61" s="21"/>
      <c r="K61" s="24"/>
      <c r="M61" s="3"/>
      <c r="N61"/>
      <c r="O61"/>
    </row>
    <row r="62" spans="1:15" ht="12.75">
      <c r="A62" s="26">
        <v>38565</v>
      </c>
      <c r="B62" t="s">
        <v>49</v>
      </c>
      <c r="C62" s="2">
        <f>+C60</f>
        <v>411567.5529331545</v>
      </c>
      <c r="D62" s="2">
        <f>+D60</f>
        <v>10899.2837070055</v>
      </c>
      <c r="E62" s="2">
        <f>+E60</f>
        <v>400668.26922614896</v>
      </c>
      <c r="F62" s="2">
        <f>+F60</f>
        <v>411567.55293315445</v>
      </c>
      <c r="G62" s="2">
        <f>+G60</f>
        <v>323584.48077385104</v>
      </c>
      <c r="I62"/>
      <c r="J62" s="21"/>
      <c r="K62" s="24"/>
      <c r="M62" s="3"/>
      <c r="N62"/>
      <c r="O62"/>
    </row>
    <row r="63" spans="1:15" ht="12.75">
      <c r="A63" s="26"/>
      <c r="B63" t="s">
        <v>76</v>
      </c>
      <c r="C63" s="2">
        <f>+$C$6</f>
        <v>104402.5</v>
      </c>
      <c r="E63" s="2">
        <f>+C63</f>
        <v>104402.5</v>
      </c>
      <c r="F63" s="2"/>
      <c r="I63"/>
      <c r="J63" s="21"/>
      <c r="K63" s="24"/>
      <c r="M63" s="3"/>
      <c r="N63"/>
      <c r="O63"/>
    </row>
    <row r="64" spans="2:15" ht="12.75">
      <c r="B64" t="s">
        <v>57</v>
      </c>
      <c r="C64" s="20">
        <f>-'Festival Aug 05'!N34</f>
        <v>-115728.065425</v>
      </c>
      <c r="E64" s="20">
        <f>+C64</f>
        <v>-115728.065425</v>
      </c>
      <c r="F64" s="2"/>
      <c r="G64" s="2">
        <f>-E64</f>
        <v>115728.065425</v>
      </c>
      <c r="I64"/>
      <c r="J64" s="21"/>
      <c r="K64" s="24"/>
      <c r="M64" s="3"/>
      <c r="N64"/>
      <c r="O64"/>
    </row>
    <row r="65" spans="2:15" ht="12.75">
      <c r="B65" t="s">
        <v>74</v>
      </c>
      <c r="C65" s="2">
        <f>SUM(C62:C64)</f>
        <v>400241.98750815453</v>
      </c>
      <c r="E65" s="2">
        <f>SUM(E62:E64)</f>
        <v>389342.703801149</v>
      </c>
      <c r="F65" s="2"/>
      <c r="I65"/>
      <c r="J65" s="21"/>
      <c r="K65" s="24"/>
      <c r="M65" s="3"/>
      <c r="N65"/>
      <c r="O65"/>
    </row>
    <row r="66" spans="2:15" ht="12.75">
      <c r="B66" t="s">
        <v>70</v>
      </c>
      <c r="C66" s="2">
        <f>+E62*0.0725/365*31</f>
        <v>2467.1285892760816</v>
      </c>
      <c r="D66" s="2">
        <f>+C66</f>
        <v>2467.1285892760816</v>
      </c>
      <c r="E66" s="2">
        <v>0</v>
      </c>
      <c r="F66" s="2"/>
      <c r="I66"/>
      <c r="J66" s="21"/>
      <c r="K66" s="24"/>
      <c r="M66" s="3"/>
      <c r="N66"/>
      <c r="O66"/>
    </row>
    <row r="67" spans="2:15" ht="13.5" thickBot="1">
      <c r="B67" t="s">
        <v>73</v>
      </c>
      <c r="C67" s="22">
        <f>+C65+C66</f>
        <v>402709.11609743064</v>
      </c>
      <c r="D67" s="22">
        <f>+D62+D66</f>
        <v>13366.412296281582</v>
      </c>
      <c r="E67" s="22">
        <f>+E65+E66</f>
        <v>389342.703801149</v>
      </c>
      <c r="F67" s="22">
        <f>+E67+D67</f>
        <v>402709.1160974306</v>
      </c>
      <c r="G67" s="22">
        <f>SUM(G62:G66)</f>
        <v>439312.546198851</v>
      </c>
      <c r="I67"/>
      <c r="J67" s="21"/>
      <c r="K67" s="24"/>
      <c r="M67" s="3"/>
      <c r="N67"/>
      <c r="O67"/>
    </row>
    <row r="68" spans="9:15" ht="13.5" thickTop="1">
      <c r="I68"/>
      <c r="J68" s="21"/>
      <c r="K68" s="24"/>
      <c r="M68" s="3"/>
      <c r="N68"/>
      <c r="O68"/>
    </row>
    <row r="69" spans="1:15" ht="12.75">
      <c r="A69" s="32"/>
      <c r="I69"/>
      <c r="J69" s="21"/>
      <c r="K69" s="24"/>
      <c r="M69" s="3"/>
      <c r="N69"/>
      <c r="O69"/>
    </row>
    <row r="70" spans="3:15" ht="12.75">
      <c r="C70" s="21"/>
      <c r="I70"/>
      <c r="J70" s="21"/>
      <c r="K70" s="24"/>
      <c r="M70" s="3"/>
      <c r="N70"/>
      <c r="O70"/>
    </row>
    <row r="71" spans="1:15" ht="12.75">
      <c r="A71" s="26">
        <v>38596</v>
      </c>
      <c r="B71" t="s">
        <v>49</v>
      </c>
      <c r="C71" s="2">
        <f>+C67</f>
        <v>402709.11609743064</v>
      </c>
      <c r="D71" s="2">
        <f>+D67</f>
        <v>13366.412296281582</v>
      </c>
      <c r="E71" s="2">
        <f>+E67</f>
        <v>389342.703801149</v>
      </c>
      <c r="F71" s="2">
        <f>+F67</f>
        <v>402709.1160974306</v>
      </c>
      <c r="G71" s="2">
        <f>+G67</f>
        <v>439312.546198851</v>
      </c>
      <c r="I71"/>
      <c r="J71" s="21"/>
      <c r="K71" s="24"/>
      <c r="M71" s="3"/>
      <c r="N71"/>
      <c r="O71"/>
    </row>
    <row r="72" spans="1:15" ht="12.75">
      <c r="A72" s="26"/>
      <c r="B72" t="s">
        <v>76</v>
      </c>
      <c r="C72" s="2">
        <f>+$C$6</f>
        <v>104402.5</v>
      </c>
      <c r="E72" s="2">
        <f>+C72</f>
        <v>104402.5</v>
      </c>
      <c r="F72" s="2"/>
      <c r="I72"/>
      <c r="J72" s="21"/>
      <c r="K72" s="24"/>
      <c r="M72" s="3"/>
      <c r="N72"/>
      <c r="O72"/>
    </row>
    <row r="73" spans="2:15" ht="12.75">
      <c r="B73" t="s">
        <v>62</v>
      </c>
      <c r="C73" s="20">
        <f>-'Festival Sep 05'!N34</f>
        <v>-109333.05411900002</v>
      </c>
      <c r="E73" s="20">
        <f>+C73</f>
        <v>-109333.05411900002</v>
      </c>
      <c r="F73" s="2"/>
      <c r="G73" s="2">
        <f>-E73</f>
        <v>109333.05411900002</v>
      </c>
      <c r="I73"/>
      <c r="J73" s="21"/>
      <c r="K73" s="24"/>
      <c r="M73" s="3"/>
      <c r="N73"/>
      <c r="O73"/>
    </row>
    <row r="74" spans="2:15" ht="12.75">
      <c r="B74" t="s">
        <v>74</v>
      </c>
      <c r="C74" s="2">
        <f>SUM(C71:C73)</f>
        <v>397778.5619784306</v>
      </c>
      <c r="E74" s="2">
        <f>SUM(E71:E73)</f>
        <v>384412.14968214894</v>
      </c>
      <c r="F74" s="2"/>
      <c r="I74"/>
      <c r="J74" s="21"/>
      <c r="K74" s="24"/>
      <c r="M74" s="3"/>
      <c r="N74"/>
      <c r="O74"/>
    </row>
    <row r="75" spans="2:15" ht="12.75">
      <c r="B75" t="s">
        <v>70</v>
      </c>
      <c r="C75" s="2">
        <f>+E71*0.0725/365*30</f>
        <v>2320.055837719175</v>
      </c>
      <c r="D75" s="2">
        <f>+C75</f>
        <v>2320.055837719175</v>
      </c>
      <c r="E75" s="2">
        <v>0</v>
      </c>
      <c r="F75" s="2"/>
      <c r="I75"/>
      <c r="J75" s="21"/>
      <c r="K75" s="24"/>
      <c r="M75" s="3"/>
      <c r="N75"/>
      <c r="O75"/>
    </row>
    <row r="76" spans="2:15" ht="13.5" thickBot="1">
      <c r="B76" t="s">
        <v>73</v>
      </c>
      <c r="C76" s="22">
        <f>+C74+C75</f>
        <v>400098.6178161498</v>
      </c>
      <c r="D76" s="22">
        <f>+D71+D75</f>
        <v>15686.468134000757</v>
      </c>
      <c r="E76" s="22">
        <f>+E74+E75</f>
        <v>384412.14968214894</v>
      </c>
      <c r="F76" s="22">
        <f>+E76+D76</f>
        <v>400098.6178161497</v>
      </c>
      <c r="G76" s="22">
        <f>SUM(G71:G75)</f>
        <v>548645.600317851</v>
      </c>
      <c r="I76"/>
      <c r="J76" s="21"/>
      <c r="K76" s="24"/>
      <c r="M76" s="3"/>
      <c r="N76"/>
      <c r="O76"/>
    </row>
    <row r="77" spans="9:15" ht="13.5" thickTop="1">
      <c r="I77"/>
      <c r="J77" s="21"/>
      <c r="K77" s="24"/>
      <c r="M77" s="3"/>
      <c r="N77"/>
      <c r="O77"/>
    </row>
    <row r="78" spans="1:15" ht="12.75" hidden="1">
      <c r="A78" s="26">
        <v>38626</v>
      </c>
      <c r="B78" t="s">
        <v>49</v>
      </c>
      <c r="C78" s="2">
        <f>+C76</f>
        <v>400098.6178161498</v>
      </c>
      <c r="D78" s="2">
        <f>+D76</f>
        <v>15686.468134000757</v>
      </c>
      <c r="E78" s="2">
        <f>+E76</f>
        <v>384412.14968214894</v>
      </c>
      <c r="F78" s="2">
        <f>+F76</f>
        <v>400098.6178161497</v>
      </c>
      <c r="G78" s="2">
        <f>+G76</f>
        <v>548645.600317851</v>
      </c>
      <c r="I78"/>
      <c r="J78" s="21"/>
      <c r="K78" s="24"/>
      <c r="M78" s="3"/>
      <c r="N78"/>
      <c r="O78"/>
    </row>
    <row r="79" spans="1:15" ht="12.75" hidden="1">
      <c r="A79" s="26"/>
      <c r="B79" t="s">
        <v>76</v>
      </c>
      <c r="C79" s="2">
        <f>+$C$6</f>
        <v>104402.5</v>
      </c>
      <c r="E79" s="2">
        <f>+C79</f>
        <v>104402.5</v>
      </c>
      <c r="F79" s="2"/>
      <c r="I79"/>
      <c r="J79" s="21"/>
      <c r="K79" s="24"/>
      <c r="M79" s="3"/>
      <c r="N79"/>
      <c r="O79"/>
    </row>
    <row r="80" spans="2:15" ht="12.75" hidden="1">
      <c r="B80" t="s">
        <v>63</v>
      </c>
      <c r="C80" s="20">
        <v>0</v>
      </c>
      <c r="E80" s="20">
        <f>+C80</f>
        <v>0</v>
      </c>
      <c r="F80" s="2"/>
      <c r="G80" s="2">
        <f>-E80</f>
        <v>0</v>
      </c>
      <c r="I80"/>
      <c r="J80" s="21"/>
      <c r="K80" s="24"/>
      <c r="M80" s="3"/>
      <c r="N80"/>
      <c r="O80"/>
    </row>
    <row r="81" spans="2:15" ht="12.75" hidden="1">
      <c r="B81" t="s">
        <v>74</v>
      </c>
      <c r="C81" s="2">
        <f>SUM(C78:C80)</f>
        <v>504501.1178161498</v>
      </c>
      <c r="E81" s="2">
        <f>SUM(E78:E80)</f>
        <v>488814.64968214894</v>
      </c>
      <c r="F81" s="2"/>
      <c r="I81"/>
      <c r="J81" s="21"/>
      <c r="K81" s="24"/>
      <c r="M81" s="3"/>
      <c r="N81"/>
      <c r="O81"/>
    </row>
    <row r="82" spans="2:15" ht="12.75" hidden="1">
      <c r="B82" t="s">
        <v>70</v>
      </c>
      <c r="C82" s="2">
        <f>+E78*0.0725/365*31</f>
        <v>2367.0309764674785</v>
      </c>
      <c r="D82" s="2">
        <f>+C82</f>
        <v>2367.0309764674785</v>
      </c>
      <c r="E82" s="2">
        <v>0</v>
      </c>
      <c r="F82" s="2"/>
      <c r="I82"/>
      <c r="J82" s="21"/>
      <c r="K82" s="24"/>
      <c r="M82" s="3"/>
      <c r="N82"/>
      <c r="O82"/>
    </row>
    <row r="83" spans="2:15" ht="13.5" hidden="1" thickBot="1">
      <c r="B83" t="s">
        <v>73</v>
      </c>
      <c r="C83" s="22">
        <f>+C81+C82</f>
        <v>506868.14879261726</v>
      </c>
      <c r="D83" s="22">
        <f>+D78+D82</f>
        <v>18053.499110468234</v>
      </c>
      <c r="E83" s="22">
        <f>+E81+E82</f>
        <v>488814.64968214894</v>
      </c>
      <c r="F83" s="22">
        <f>+E83+D83</f>
        <v>506868.1487926172</v>
      </c>
      <c r="G83" s="22">
        <f>SUM(G78:G82)</f>
        <v>548645.600317851</v>
      </c>
      <c r="I83"/>
      <c r="J83" s="21"/>
      <c r="K83" s="24"/>
      <c r="M83" s="3"/>
      <c r="N83"/>
      <c r="O83"/>
    </row>
    <row r="84" spans="9:15" ht="13.5" hidden="1" thickTop="1">
      <c r="I84"/>
      <c r="J84" s="21"/>
      <c r="K84" s="24"/>
      <c r="M84" s="3"/>
      <c r="N84"/>
      <c r="O84"/>
    </row>
    <row r="85" spans="1:15" ht="12.75" hidden="1">
      <c r="A85" s="26">
        <v>38657</v>
      </c>
      <c r="B85" t="s">
        <v>49</v>
      </c>
      <c r="C85" s="2">
        <f>+C83</f>
        <v>506868.14879261726</v>
      </c>
      <c r="D85" s="2">
        <f>+D83</f>
        <v>18053.499110468234</v>
      </c>
      <c r="E85" s="2">
        <f>+E83</f>
        <v>488814.64968214894</v>
      </c>
      <c r="F85" s="2">
        <f>+F83</f>
        <v>506868.1487926172</v>
      </c>
      <c r="G85" s="2">
        <f>+G83</f>
        <v>548645.600317851</v>
      </c>
      <c r="I85"/>
      <c r="J85" s="21"/>
      <c r="K85" s="24"/>
      <c r="M85" s="3"/>
      <c r="N85"/>
      <c r="O85"/>
    </row>
    <row r="86" spans="1:15" ht="12.75" hidden="1">
      <c r="A86" s="26"/>
      <c r="B86" t="s">
        <v>76</v>
      </c>
      <c r="C86" s="2">
        <f>+$C$6</f>
        <v>104402.5</v>
      </c>
      <c r="E86" s="2">
        <f>+C86</f>
        <v>104402.5</v>
      </c>
      <c r="F86" s="2"/>
      <c r="I86"/>
      <c r="J86" s="21"/>
      <c r="K86" s="24"/>
      <c r="M86" s="3"/>
      <c r="N86"/>
      <c r="O86"/>
    </row>
    <row r="87" spans="2:15" ht="12.75" hidden="1">
      <c r="B87" t="s">
        <v>64</v>
      </c>
      <c r="C87" s="20">
        <v>0</v>
      </c>
      <c r="E87" s="20">
        <f>+C87</f>
        <v>0</v>
      </c>
      <c r="F87" s="2"/>
      <c r="G87" s="2">
        <f>-E87</f>
        <v>0</v>
      </c>
      <c r="I87"/>
      <c r="J87" s="21"/>
      <c r="K87" s="24"/>
      <c r="M87" s="3"/>
      <c r="N87"/>
      <c r="O87"/>
    </row>
    <row r="88" spans="2:15" ht="12.75" hidden="1">
      <c r="B88" t="s">
        <v>74</v>
      </c>
      <c r="C88" s="2">
        <f>SUM(C85:C87)</f>
        <v>611270.6487926173</v>
      </c>
      <c r="E88" s="2">
        <f>SUM(E85:E87)</f>
        <v>593217.149682149</v>
      </c>
      <c r="F88" s="2"/>
      <c r="I88"/>
      <c r="J88" s="21"/>
      <c r="K88" s="24"/>
      <c r="M88" s="3"/>
      <c r="N88"/>
      <c r="O88"/>
    </row>
    <row r="89" spans="2:15" ht="12.75" hidden="1">
      <c r="B89" t="s">
        <v>70</v>
      </c>
      <c r="C89" s="2">
        <f>+E85*0.0725/365*30</f>
        <v>2912.7996248182844</v>
      </c>
      <c r="D89" s="2">
        <f>+C89</f>
        <v>2912.7996248182844</v>
      </c>
      <c r="E89" s="2">
        <v>0</v>
      </c>
      <c r="F89" s="2"/>
      <c r="I89"/>
      <c r="J89" s="21"/>
      <c r="K89" s="24"/>
      <c r="M89" s="3"/>
      <c r="N89"/>
      <c r="O89"/>
    </row>
    <row r="90" spans="2:15" ht="13.5" hidden="1" thickBot="1">
      <c r="B90" t="s">
        <v>73</v>
      </c>
      <c r="C90" s="22">
        <f>+C88+C89</f>
        <v>614183.4484174355</v>
      </c>
      <c r="D90" s="22">
        <f>+D85+D89</f>
        <v>20966.298735286517</v>
      </c>
      <c r="E90" s="22">
        <f>+E88+E89</f>
        <v>593217.149682149</v>
      </c>
      <c r="F90" s="22">
        <f>+E90+D90</f>
        <v>614183.4484174354</v>
      </c>
      <c r="G90" s="22">
        <f>SUM(G85:G89)</f>
        <v>548645.600317851</v>
      </c>
      <c r="I90"/>
      <c r="J90" s="21"/>
      <c r="K90" s="24"/>
      <c r="M90" s="3"/>
      <c r="N90"/>
      <c r="O90"/>
    </row>
    <row r="91" spans="9:15" ht="13.5" hidden="1" thickTop="1">
      <c r="I91"/>
      <c r="J91" s="21"/>
      <c r="K91" s="24"/>
      <c r="M91" s="3"/>
      <c r="N91"/>
      <c r="O91"/>
    </row>
    <row r="92" spans="1:15" ht="12.75" hidden="1">
      <c r="A92" s="26">
        <v>38687</v>
      </c>
      <c r="B92" t="s">
        <v>49</v>
      </c>
      <c r="C92" s="2">
        <f>+C90</f>
        <v>614183.4484174355</v>
      </c>
      <c r="D92" s="2">
        <f>+D90</f>
        <v>20966.298735286517</v>
      </c>
      <c r="E92" s="2">
        <f>+E90</f>
        <v>593217.149682149</v>
      </c>
      <c r="F92" s="2">
        <f>+F90</f>
        <v>614183.4484174354</v>
      </c>
      <c r="G92" s="2">
        <f>+G90</f>
        <v>548645.600317851</v>
      </c>
      <c r="I92"/>
      <c r="J92" s="21"/>
      <c r="K92" s="24"/>
      <c r="M92" s="3"/>
      <c r="N92"/>
      <c r="O92"/>
    </row>
    <row r="93" spans="1:15" ht="12.75" hidden="1">
      <c r="A93" s="26"/>
      <c r="B93" t="s">
        <v>76</v>
      </c>
      <c r="C93" s="2">
        <f>+$C$6</f>
        <v>104402.5</v>
      </c>
      <c r="E93" s="2">
        <f>+C93</f>
        <v>104402.5</v>
      </c>
      <c r="F93" s="2"/>
      <c r="I93"/>
      <c r="J93" s="21"/>
      <c r="K93" s="24"/>
      <c r="M93" s="3"/>
      <c r="N93"/>
      <c r="O93"/>
    </row>
    <row r="94" spans="2:15" ht="12.75" hidden="1">
      <c r="B94" t="s">
        <v>64</v>
      </c>
      <c r="C94" s="20">
        <v>0</v>
      </c>
      <c r="E94" s="20">
        <f>+C94</f>
        <v>0</v>
      </c>
      <c r="F94" s="2"/>
      <c r="G94" s="2">
        <f>-E94</f>
        <v>0</v>
      </c>
      <c r="I94"/>
      <c r="J94" s="21"/>
      <c r="K94" s="24"/>
      <c r="M94" s="3"/>
      <c r="N94"/>
      <c r="O94"/>
    </row>
    <row r="95" spans="2:15" ht="12.75" hidden="1">
      <c r="B95" t="s">
        <v>74</v>
      </c>
      <c r="C95" s="2">
        <f>SUM(C92:C94)</f>
        <v>718585.9484174355</v>
      </c>
      <c r="E95" s="2">
        <f>SUM(E92:E94)</f>
        <v>697619.649682149</v>
      </c>
      <c r="F95" s="2"/>
      <c r="I95"/>
      <c r="J95" s="21"/>
      <c r="K95" s="24"/>
      <c r="M95" s="3"/>
      <c r="N95"/>
      <c r="O95"/>
    </row>
    <row r="96" spans="2:15" ht="12.75" hidden="1">
      <c r="B96" t="s">
        <v>70</v>
      </c>
      <c r="C96" s="2">
        <f>+E92*0.0725/365*31</f>
        <v>3652.754914823643</v>
      </c>
      <c r="D96" s="2">
        <f>+C96</f>
        <v>3652.754914823643</v>
      </c>
      <c r="E96" s="2">
        <v>0</v>
      </c>
      <c r="F96" s="2"/>
      <c r="I96"/>
      <c r="J96" s="21"/>
      <c r="K96" s="24"/>
      <c r="M96" s="3"/>
      <c r="N96"/>
      <c r="O96"/>
    </row>
    <row r="97" spans="2:15" ht="13.5" hidden="1" thickBot="1">
      <c r="B97" t="s">
        <v>73</v>
      </c>
      <c r="C97" s="22">
        <f>+C95+C96</f>
        <v>722238.7033322592</v>
      </c>
      <c r="D97" s="22">
        <f>+D92+D96</f>
        <v>24619.05365011016</v>
      </c>
      <c r="E97" s="22">
        <f>+E95+E96</f>
        <v>697619.649682149</v>
      </c>
      <c r="F97" s="22">
        <f>+E97+D97</f>
        <v>722238.7033322591</v>
      </c>
      <c r="G97" s="22">
        <f>SUM(G92:G96)</f>
        <v>548645.600317851</v>
      </c>
      <c r="I97"/>
      <c r="J97" s="21"/>
      <c r="K97" s="24"/>
      <c r="M97" s="3"/>
      <c r="N97"/>
      <c r="O97"/>
    </row>
    <row r="98" spans="9:15" ht="13.5" hidden="1" thickTop="1">
      <c r="I98"/>
      <c r="J98" s="21"/>
      <c r="K98" s="24"/>
      <c r="M98" s="3"/>
      <c r="N98"/>
      <c r="O98"/>
    </row>
    <row r="99" spans="1:15" ht="12.75" hidden="1">
      <c r="A99" s="26">
        <v>38353</v>
      </c>
      <c r="B99" t="s">
        <v>67</v>
      </c>
      <c r="C99" s="2">
        <f>+C97</f>
        <v>722238.7033322592</v>
      </c>
      <c r="D99" s="2">
        <f>+D97</f>
        <v>24619.05365011016</v>
      </c>
      <c r="E99" s="2">
        <f>+E97</f>
        <v>697619.649682149</v>
      </c>
      <c r="F99" s="2">
        <f>+F97</f>
        <v>722238.7033322591</v>
      </c>
      <c r="G99" s="2">
        <f>+G97</f>
        <v>548645.600317851</v>
      </c>
      <c r="I99"/>
      <c r="J99" s="21"/>
      <c r="K99" s="24"/>
      <c r="M99" s="3"/>
      <c r="N99"/>
      <c r="O99"/>
    </row>
    <row r="100" spans="1:15" ht="12.75" hidden="1">
      <c r="A100" s="26"/>
      <c r="B100" t="s">
        <v>76</v>
      </c>
      <c r="C100" s="2">
        <v>0</v>
      </c>
      <c r="E100" s="2">
        <f>+C100</f>
        <v>0</v>
      </c>
      <c r="F100" s="2"/>
      <c r="I100"/>
      <c r="J100" s="21"/>
      <c r="K100" s="24"/>
      <c r="M100" s="3"/>
      <c r="N100"/>
      <c r="O100"/>
    </row>
    <row r="101" spans="2:15" ht="12.75" hidden="1">
      <c r="B101" t="s">
        <v>80</v>
      </c>
      <c r="C101" s="20" t="e">
        <f>-#REF!</f>
        <v>#REF!</v>
      </c>
      <c r="E101" s="20" t="e">
        <f>+C101</f>
        <v>#REF!</v>
      </c>
      <c r="F101" s="2"/>
      <c r="G101" s="2" t="e">
        <f>-E101</f>
        <v>#REF!</v>
      </c>
      <c r="I101"/>
      <c r="J101" s="21"/>
      <c r="K101" s="24"/>
      <c r="M101" s="3"/>
      <c r="N101"/>
      <c r="O101"/>
    </row>
    <row r="102" spans="2:15" ht="12.75" hidden="1">
      <c r="B102" t="s">
        <v>74</v>
      </c>
      <c r="C102" s="2" t="e">
        <f>SUM(C99:C101)</f>
        <v>#REF!</v>
      </c>
      <c r="E102" s="2" t="e">
        <f>SUM(E99:E101)</f>
        <v>#REF!</v>
      </c>
      <c r="F102" s="2"/>
      <c r="I102"/>
      <c r="J102" s="21"/>
      <c r="K102" s="24"/>
      <c r="M102" s="3"/>
      <c r="N102"/>
      <c r="O102"/>
    </row>
    <row r="103" spans="2:15" ht="12.75" hidden="1">
      <c r="B103" t="s">
        <v>70</v>
      </c>
      <c r="C103" s="2">
        <f>+E99*0.0725/365*31</f>
        <v>4295.616884001725</v>
      </c>
      <c r="D103" s="2">
        <f>+C103</f>
        <v>4295.616884001725</v>
      </c>
      <c r="E103" s="2">
        <v>0</v>
      </c>
      <c r="F103" s="2"/>
      <c r="I103"/>
      <c r="J103" s="21"/>
      <c r="K103" s="24"/>
      <c r="M103" s="3"/>
      <c r="N103"/>
      <c r="O103"/>
    </row>
    <row r="104" spans="2:15" ht="13.5" hidden="1" thickBot="1">
      <c r="B104" t="s">
        <v>73</v>
      </c>
      <c r="C104" s="22" t="e">
        <f>+C102+C103</f>
        <v>#REF!</v>
      </c>
      <c r="D104" s="22">
        <f>+D99+D103</f>
        <v>28914.670534111887</v>
      </c>
      <c r="E104" s="22" t="e">
        <f>+E102+E103</f>
        <v>#REF!</v>
      </c>
      <c r="F104" s="22" t="e">
        <f>+E104+D104</f>
        <v>#REF!</v>
      </c>
      <c r="G104" s="22" t="e">
        <f>SUM(G99:G103)</f>
        <v>#REF!</v>
      </c>
      <c r="I104"/>
      <c r="J104" s="21"/>
      <c r="K104" s="24"/>
      <c r="M104" s="3"/>
      <c r="N104"/>
      <c r="O104"/>
    </row>
    <row r="105" spans="9:15" ht="13.5" hidden="1" thickTop="1">
      <c r="I105"/>
      <c r="J105" s="21"/>
      <c r="K105" s="24"/>
      <c r="M105" s="3"/>
      <c r="N105"/>
      <c r="O105"/>
    </row>
    <row r="106" spans="1:15" ht="12.75" hidden="1">
      <c r="A106" s="26">
        <v>38385</v>
      </c>
      <c r="B106" t="s">
        <v>68</v>
      </c>
      <c r="C106" s="2" t="e">
        <f>+C104</f>
        <v>#REF!</v>
      </c>
      <c r="D106" s="2">
        <f>+D104</f>
        <v>28914.670534111887</v>
      </c>
      <c r="E106" s="2" t="e">
        <f>+E104</f>
        <v>#REF!</v>
      </c>
      <c r="F106" s="2" t="e">
        <f>+F104</f>
        <v>#REF!</v>
      </c>
      <c r="G106" s="2" t="e">
        <f>+G104</f>
        <v>#REF!</v>
      </c>
      <c r="I106"/>
      <c r="J106" s="21"/>
      <c r="K106" s="24"/>
      <c r="M106" s="3"/>
      <c r="N106"/>
      <c r="O106"/>
    </row>
    <row r="107" spans="1:15" ht="12.75" hidden="1">
      <c r="A107" s="26"/>
      <c r="B107" t="s">
        <v>76</v>
      </c>
      <c r="C107" s="2">
        <v>0</v>
      </c>
      <c r="E107" s="2">
        <f>+C107</f>
        <v>0</v>
      </c>
      <c r="F107" s="2"/>
      <c r="I107"/>
      <c r="J107" s="21"/>
      <c r="K107" s="24"/>
      <c r="M107" s="3"/>
      <c r="N107"/>
      <c r="O107"/>
    </row>
    <row r="108" spans="2:15" ht="12.75" hidden="1">
      <c r="B108" t="s">
        <v>80</v>
      </c>
      <c r="C108" s="20" t="e">
        <f>-#REF!</f>
        <v>#REF!</v>
      </c>
      <c r="E108" s="20" t="e">
        <f>+C108</f>
        <v>#REF!</v>
      </c>
      <c r="F108" s="2"/>
      <c r="G108" s="2" t="e">
        <f>-E108</f>
        <v>#REF!</v>
      </c>
      <c r="I108"/>
      <c r="J108" s="21"/>
      <c r="K108" s="24"/>
      <c r="M108" s="3"/>
      <c r="N108"/>
      <c r="O108"/>
    </row>
    <row r="109" spans="2:15" ht="12.75" hidden="1">
      <c r="B109" t="s">
        <v>74</v>
      </c>
      <c r="C109" s="2" t="e">
        <f>SUM(C106:C108)</f>
        <v>#REF!</v>
      </c>
      <c r="E109" s="2" t="e">
        <f>SUM(E106:E108)</f>
        <v>#REF!</v>
      </c>
      <c r="F109" s="2"/>
      <c r="I109"/>
      <c r="J109" s="21"/>
      <c r="K109" s="24"/>
      <c r="M109" s="3"/>
      <c r="N109"/>
      <c r="O109"/>
    </row>
    <row r="110" spans="2:15" ht="12.75" hidden="1">
      <c r="B110" t="s">
        <v>70</v>
      </c>
      <c r="C110" s="2" t="e">
        <f>+E106*0.0725/365*28</f>
        <v>#REF!</v>
      </c>
      <c r="D110" s="2" t="e">
        <f>+C110</f>
        <v>#REF!</v>
      </c>
      <c r="E110" s="2">
        <v>0</v>
      </c>
      <c r="F110" s="2"/>
      <c r="I110"/>
      <c r="J110" s="21"/>
      <c r="K110" s="24"/>
      <c r="M110" s="3"/>
      <c r="N110"/>
      <c r="O110"/>
    </row>
    <row r="111" spans="2:15" ht="13.5" hidden="1" thickBot="1">
      <c r="B111" t="s">
        <v>73</v>
      </c>
      <c r="C111" s="22" t="e">
        <f>+C109+C110</f>
        <v>#REF!</v>
      </c>
      <c r="D111" s="22" t="e">
        <f>+D106+D110</f>
        <v>#REF!</v>
      </c>
      <c r="E111" s="22" t="e">
        <f>+E109+E110</f>
        <v>#REF!</v>
      </c>
      <c r="F111" s="22" t="e">
        <f>+E111+D111</f>
        <v>#REF!</v>
      </c>
      <c r="G111" s="22" t="e">
        <f>SUM(G106:G110)</f>
        <v>#REF!</v>
      </c>
      <c r="I111"/>
      <c r="J111" s="21"/>
      <c r="K111" s="24"/>
      <c r="M111" s="3"/>
      <c r="N111"/>
      <c r="O111"/>
    </row>
    <row r="112" spans="9:15" ht="13.5" hidden="1" thickTop="1">
      <c r="I112"/>
      <c r="J112" s="21"/>
      <c r="K112" s="24"/>
      <c r="M112" s="3"/>
      <c r="N112"/>
      <c r="O112"/>
    </row>
    <row r="113" spans="1:15" ht="12.75" hidden="1">
      <c r="A113" s="26">
        <v>38414</v>
      </c>
      <c r="B113" t="s">
        <v>68</v>
      </c>
      <c r="C113" s="2" t="e">
        <f>+C111</f>
        <v>#REF!</v>
      </c>
      <c r="D113" s="2" t="e">
        <f>+D111</f>
        <v>#REF!</v>
      </c>
      <c r="E113" s="2" t="e">
        <f>+E111</f>
        <v>#REF!</v>
      </c>
      <c r="F113" s="2" t="e">
        <f>+F111</f>
        <v>#REF!</v>
      </c>
      <c r="G113" s="2" t="e">
        <f>+G111</f>
        <v>#REF!</v>
      </c>
      <c r="I113"/>
      <c r="J113" s="21"/>
      <c r="K113" s="24"/>
      <c r="M113" s="3"/>
      <c r="N113"/>
      <c r="O113"/>
    </row>
    <row r="114" spans="1:15" ht="12.75" hidden="1">
      <c r="A114" s="26"/>
      <c r="B114" t="s">
        <v>76</v>
      </c>
      <c r="C114" s="2">
        <v>0</v>
      </c>
      <c r="E114" s="2">
        <f>+C114</f>
        <v>0</v>
      </c>
      <c r="F114" s="2"/>
      <c r="I114"/>
      <c r="J114" s="21"/>
      <c r="K114" s="24"/>
      <c r="M114" s="3"/>
      <c r="N114"/>
      <c r="O114"/>
    </row>
    <row r="115" spans="2:15" ht="12.75" hidden="1">
      <c r="B115" t="s">
        <v>80</v>
      </c>
      <c r="C115" s="20" t="e">
        <f>-#REF!</f>
        <v>#REF!</v>
      </c>
      <c r="E115" s="20" t="e">
        <f>+C115</f>
        <v>#REF!</v>
      </c>
      <c r="F115" s="2"/>
      <c r="G115" s="2" t="e">
        <f>-E115</f>
        <v>#REF!</v>
      </c>
      <c r="I115"/>
      <c r="J115" s="21"/>
      <c r="K115" s="24"/>
      <c r="M115" s="3"/>
      <c r="N115"/>
      <c r="O115"/>
    </row>
    <row r="116" spans="2:15" ht="12.75" hidden="1">
      <c r="B116" t="s">
        <v>74</v>
      </c>
      <c r="C116" s="2" t="e">
        <f>SUM(C113:C115)</f>
        <v>#REF!</v>
      </c>
      <c r="E116" s="2" t="e">
        <f>SUM(E113:E115)</f>
        <v>#REF!</v>
      </c>
      <c r="F116" s="2"/>
      <c r="I116"/>
      <c r="J116" s="21"/>
      <c r="K116" s="24"/>
      <c r="M116" s="3"/>
      <c r="N116"/>
      <c r="O116"/>
    </row>
    <row r="117" spans="2:15" ht="12.75" hidden="1">
      <c r="B117" t="s">
        <v>70</v>
      </c>
      <c r="C117" s="2" t="e">
        <f>+E113*0.0725/365*31</f>
        <v>#REF!</v>
      </c>
      <c r="D117" s="2" t="e">
        <f>+C117</f>
        <v>#REF!</v>
      </c>
      <c r="E117" s="2">
        <v>0</v>
      </c>
      <c r="F117" s="2"/>
      <c r="I117"/>
      <c r="J117" s="21"/>
      <c r="K117" s="24"/>
      <c r="M117" s="3"/>
      <c r="N117"/>
      <c r="O117"/>
    </row>
    <row r="118" spans="2:15" ht="13.5" hidden="1" thickBot="1">
      <c r="B118" t="s">
        <v>73</v>
      </c>
      <c r="C118" s="22" t="e">
        <f>+C116+C117</f>
        <v>#REF!</v>
      </c>
      <c r="D118" s="22" t="e">
        <f>+D113+D117</f>
        <v>#REF!</v>
      </c>
      <c r="E118" s="22" t="e">
        <f>+E116+E117</f>
        <v>#REF!</v>
      </c>
      <c r="F118" s="22" t="e">
        <f>+E118+D118</f>
        <v>#REF!</v>
      </c>
      <c r="G118" s="22" t="e">
        <f>SUM(G113:G117)</f>
        <v>#REF!</v>
      </c>
      <c r="I118"/>
      <c r="J118" s="21"/>
      <c r="K118" s="24"/>
      <c r="M118" s="3"/>
      <c r="N118"/>
      <c r="O118"/>
    </row>
    <row r="119" spans="9:15" ht="13.5" hidden="1" thickTop="1">
      <c r="I119"/>
      <c r="J119" s="21"/>
      <c r="K119" s="24"/>
      <c r="M119" s="3"/>
      <c r="N119"/>
      <c r="O119"/>
    </row>
    <row r="120" spans="1:15" ht="12.75" hidden="1">
      <c r="A120" s="26">
        <v>38446</v>
      </c>
      <c r="B120" t="s">
        <v>68</v>
      </c>
      <c r="C120" s="2" t="e">
        <f>+C118</f>
        <v>#REF!</v>
      </c>
      <c r="D120" s="2" t="e">
        <f>+D118</f>
        <v>#REF!</v>
      </c>
      <c r="E120" s="2" t="e">
        <f>+E118</f>
        <v>#REF!</v>
      </c>
      <c r="F120" s="2" t="e">
        <f>+F118</f>
        <v>#REF!</v>
      </c>
      <c r="G120" s="2" t="e">
        <f>+G118</f>
        <v>#REF!</v>
      </c>
      <c r="I120"/>
      <c r="J120" s="21"/>
      <c r="K120" s="24"/>
      <c r="M120" s="3"/>
      <c r="N120"/>
      <c r="O120"/>
    </row>
    <row r="121" spans="1:15" ht="12.75" hidden="1">
      <c r="A121" s="26"/>
      <c r="B121" t="s">
        <v>76</v>
      </c>
      <c r="C121" s="2">
        <v>0</v>
      </c>
      <c r="E121" s="2">
        <f>+C121</f>
        <v>0</v>
      </c>
      <c r="F121" s="2"/>
      <c r="I121"/>
      <c r="J121" s="21"/>
      <c r="K121" s="24"/>
      <c r="M121" s="3"/>
      <c r="N121"/>
      <c r="O121"/>
    </row>
    <row r="122" spans="2:15" ht="12.75" hidden="1">
      <c r="B122" t="s">
        <v>80</v>
      </c>
      <c r="C122" s="20">
        <v>0</v>
      </c>
      <c r="E122" s="20">
        <f>+C122</f>
        <v>0</v>
      </c>
      <c r="F122" s="2"/>
      <c r="G122" s="2">
        <f>-E122</f>
        <v>0</v>
      </c>
      <c r="I122"/>
      <c r="J122" s="21"/>
      <c r="K122" s="24"/>
      <c r="M122" s="3"/>
      <c r="N122"/>
      <c r="O122"/>
    </row>
    <row r="123" spans="2:15" ht="12.75" hidden="1">
      <c r="B123" t="s">
        <v>74</v>
      </c>
      <c r="C123" s="2" t="e">
        <f>SUM(C120:C122)</f>
        <v>#REF!</v>
      </c>
      <c r="E123" s="2" t="e">
        <f>SUM(E120:E122)</f>
        <v>#REF!</v>
      </c>
      <c r="F123" s="2"/>
      <c r="I123"/>
      <c r="J123" s="21"/>
      <c r="K123" s="24"/>
      <c r="M123" s="3"/>
      <c r="N123"/>
      <c r="O123"/>
    </row>
    <row r="124" spans="2:15" ht="12.75" hidden="1">
      <c r="B124" t="s">
        <v>70</v>
      </c>
      <c r="C124" s="2" t="e">
        <f>+E120*0.0725/365*30</f>
        <v>#REF!</v>
      </c>
      <c r="D124" s="2" t="e">
        <f>+C124</f>
        <v>#REF!</v>
      </c>
      <c r="E124" s="2">
        <v>0</v>
      </c>
      <c r="F124" s="2"/>
      <c r="I124"/>
      <c r="J124" s="21"/>
      <c r="K124" s="24"/>
      <c r="M124" s="3"/>
      <c r="N124"/>
      <c r="O124"/>
    </row>
    <row r="125" spans="2:15" ht="13.5" hidden="1" thickBot="1">
      <c r="B125" t="s">
        <v>73</v>
      </c>
      <c r="C125" s="22" t="e">
        <f>+C123+C124</f>
        <v>#REF!</v>
      </c>
      <c r="D125" s="22" t="e">
        <f>+D120+D124</f>
        <v>#REF!</v>
      </c>
      <c r="E125" s="22" t="e">
        <f>+E123+E124</f>
        <v>#REF!</v>
      </c>
      <c r="F125" s="22" t="e">
        <f>+E125+D125</f>
        <v>#REF!</v>
      </c>
      <c r="G125" s="22" t="e">
        <f>SUM(G120:G124)</f>
        <v>#REF!</v>
      </c>
      <c r="I125"/>
      <c r="J125" s="21"/>
      <c r="K125" s="24"/>
      <c r="M125" s="3"/>
      <c r="N125"/>
      <c r="O125"/>
    </row>
    <row r="126" spans="9:15" ht="13.5" hidden="1" thickTop="1">
      <c r="I126"/>
      <c r="J126" s="21"/>
      <c r="K126" s="24"/>
      <c r="M126" s="3"/>
      <c r="N126"/>
      <c r="O126"/>
    </row>
    <row r="127" spans="1:15" ht="12.75" hidden="1">
      <c r="A127" s="26">
        <v>38446</v>
      </c>
      <c r="B127" t="s">
        <v>68</v>
      </c>
      <c r="C127" s="2" t="e">
        <f>+C125</f>
        <v>#REF!</v>
      </c>
      <c r="D127" s="2" t="e">
        <f>+D125</f>
        <v>#REF!</v>
      </c>
      <c r="E127" s="2" t="e">
        <f>+E125</f>
        <v>#REF!</v>
      </c>
      <c r="F127" s="2" t="e">
        <f>+F125</f>
        <v>#REF!</v>
      </c>
      <c r="G127" s="2" t="e">
        <f>+G125</f>
        <v>#REF!</v>
      </c>
      <c r="I127"/>
      <c r="J127" s="21"/>
      <c r="K127" s="24"/>
      <c r="M127" s="3"/>
      <c r="N127"/>
      <c r="O127"/>
    </row>
    <row r="128" spans="1:15" ht="12.75" hidden="1">
      <c r="A128" s="26"/>
      <c r="B128" t="s">
        <v>76</v>
      </c>
      <c r="C128" s="2">
        <v>0</v>
      </c>
      <c r="E128" s="2">
        <f>+C128</f>
        <v>0</v>
      </c>
      <c r="F128" s="2"/>
      <c r="I128"/>
      <c r="J128" s="21"/>
      <c r="K128" s="24"/>
      <c r="M128" s="3"/>
      <c r="N128"/>
      <c r="O128"/>
    </row>
    <row r="129" spans="2:15" ht="12.75" hidden="1">
      <c r="B129" t="s">
        <v>80</v>
      </c>
      <c r="C129" s="20">
        <v>0</v>
      </c>
      <c r="E129" s="20">
        <f>+C129</f>
        <v>0</v>
      </c>
      <c r="F129" s="2"/>
      <c r="G129" s="2">
        <f>-E129</f>
        <v>0</v>
      </c>
      <c r="I129"/>
      <c r="J129" s="21"/>
      <c r="K129" s="24"/>
      <c r="M129" s="3"/>
      <c r="N129"/>
      <c r="O129"/>
    </row>
    <row r="130" spans="2:15" ht="12.75" hidden="1">
      <c r="B130" t="s">
        <v>74</v>
      </c>
      <c r="C130" s="2" t="e">
        <f>SUM(C127:C129)</f>
        <v>#REF!</v>
      </c>
      <c r="E130" s="2" t="e">
        <f>SUM(E127:E129)</f>
        <v>#REF!</v>
      </c>
      <c r="F130" s="2"/>
      <c r="I130"/>
      <c r="J130" s="21"/>
      <c r="K130" s="24"/>
      <c r="M130" s="3"/>
      <c r="N130"/>
      <c r="O130"/>
    </row>
    <row r="131" spans="2:15" ht="12.75" hidden="1">
      <c r="B131" t="s">
        <v>70</v>
      </c>
      <c r="C131" s="2" t="e">
        <f>+E127*0.0725/365*30</f>
        <v>#REF!</v>
      </c>
      <c r="D131" s="2" t="e">
        <f>+C131</f>
        <v>#REF!</v>
      </c>
      <c r="E131" s="2">
        <v>0</v>
      </c>
      <c r="F131" s="2"/>
      <c r="I131"/>
      <c r="J131" s="21"/>
      <c r="K131" s="24"/>
      <c r="M131" s="3"/>
      <c r="N131"/>
      <c r="O131"/>
    </row>
    <row r="132" spans="2:15" ht="13.5" hidden="1" thickBot="1">
      <c r="B132" t="s">
        <v>73</v>
      </c>
      <c r="C132" s="22" t="e">
        <f>+C130+C131</f>
        <v>#REF!</v>
      </c>
      <c r="D132" s="22" t="e">
        <f>+D127+D131</f>
        <v>#REF!</v>
      </c>
      <c r="E132" s="22" t="e">
        <f>+E130+E131</f>
        <v>#REF!</v>
      </c>
      <c r="F132" s="22" t="e">
        <f>+E132+D132</f>
        <v>#REF!</v>
      </c>
      <c r="G132" s="22" t="e">
        <f>SUM(G127:G131)</f>
        <v>#REF!</v>
      </c>
      <c r="I132"/>
      <c r="J132" s="21"/>
      <c r="K132" s="24"/>
      <c r="M132" s="3"/>
      <c r="N132"/>
      <c r="O132"/>
    </row>
    <row r="133" spans="9:15" ht="13.5" hidden="1" thickTop="1">
      <c r="I133"/>
      <c r="J133" s="21"/>
      <c r="K133" s="24"/>
      <c r="M133" s="3"/>
      <c r="N133"/>
      <c r="O133"/>
    </row>
    <row r="134" spans="9:15" ht="12.75" hidden="1">
      <c r="I134"/>
      <c r="J134" s="21"/>
      <c r="K134" s="24"/>
      <c r="M134" s="3"/>
      <c r="N134"/>
      <c r="O134"/>
    </row>
    <row r="135" spans="9:15" ht="12.75" hidden="1">
      <c r="I135"/>
      <c r="J135" s="21"/>
      <c r="K135" s="24"/>
      <c r="M135" s="3"/>
      <c r="N135"/>
      <c r="O135"/>
    </row>
    <row r="136" spans="9:15" ht="12.75" hidden="1">
      <c r="I136"/>
      <c r="J136" s="21"/>
      <c r="K136" s="24"/>
      <c r="M136" s="3"/>
      <c r="N136"/>
      <c r="O136"/>
    </row>
    <row r="137" spans="9:15" ht="12.75" hidden="1">
      <c r="I137"/>
      <c r="J137" s="21"/>
      <c r="K137" s="24"/>
      <c r="M137" s="3"/>
      <c r="N137"/>
      <c r="O137"/>
    </row>
    <row r="138" spans="9:15" ht="12.75" hidden="1">
      <c r="I138"/>
      <c r="J138" s="21"/>
      <c r="K138" s="24"/>
      <c r="M138" s="3"/>
      <c r="N138"/>
      <c r="O138"/>
    </row>
    <row r="139" spans="9:15" ht="12.75" hidden="1">
      <c r="I139"/>
      <c r="J139" s="21"/>
      <c r="K139" s="24"/>
      <c r="M139" s="3"/>
      <c r="N139"/>
      <c r="O139"/>
    </row>
    <row r="140" spans="9:15" ht="12.75" hidden="1">
      <c r="I140"/>
      <c r="J140" s="21"/>
      <c r="K140" s="24"/>
      <c r="M140" s="3"/>
      <c r="N140"/>
      <c r="O140"/>
    </row>
    <row r="141" spans="9:15" ht="12.75" hidden="1">
      <c r="I141"/>
      <c r="J141" s="21"/>
      <c r="K141" s="24"/>
      <c r="M141" s="3"/>
      <c r="N141"/>
      <c r="O141"/>
    </row>
    <row r="142" spans="9:15" ht="12.75" hidden="1">
      <c r="I142"/>
      <c r="J142" s="21"/>
      <c r="K142" s="24"/>
      <c r="M142" s="3"/>
      <c r="N142"/>
      <c r="O142"/>
    </row>
    <row r="143" spans="9:15" ht="12.75" hidden="1">
      <c r="I143"/>
      <c r="J143" s="21"/>
      <c r="K143" s="24"/>
      <c r="M143" s="3"/>
      <c r="N143"/>
      <c r="O143"/>
    </row>
    <row r="144" spans="9:15" ht="12.75" hidden="1">
      <c r="I144"/>
      <c r="J144" s="21"/>
      <c r="K144" s="24"/>
      <c r="M144" s="3"/>
      <c r="N144"/>
      <c r="O144"/>
    </row>
    <row r="145" spans="9:15" ht="12.75" hidden="1">
      <c r="I145"/>
      <c r="J145" s="21"/>
      <c r="K145" s="24"/>
      <c r="M145" s="3"/>
      <c r="N145"/>
      <c r="O145"/>
    </row>
    <row r="146" spans="9:15" ht="12.75" hidden="1">
      <c r="I146"/>
      <c r="J146" s="21"/>
      <c r="K146" s="24"/>
      <c r="M146" s="3"/>
      <c r="N146"/>
      <c r="O146"/>
    </row>
    <row r="147" spans="9:15" ht="12.75" hidden="1">
      <c r="I147"/>
      <c r="J147" s="21"/>
      <c r="K147" s="24"/>
      <c r="M147" s="3"/>
      <c r="N147"/>
      <c r="O147"/>
    </row>
    <row r="148" spans="9:15" ht="12.75" hidden="1">
      <c r="I148"/>
      <c r="J148" s="21"/>
      <c r="K148" s="24"/>
      <c r="M148" s="3"/>
      <c r="N148"/>
      <c r="O148"/>
    </row>
    <row r="149" spans="9:15" ht="12.75" hidden="1">
      <c r="I149"/>
      <c r="J149" s="21"/>
      <c r="K149" s="24"/>
      <c r="M149" s="3"/>
      <c r="N149"/>
      <c r="O149"/>
    </row>
    <row r="150" spans="9:15" ht="12.75" hidden="1">
      <c r="I150"/>
      <c r="J150" s="21"/>
      <c r="K150" s="24"/>
      <c r="M150" s="3"/>
      <c r="N150"/>
      <c r="O150"/>
    </row>
    <row r="151" spans="9:15" ht="12.75" hidden="1">
      <c r="I151"/>
      <c r="J151" s="21"/>
      <c r="K151" s="24"/>
      <c r="M151" s="3"/>
      <c r="N151"/>
      <c r="O151"/>
    </row>
    <row r="152" spans="9:15" ht="12.75" hidden="1">
      <c r="I152"/>
      <c r="J152" s="21"/>
      <c r="K152" s="24"/>
      <c r="M152" s="3"/>
      <c r="N152"/>
      <c r="O152"/>
    </row>
    <row r="153" spans="9:15" ht="12.75" hidden="1">
      <c r="I153"/>
      <c r="J153" s="21"/>
      <c r="K153" s="24"/>
      <c r="M153" s="3"/>
      <c r="N153"/>
      <c r="O153"/>
    </row>
    <row r="154" spans="9:15" ht="12.75" hidden="1">
      <c r="I154"/>
      <c r="J154" s="21"/>
      <c r="K154" s="24"/>
      <c r="M154" s="3"/>
      <c r="N154"/>
      <c r="O154"/>
    </row>
    <row r="155" spans="9:15" ht="12.75" hidden="1">
      <c r="I155"/>
      <c r="J155" s="21"/>
      <c r="K155" s="24"/>
      <c r="M155" s="3"/>
      <c r="N155"/>
      <c r="O155"/>
    </row>
    <row r="156" spans="9:15" ht="12.75" hidden="1">
      <c r="I156"/>
      <c r="J156" s="21"/>
      <c r="K156" s="24"/>
      <c r="M156" s="3"/>
      <c r="N156"/>
      <c r="O156"/>
    </row>
    <row r="157" spans="9:15" ht="12.75" hidden="1">
      <c r="I157"/>
      <c r="J157" s="21"/>
      <c r="K157" s="24"/>
      <c r="M157" s="3"/>
      <c r="N157"/>
      <c r="O157"/>
    </row>
    <row r="158" spans="9:15" ht="12.75" hidden="1">
      <c r="I158"/>
      <c r="J158" s="21"/>
      <c r="K158" s="24"/>
      <c r="M158" s="3"/>
      <c r="N158"/>
      <c r="O158"/>
    </row>
    <row r="159" spans="9:15" ht="12.75" hidden="1">
      <c r="I159"/>
      <c r="J159" s="21"/>
      <c r="K159" s="24"/>
      <c r="M159" s="3"/>
      <c r="N159"/>
      <c r="O159"/>
    </row>
    <row r="160" spans="9:15" ht="12.75" hidden="1">
      <c r="I160"/>
      <c r="J160" s="21"/>
      <c r="K160" s="24"/>
      <c r="M160" s="3"/>
      <c r="N160"/>
      <c r="O160"/>
    </row>
    <row r="161" spans="9:15" ht="12.75" hidden="1">
      <c r="I161"/>
      <c r="J161" s="21"/>
      <c r="K161" s="24"/>
      <c r="M161" s="3"/>
      <c r="N161"/>
      <c r="O161"/>
    </row>
    <row r="162" spans="9:15" ht="12.75" hidden="1">
      <c r="I162"/>
      <c r="J162" s="21"/>
      <c r="K162" s="24"/>
      <c r="M162" s="3"/>
      <c r="N162"/>
      <c r="O162"/>
    </row>
    <row r="163" spans="9:15" ht="12.75" hidden="1">
      <c r="I163"/>
      <c r="J163" s="21"/>
      <c r="K163" s="24"/>
      <c r="M163" s="3"/>
      <c r="N163"/>
      <c r="O163"/>
    </row>
    <row r="164" spans="9:15" ht="12.75" hidden="1">
      <c r="I164"/>
      <c r="J164" s="21"/>
      <c r="K164" s="24"/>
      <c r="M164" s="3"/>
      <c r="N164"/>
      <c r="O164"/>
    </row>
    <row r="165" spans="9:15" ht="12.75" hidden="1">
      <c r="I165"/>
      <c r="J165" s="21"/>
      <c r="K165" s="24"/>
      <c r="M165" s="3"/>
      <c r="N165"/>
      <c r="O165"/>
    </row>
    <row r="166" spans="9:15" ht="12.75" hidden="1">
      <c r="I166"/>
      <c r="J166" s="21"/>
      <c r="K166" s="24"/>
      <c r="M166" s="3"/>
      <c r="N166"/>
      <c r="O166"/>
    </row>
    <row r="167" spans="9:15" ht="12.75" hidden="1">
      <c r="I167"/>
      <c r="J167" s="21"/>
      <c r="K167" s="24"/>
      <c r="M167" s="3"/>
      <c r="N167"/>
      <c r="O167"/>
    </row>
    <row r="168" spans="9:15" ht="12.75" hidden="1">
      <c r="I168"/>
      <c r="J168" s="21"/>
      <c r="K168" s="24"/>
      <c r="M168" s="3"/>
      <c r="N168"/>
      <c r="O168"/>
    </row>
    <row r="169" spans="9:15" ht="12.75" hidden="1">
      <c r="I169"/>
      <c r="J169" s="21"/>
      <c r="K169" s="24"/>
      <c r="M169" s="3"/>
      <c r="N169"/>
      <c r="O169"/>
    </row>
    <row r="170" spans="9:15" ht="12.75" hidden="1">
      <c r="I170"/>
      <c r="J170" s="21"/>
      <c r="K170" s="24"/>
      <c r="M170" s="3"/>
      <c r="N170"/>
      <c r="O170"/>
    </row>
    <row r="171" spans="9:15" ht="12.75" hidden="1">
      <c r="I171"/>
      <c r="J171" s="21"/>
      <c r="K171" s="24"/>
      <c r="M171" s="3"/>
      <c r="N171"/>
      <c r="O171"/>
    </row>
    <row r="172" spans="9:15" ht="12.75" hidden="1">
      <c r="I172"/>
      <c r="J172" s="21"/>
      <c r="K172" s="24"/>
      <c r="M172" s="3"/>
      <c r="N172"/>
      <c r="O172"/>
    </row>
    <row r="173" spans="9:15" ht="12.75" hidden="1">
      <c r="I173"/>
      <c r="J173" s="21"/>
      <c r="K173" s="24"/>
      <c r="M173" s="3"/>
      <c r="N173"/>
      <c r="O173"/>
    </row>
    <row r="174" spans="1:15" ht="12.75">
      <c r="A174" s="26">
        <v>38626</v>
      </c>
      <c r="B174" t="s">
        <v>49</v>
      </c>
      <c r="C174" s="2">
        <f>+C76</f>
        <v>400098.6178161498</v>
      </c>
      <c r="D174" s="2">
        <f>+D76</f>
        <v>15686.468134000757</v>
      </c>
      <c r="E174" s="2">
        <f>+E76</f>
        <v>384412.14968214894</v>
      </c>
      <c r="F174" s="2">
        <f>+F76</f>
        <v>400098.6178161497</v>
      </c>
      <c r="G174" s="2">
        <f>+G76</f>
        <v>548645.600317851</v>
      </c>
      <c r="I174"/>
      <c r="J174" s="21"/>
      <c r="K174" s="24"/>
      <c r="M174" s="3"/>
      <c r="N174"/>
      <c r="O174"/>
    </row>
    <row r="175" spans="1:15" ht="12.75">
      <c r="A175" s="26"/>
      <c r="B175" t="s">
        <v>76</v>
      </c>
      <c r="C175" s="2">
        <f>+$C$6</f>
        <v>104402.5</v>
      </c>
      <c r="E175" s="2">
        <f>+C175</f>
        <v>104402.5</v>
      </c>
      <c r="F175" s="2"/>
      <c r="I175"/>
      <c r="J175" s="21"/>
      <c r="K175" s="24"/>
      <c r="M175" s="3"/>
      <c r="N175"/>
      <c r="O175"/>
    </row>
    <row r="176" spans="2:15" ht="12.75">
      <c r="B176" t="s">
        <v>62</v>
      </c>
      <c r="C176" s="20">
        <f>-'Festival Oct 05 '!N34</f>
        <v>-97920.20457374997</v>
      </c>
      <c r="E176" s="20">
        <f>+C176</f>
        <v>-97920.20457374997</v>
      </c>
      <c r="F176" s="2"/>
      <c r="G176" s="2">
        <f>-E176</f>
        <v>97920.20457374997</v>
      </c>
      <c r="I176"/>
      <c r="J176" s="21"/>
      <c r="K176" s="24"/>
      <c r="M176" s="3"/>
      <c r="N176"/>
      <c r="O176"/>
    </row>
    <row r="177" spans="2:15" ht="12.75">
      <c r="B177" t="s">
        <v>74</v>
      </c>
      <c r="C177" s="2">
        <f>SUM(C174:C176)</f>
        <v>406580.9132423998</v>
      </c>
      <c r="E177" s="2">
        <f>SUM(E174:E176)</f>
        <v>390894.44510839897</v>
      </c>
      <c r="F177" s="2"/>
      <c r="I177"/>
      <c r="J177" s="21"/>
      <c r="K177" s="24"/>
      <c r="M177" s="3"/>
      <c r="N177"/>
      <c r="O177"/>
    </row>
    <row r="178" spans="2:15" ht="12.75">
      <c r="B178" t="s">
        <v>70</v>
      </c>
      <c r="C178" s="2">
        <f>+E174*0.0725/365*30</f>
        <v>2290.6751385169146</v>
      </c>
      <c r="D178" s="2">
        <f>+C178</f>
        <v>2290.6751385169146</v>
      </c>
      <c r="E178" s="2">
        <v>0</v>
      </c>
      <c r="F178" s="2"/>
      <c r="I178"/>
      <c r="J178" s="21"/>
      <c r="K178" s="24"/>
      <c r="M178" s="3"/>
      <c r="N178"/>
      <c r="O178"/>
    </row>
    <row r="179" spans="2:15" ht="13.5" thickBot="1">
      <c r="B179" t="s">
        <v>73</v>
      </c>
      <c r="C179" s="22">
        <f>+C177+C178</f>
        <v>408871.58838091674</v>
      </c>
      <c r="D179" s="22">
        <f>+D174+D178</f>
        <v>17977.14327251767</v>
      </c>
      <c r="E179" s="22">
        <f>+E177+E178</f>
        <v>390894.44510839897</v>
      </c>
      <c r="F179" s="22">
        <f>+E179+D179</f>
        <v>408871.5883809166</v>
      </c>
      <c r="G179" s="22">
        <f>SUM(G174:G178)</f>
        <v>646565.804891601</v>
      </c>
      <c r="I179"/>
      <c r="J179" s="21"/>
      <c r="K179" s="24"/>
      <c r="M179" s="3"/>
      <c r="N179"/>
      <c r="O179"/>
    </row>
    <row r="180" spans="9:15" ht="13.5" thickTop="1">
      <c r="I180"/>
      <c r="J180" s="21"/>
      <c r="K180" s="24"/>
      <c r="M180" s="3"/>
      <c r="N180"/>
      <c r="O180"/>
    </row>
    <row r="181" spans="1:15" ht="12.75">
      <c r="A181" s="26">
        <v>38657</v>
      </c>
      <c r="B181" t="s">
        <v>72</v>
      </c>
      <c r="C181" s="2">
        <f>+C179</f>
        <v>408871.58838091674</v>
      </c>
      <c r="D181" s="2">
        <f>+D179</f>
        <v>17977.14327251767</v>
      </c>
      <c r="E181" s="2">
        <f>+E179</f>
        <v>390894.44510839897</v>
      </c>
      <c r="F181" s="2">
        <f>+F179</f>
        <v>408871.5883809166</v>
      </c>
      <c r="G181" s="2">
        <f>+G179</f>
        <v>646565.804891601</v>
      </c>
      <c r="I181"/>
      <c r="J181" s="21"/>
      <c r="K181" s="24"/>
      <c r="M181" s="3"/>
      <c r="N181"/>
      <c r="O181"/>
    </row>
    <row r="182" spans="1:15" ht="12.75">
      <c r="A182" s="26"/>
      <c r="B182" t="s">
        <v>76</v>
      </c>
      <c r="C182" s="2">
        <f>+$C$6</f>
        <v>104402.5</v>
      </c>
      <c r="E182" s="2">
        <f>+C182</f>
        <v>104402.5</v>
      </c>
      <c r="F182" s="2"/>
      <c r="I182"/>
      <c r="J182" s="21"/>
      <c r="K182" s="24"/>
      <c r="M182" s="3"/>
      <c r="N182"/>
      <c r="O182"/>
    </row>
    <row r="183" spans="2:15" ht="12.75">
      <c r="B183" t="s">
        <v>64</v>
      </c>
      <c r="C183" s="20">
        <f>-'Festival Nov 05'!N34</f>
        <v>-86869.15785200002</v>
      </c>
      <c r="E183" s="20">
        <f>+C183</f>
        <v>-86869.15785200002</v>
      </c>
      <c r="F183" s="2"/>
      <c r="G183" s="2">
        <f>-E183</f>
        <v>86869.15785200002</v>
      </c>
      <c r="I183"/>
      <c r="J183" s="21"/>
      <c r="K183" s="24"/>
      <c r="M183" s="3"/>
      <c r="N183"/>
      <c r="O183"/>
    </row>
    <row r="184" spans="2:15" ht="12.75">
      <c r="B184" t="s">
        <v>74</v>
      </c>
      <c r="C184" s="2">
        <f>SUM(C181:C183)</f>
        <v>426404.9305289167</v>
      </c>
      <c r="E184" s="2">
        <f>SUM(E181:E183)</f>
        <v>408427.78725639894</v>
      </c>
      <c r="F184" s="2"/>
      <c r="I184"/>
      <c r="J184" s="21"/>
      <c r="K184" s="24"/>
      <c r="M184" s="3"/>
      <c r="N184"/>
      <c r="O184"/>
    </row>
    <row r="185" spans="2:15" ht="12.75">
      <c r="B185" t="s">
        <v>70</v>
      </c>
      <c r="C185" s="2">
        <f>+E181*0.0725/365*30</f>
        <v>2329.3025153719664</v>
      </c>
      <c r="D185" s="2">
        <f>+C185</f>
        <v>2329.3025153719664</v>
      </c>
      <c r="E185" s="2">
        <v>0</v>
      </c>
      <c r="F185" s="2"/>
      <c r="I185"/>
      <c r="J185" s="21"/>
      <c r="K185" s="24"/>
      <c r="M185" s="3"/>
      <c r="N185"/>
      <c r="O185"/>
    </row>
    <row r="186" spans="2:15" ht="13.5" thickBot="1">
      <c r="B186" t="s">
        <v>73</v>
      </c>
      <c r="C186" s="22">
        <f>+C184+C185</f>
        <v>428734.2330442887</v>
      </c>
      <c r="D186" s="22">
        <f>+D181+D185</f>
        <v>20306.445787889636</v>
      </c>
      <c r="E186" s="22">
        <f>+E184+E185</f>
        <v>408427.78725639894</v>
      </c>
      <c r="F186" s="22">
        <f>+E186+D186</f>
        <v>428734.2330442886</v>
      </c>
      <c r="G186" s="22">
        <f>SUM(G181:G185)</f>
        <v>733434.962743601</v>
      </c>
      <c r="I186"/>
      <c r="J186" s="21"/>
      <c r="K186" s="24"/>
      <c r="M186" s="3"/>
      <c r="N186"/>
      <c r="O186"/>
    </row>
    <row r="187" spans="9:15" ht="13.5" thickTop="1">
      <c r="I187"/>
      <c r="J187" s="21"/>
      <c r="K187" s="24"/>
      <c r="M187" s="3"/>
      <c r="N187"/>
      <c r="O187"/>
    </row>
    <row r="188" spans="1:15" ht="12.75">
      <c r="A188" s="26">
        <v>38687</v>
      </c>
      <c r="B188" t="s">
        <v>72</v>
      </c>
      <c r="C188" s="2">
        <f>+C186</f>
        <v>428734.2330442887</v>
      </c>
      <c r="D188" s="2">
        <f>+D186</f>
        <v>20306.445787889636</v>
      </c>
      <c r="E188" s="2">
        <f>+E186</f>
        <v>408427.78725639894</v>
      </c>
      <c r="F188" s="2">
        <f>+F186</f>
        <v>428734.2330442886</v>
      </c>
      <c r="G188" s="2">
        <f>+G186</f>
        <v>733434.962743601</v>
      </c>
      <c r="I188"/>
      <c r="J188" s="21"/>
      <c r="K188" s="24"/>
      <c r="M188" s="3"/>
      <c r="N188"/>
      <c r="O188"/>
    </row>
    <row r="189" spans="1:15" ht="12.75">
      <c r="A189" s="26"/>
      <c r="B189" t="s">
        <v>76</v>
      </c>
      <c r="C189" s="2">
        <f>+$C$6</f>
        <v>104402.5</v>
      </c>
      <c r="E189" s="2">
        <f>+C189</f>
        <v>104402.5</v>
      </c>
      <c r="F189" s="2"/>
      <c r="I189"/>
      <c r="J189" s="21"/>
      <c r="K189" s="24"/>
      <c r="M189" s="3"/>
      <c r="N189"/>
      <c r="O189"/>
    </row>
    <row r="190" spans="2:15" ht="12.75">
      <c r="B190" t="s">
        <v>65</v>
      </c>
      <c r="C190" s="20">
        <f>-'Festival Dec 05'!N34</f>
        <v>-98368.68417999998</v>
      </c>
      <c r="E190" s="20">
        <f>+C190</f>
        <v>-98368.68417999998</v>
      </c>
      <c r="F190" s="2"/>
      <c r="G190" s="2">
        <f>-E190</f>
        <v>98368.68417999998</v>
      </c>
      <c r="I190"/>
      <c r="J190" s="21"/>
      <c r="K190" s="24"/>
      <c r="M190" s="3"/>
      <c r="N190"/>
      <c r="O190"/>
    </row>
    <row r="191" spans="2:15" ht="12.75">
      <c r="B191" t="s">
        <v>74</v>
      </c>
      <c r="C191" s="2">
        <f>SUM(C188:C190)</f>
        <v>434768.0488642887</v>
      </c>
      <c r="E191" s="2">
        <f>SUM(E188:E190)</f>
        <v>414461.60307639895</v>
      </c>
      <c r="F191" s="2"/>
      <c r="I191"/>
      <c r="J191" s="21"/>
      <c r="K191" s="24"/>
      <c r="M191" s="3"/>
      <c r="N191"/>
      <c r="O191"/>
    </row>
    <row r="192" spans="2:15" ht="12.75">
      <c r="B192" t="s">
        <v>70</v>
      </c>
      <c r="C192" s="2">
        <f>+E188*0.0725/365*30</f>
        <v>2433.782019952514</v>
      </c>
      <c r="D192" s="2">
        <f>+C192</f>
        <v>2433.782019952514</v>
      </c>
      <c r="E192" s="2">
        <v>0</v>
      </c>
      <c r="F192" s="2"/>
      <c r="I192"/>
      <c r="J192" s="21"/>
      <c r="K192" s="24"/>
      <c r="M192" s="3"/>
      <c r="N192"/>
      <c r="O192"/>
    </row>
    <row r="193" spans="2:15" ht="13.5" thickBot="1">
      <c r="B193" t="s">
        <v>73</v>
      </c>
      <c r="C193" s="22">
        <f>+C191+C192</f>
        <v>437201.8308842412</v>
      </c>
      <c r="D193" s="22">
        <f>+D188+D192</f>
        <v>22740.22780784215</v>
      </c>
      <c r="E193" s="22">
        <f>+E191+E192</f>
        <v>414461.60307639895</v>
      </c>
      <c r="F193" s="22">
        <f>+E193+D193</f>
        <v>437201.8308842411</v>
      </c>
      <c r="G193" s="22">
        <f>SUM(G188:G192)</f>
        <v>831803.6469236009</v>
      </c>
      <c r="I193"/>
      <c r="J193" s="21"/>
      <c r="K193" s="24"/>
      <c r="M193" s="3"/>
      <c r="N193"/>
      <c r="O193"/>
    </row>
    <row r="194" spans="9:15" ht="13.5" thickTop="1">
      <c r="I194"/>
      <c r="J194" s="21"/>
      <c r="K194" s="24"/>
      <c r="M194" s="3"/>
      <c r="N194"/>
      <c r="O194"/>
    </row>
    <row r="195" spans="1:15" ht="12.75">
      <c r="A195" s="26">
        <v>38718</v>
      </c>
      <c r="B195" t="s">
        <v>72</v>
      </c>
      <c r="C195" s="2">
        <f>+C193</f>
        <v>437201.8308842412</v>
      </c>
      <c r="D195" s="2">
        <f>+D193</f>
        <v>22740.22780784215</v>
      </c>
      <c r="E195" s="2">
        <f>+E193</f>
        <v>414461.60307639895</v>
      </c>
      <c r="F195" s="2">
        <f>+F193</f>
        <v>437201.8308842411</v>
      </c>
      <c r="G195" s="2">
        <f>+G193</f>
        <v>831803.6469236009</v>
      </c>
      <c r="I195"/>
      <c r="J195" s="21"/>
      <c r="K195" s="24"/>
      <c r="M195" s="3"/>
      <c r="N195"/>
      <c r="O195"/>
    </row>
    <row r="196" spans="1:15" ht="12.75">
      <c r="A196" s="26"/>
      <c r="B196" t="s">
        <v>76</v>
      </c>
      <c r="C196" s="2">
        <v>104402.5</v>
      </c>
      <c r="E196" s="2">
        <f>+C196</f>
        <v>104402.5</v>
      </c>
      <c r="F196" s="2"/>
      <c r="I196"/>
      <c r="J196" s="21"/>
      <c r="K196" s="24"/>
      <c r="M196" s="3"/>
      <c r="N196"/>
      <c r="O196"/>
    </row>
    <row r="197" spans="2:15" ht="12.75">
      <c r="B197" t="s">
        <v>65</v>
      </c>
      <c r="C197" s="20">
        <f>-'Festival Jan 06'!N34</f>
        <v>-111659.81930799999</v>
      </c>
      <c r="E197" s="20">
        <f>+C197</f>
        <v>-111659.81930799999</v>
      </c>
      <c r="F197" s="2"/>
      <c r="G197" s="2">
        <f>-E197</f>
        <v>111659.81930799999</v>
      </c>
      <c r="I197"/>
      <c r="J197" s="21"/>
      <c r="K197" s="24"/>
      <c r="M197" s="3"/>
      <c r="N197"/>
      <c r="O197"/>
    </row>
    <row r="198" spans="2:15" ht="12.75">
      <c r="B198" t="s">
        <v>74</v>
      </c>
      <c r="C198" s="2">
        <f>SUM(C195:C197)</f>
        <v>429944.5115762413</v>
      </c>
      <c r="E198" s="2">
        <f>SUM(E195:E197)</f>
        <v>407204.283768399</v>
      </c>
      <c r="F198" s="2"/>
      <c r="I198"/>
      <c r="J198" s="21"/>
      <c r="K198" s="24"/>
      <c r="M198" s="3"/>
      <c r="N198"/>
      <c r="O198"/>
    </row>
    <row r="199" spans="2:15" ht="12.75">
      <c r="B199" t="s">
        <v>70</v>
      </c>
      <c r="C199" s="2">
        <f>+E195*0.0725/365*31</f>
        <v>2552.0615148334427</v>
      </c>
      <c r="D199" s="2">
        <f>+C199</f>
        <v>2552.0615148334427</v>
      </c>
      <c r="E199" s="2">
        <v>0</v>
      </c>
      <c r="F199" s="2"/>
      <c r="I199"/>
      <c r="J199" s="21"/>
      <c r="K199" s="24"/>
      <c r="M199" s="3"/>
      <c r="N199"/>
      <c r="O199"/>
    </row>
    <row r="200" spans="2:15" ht="13.5" thickBot="1">
      <c r="B200" t="s">
        <v>73</v>
      </c>
      <c r="C200" s="22">
        <f>+C198+C199</f>
        <v>432496.5730910747</v>
      </c>
      <c r="D200" s="22">
        <f>+D195+D199</f>
        <v>25292.289322675595</v>
      </c>
      <c r="E200" s="22">
        <f>+E198+E199</f>
        <v>407204.283768399</v>
      </c>
      <c r="F200" s="22">
        <f>+E200+D200</f>
        <v>432496.5730910746</v>
      </c>
      <c r="G200" s="22">
        <f>SUM(G195:G199)</f>
        <v>943463.466231601</v>
      </c>
      <c r="I200"/>
      <c r="J200" s="21"/>
      <c r="K200" s="24"/>
      <c r="M200" s="3"/>
      <c r="N200"/>
      <c r="O200"/>
    </row>
    <row r="201" spans="3:15" ht="13.5" thickTop="1">
      <c r="C201" s="37" t="s">
        <v>69</v>
      </c>
      <c r="D201" s="45">
        <f>+D199</f>
        <v>2552.0615148334427</v>
      </c>
      <c r="E201" s="21"/>
      <c r="F201" s="21"/>
      <c r="G201" s="21"/>
      <c r="I201"/>
      <c r="J201" s="21"/>
      <c r="K201" s="24"/>
      <c r="M201" s="3"/>
      <c r="N201"/>
      <c r="O201"/>
    </row>
    <row r="202" spans="9:15" ht="12.75">
      <c r="I202"/>
      <c r="J202" s="21"/>
      <c r="K202" s="24"/>
      <c r="M202" s="3"/>
      <c r="N202"/>
      <c r="O202"/>
    </row>
    <row r="203" spans="1:15" ht="12.75">
      <c r="A203" s="26">
        <v>38750</v>
      </c>
      <c r="B203" t="s">
        <v>72</v>
      </c>
      <c r="C203" s="2">
        <f>+C200</f>
        <v>432496.5730910747</v>
      </c>
      <c r="D203" s="2">
        <f>+D200</f>
        <v>25292.289322675595</v>
      </c>
      <c r="E203" s="2">
        <f>+E200</f>
        <v>407204.283768399</v>
      </c>
      <c r="F203" s="2">
        <f>+F200</f>
        <v>432496.5730910746</v>
      </c>
      <c r="G203" s="2">
        <f>+G200</f>
        <v>943463.466231601</v>
      </c>
      <c r="I203"/>
      <c r="J203" s="21"/>
      <c r="K203" s="24"/>
      <c r="M203" s="3"/>
      <c r="N203"/>
      <c r="O203"/>
    </row>
    <row r="204" spans="1:15" ht="12.75">
      <c r="A204" s="26"/>
      <c r="B204" t="s">
        <v>76</v>
      </c>
      <c r="C204" s="2">
        <v>104402.5</v>
      </c>
      <c r="E204" s="2">
        <f>+C204</f>
        <v>104402.5</v>
      </c>
      <c r="F204" s="2"/>
      <c r="I204"/>
      <c r="J204" s="21"/>
      <c r="K204" s="24"/>
      <c r="M204" s="3"/>
      <c r="N204"/>
      <c r="O204"/>
    </row>
    <row r="205" spans="2:15" ht="12.75">
      <c r="B205" t="s">
        <v>65</v>
      </c>
      <c r="C205" s="20">
        <f>-'Festival Feb 06'!N34</f>
        <v>-109787.896044</v>
      </c>
      <c r="E205" s="20">
        <f>+C205</f>
        <v>-109787.896044</v>
      </c>
      <c r="F205" s="2"/>
      <c r="G205" s="2">
        <f>-E205</f>
        <v>109787.896044</v>
      </c>
      <c r="I205"/>
      <c r="J205" s="21"/>
      <c r="K205" s="24"/>
      <c r="M205" s="3"/>
      <c r="N205"/>
      <c r="O205"/>
    </row>
    <row r="206" spans="2:15" ht="12.75">
      <c r="B206" t="s">
        <v>74</v>
      </c>
      <c r="C206" s="2">
        <f>SUM(C203:C205)</f>
        <v>427111.1770470747</v>
      </c>
      <c r="E206" s="2">
        <f>SUM(E203:E205)</f>
        <v>401818.887724399</v>
      </c>
      <c r="F206" s="2"/>
      <c r="I206"/>
      <c r="J206" s="21"/>
      <c r="K206" s="24"/>
      <c r="M206" s="3"/>
      <c r="N206"/>
      <c r="O206"/>
    </row>
    <row r="207" spans="2:15" ht="12.75">
      <c r="B207" t="s">
        <v>70</v>
      </c>
      <c r="C207" s="2">
        <f>+E203*0.0725/365*28</f>
        <v>2264.725194657123</v>
      </c>
      <c r="D207" s="2">
        <f>+C207</f>
        <v>2264.725194657123</v>
      </c>
      <c r="E207" s="2">
        <v>0</v>
      </c>
      <c r="F207" s="2"/>
      <c r="I207"/>
      <c r="J207" s="21"/>
      <c r="K207" s="24"/>
      <c r="M207" s="3"/>
      <c r="N207"/>
      <c r="O207"/>
    </row>
    <row r="208" spans="2:15" ht="13.5" thickBot="1">
      <c r="B208" t="s">
        <v>73</v>
      </c>
      <c r="C208" s="22">
        <f>+C206+C207</f>
        <v>429375.9022417318</v>
      </c>
      <c r="D208" s="22">
        <f>+D203+D207</f>
        <v>27557.01451733272</v>
      </c>
      <c r="E208" s="22">
        <f>+E206+E207</f>
        <v>401818.887724399</v>
      </c>
      <c r="F208" s="22">
        <f>+E208+D208</f>
        <v>429375.9022417317</v>
      </c>
      <c r="G208" s="22">
        <f>SUM(G203:G207)</f>
        <v>1053251.362275601</v>
      </c>
      <c r="I208"/>
      <c r="J208" s="21"/>
      <c r="K208" s="24"/>
      <c r="M208" s="3"/>
      <c r="N208"/>
      <c r="O208"/>
    </row>
    <row r="209" spans="3:15" ht="13.5" thickTop="1">
      <c r="C209" s="37" t="s">
        <v>69</v>
      </c>
      <c r="D209" s="45">
        <f>+D207+D201</f>
        <v>4816.786709490566</v>
      </c>
      <c r="I209"/>
      <c r="J209" s="21"/>
      <c r="K209" s="24"/>
      <c r="M209" s="3"/>
      <c r="N209"/>
      <c r="O209"/>
    </row>
    <row r="210" spans="9:15" ht="12.75">
      <c r="I210"/>
      <c r="J210" s="21"/>
      <c r="K210" s="24"/>
      <c r="M210" s="3"/>
      <c r="N210"/>
      <c r="O210"/>
    </row>
    <row r="211" spans="1:15" ht="12.75">
      <c r="A211" s="26">
        <v>38779</v>
      </c>
      <c r="B211" t="s">
        <v>72</v>
      </c>
      <c r="C211" s="2">
        <f>+C208</f>
        <v>429375.9022417318</v>
      </c>
      <c r="D211" s="2">
        <f>+D208</f>
        <v>27557.01451733272</v>
      </c>
      <c r="E211" s="2">
        <f>+E208</f>
        <v>401818.887724399</v>
      </c>
      <c r="F211" s="2">
        <f>+F208</f>
        <v>429375.9022417317</v>
      </c>
      <c r="G211" s="2">
        <f>+G208</f>
        <v>1053251.362275601</v>
      </c>
      <c r="I211"/>
      <c r="J211" s="21"/>
      <c r="K211" s="24"/>
      <c r="M211" s="3"/>
      <c r="N211"/>
      <c r="O211"/>
    </row>
    <row r="212" spans="1:15" ht="12.75">
      <c r="A212" s="26"/>
      <c r="B212" t="s">
        <v>76</v>
      </c>
      <c r="C212" s="2">
        <v>104402.5</v>
      </c>
      <c r="E212" s="2">
        <f>+C212</f>
        <v>104402.5</v>
      </c>
      <c r="F212" s="2"/>
      <c r="I212"/>
      <c r="J212" s="21"/>
      <c r="K212" s="24"/>
      <c r="M212" s="3"/>
      <c r="N212"/>
      <c r="O212"/>
    </row>
    <row r="213" spans="2:15" ht="12.75">
      <c r="B213" t="s">
        <v>65</v>
      </c>
      <c r="C213" s="20">
        <f>-'Festival Mar 06'!N34</f>
        <v>-106881.78951962</v>
      </c>
      <c r="E213" s="20">
        <f>+C213</f>
        <v>-106881.78951962</v>
      </c>
      <c r="F213" s="2"/>
      <c r="G213" s="2">
        <f>-E213</f>
        <v>106881.78951962</v>
      </c>
      <c r="I213"/>
      <c r="J213" s="21"/>
      <c r="K213" s="24"/>
      <c r="M213" s="3"/>
      <c r="N213"/>
      <c r="O213"/>
    </row>
    <row r="214" spans="2:15" ht="12.75">
      <c r="B214" t="s">
        <v>74</v>
      </c>
      <c r="C214" s="2">
        <f>SUM(C211:C213)</f>
        <v>426896.61272211175</v>
      </c>
      <c r="E214" s="2">
        <f>SUM(E211:E213)</f>
        <v>399339.598204779</v>
      </c>
      <c r="F214" s="2"/>
      <c r="I214"/>
      <c r="J214" s="21"/>
      <c r="K214" s="24"/>
      <c r="M214" s="3"/>
      <c r="N214"/>
      <c r="O214"/>
    </row>
    <row r="215" spans="2:15" ht="12.75">
      <c r="B215" t="s">
        <v>70</v>
      </c>
      <c r="C215" s="2">
        <f>+E211*0.0725/365*31</f>
        <v>2474.2135620837994</v>
      </c>
      <c r="D215" s="2">
        <f>+C215</f>
        <v>2474.2135620837994</v>
      </c>
      <c r="E215" s="2">
        <v>0</v>
      </c>
      <c r="F215" s="2"/>
      <c r="I215"/>
      <c r="J215" s="21"/>
      <c r="K215" s="24"/>
      <c r="M215" s="3"/>
      <c r="N215"/>
      <c r="O215"/>
    </row>
    <row r="216" spans="2:15" ht="13.5" thickBot="1">
      <c r="B216" t="s">
        <v>73</v>
      </c>
      <c r="C216" s="22">
        <f>+C214+C215</f>
        <v>429370.82628419553</v>
      </c>
      <c r="D216" s="22">
        <f>+D211+D215</f>
        <v>30031.228079416516</v>
      </c>
      <c r="E216" s="22">
        <f>+E214+E215</f>
        <v>399339.598204779</v>
      </c>
      <c r="F216" s="22">
        <f>+E216+D216</f>
        <v>429370.8262841955</v>
      </c>
      <c r="G216" s="22">
        <f>SUM(G211:G215)</f>
        <v>1160133.1517952208</v>
      </c>
      <c r="I216"/>
      <c r="J216" s="21"/>
      <c r="K216" s="24"/>
      <c r="M216" s="3"/>
      <c r="N216"/>
      <c r="O216"/>
    </row>
    <row r="217" spans="3:15" ht="13.5" thickTop="1">
      <c r="C217" s="21"/>
      <c r="D217" s="21"/>
      <c r="E217" s="21"/>
      <c r="F217" s="21"/>
      <c r="G217" s="21"/>
      <c r="I217"/>
      <c r="J217" s="21"/>
      <c r="K217" s="24"/>
      <c r="M217" s="3"/>
      <c r="N217"/>
      <c r="O217"/>
    </row>
    <row r="218" spans="1:15" ht="12.75">
      <c r="A218" s="26">
        <v>38811</v>
      </c>
      <c r="B218" t="s">
        <v>72</v>
      </c>
      <c r="C218" s="2">
        <f>+C216</f>
        <v>429370.82628419553</v>
      </c>
      <c r="D218" s="2">
        <f>+D216</f>
        <v>30031.228079416516</v>
      </c>
      <c r="E218" s="2">
        <f>+E216</f>
        <v>399339.598204779</v>
      </c>
      <c r="F218" s="2">
        <f>+F216</f>
        <v>429370.8262841955</v>
      </c>
      <c r="G218" s="2">
        <f>+G216</f>
        <v>1160133.1517952208</v>
      </c>
      <c r="I218"/>
      <c r="J218" s="21"/>
      <c r="K218" s="24"/>
      <c r="M218" s="3"/>
      <c r="N218"/>
      <c r="O218"/>
    </row>
    <row r="219" spans="1:15" ht="12.75">
      <c r="A219" s="26"/>
      <c r="B219" t="s">
        <v>76</v>
      </c>
      <c r="C219" s="2">
        <v>104402.5</v>
      </c>
      <c r="E219" s="2">
        <f>+C219</f>
        <v>104402.5</v>
      </c>
      <c r="F219" s="2"/>
      <c r="I219"/>
      <c r="J219" s="21"/>
      <c r="K219" s="24"/>
      <c r="M219" s="3"/>
      <c r="N219"/>
      <c r="O219"/>
    </row>
    <row r="220" spans="1:15" ht="12.75">
      <c r="A220" s="26"/>
      <c r="B220" s="27" t="s">
        <v>112</v>
      </c>
      <c r="C220" s="2">
        <v>-59864</v>
      </c>
      <c r="E220" s="2">
        <v>-59864</v>
      </c>
      <c r="F220" s="2"/>
      <c r="I220"/>
      <c r="J220" s="21"/>
      <c r="K220" s="24"/>
      <c r="M220" s="3"/>
      <c r="N220"/>
      <c r="O220"/>
    </row>
    <row r="221" spans="2:15" ht="12.75">
      <c r="B221" t="s">
        <v>65</v>
      </c>
      <c r="C221" s="20">
        <f>-'Festival Apr 06 '!N34</f>
        <v>-189841.59272333496</v>
      </c>
      <c r="E221" s="20">
        <f>+C221</f>
        <v>-189841.59272333496</v>
      </c>
      <c r="F221" s="2"/>
      <c r="G221" s="2">
        <f>-E221</f>
        <v>189841.59272333496</v>
      </c>
      <c r="I221"/>
      <c r="J221" s="21"/>
      <c r="K221" s="24"/>
      <c r="M221" s="3"/>
      <c r="N221"/>
      <c r="O221"/>
    </row>
    <row r="222" spans="2:15" ht="12.75">
      <c r="B222" t="s">
        <v>74</v>
      </c>
      <c r="C222" s="2">
        <f>SUM(C218:C221)</f>
        <v>284067.73356086056</v>
      </c>
      <c r="E222" s="2">
        <f>SUM(E218:E221)</f>
        <v>254036.505481444</v>
      </c>
      <c r="F222" s="2"/>
      <c r="I222"/>
      <c r="J222" s="21"/>
      <c r="K222" s="24"/>
      <c r="M222" s="3"/>
      <c r="N222"/>
      <c r="O222"/>
    </row>
    <row r="223" spans="2:15" ht="12.75">
      <c r="B223" t="s">
        <v>70</v>
      </c>
      <c r="C223" s="2">
        <f>+E218*0.0725/365*31</f>
        <v>2458.9472519595633</v>
      </c>
      <c r="D223" s="2">
        <f>+C223</f>
        <v>2458.9472519595633</v>
      </c>
      <c r="E223" s="2">
        <v>0</v>
      </c>
      <c r="F223" s="2"/>
      <c r="I223"/>
      <c r="J223" s="21"/>
      <c r="K223" s="24"/>
      <c r="M223" s="3"/>
      <c r="N223"/>
      <c r="O223"/>
    </row>
    <row r="224" spans="2:15" ht="13.5" thickBot="1">
      <c r="B224" t="s">
        <v>73</v>
      </c>
      <c r="C224" s="22">
        <f>+C222+C223</f>
        <v>286526.68081282015</v>
      </c>
      <c r="D224" s="22">
        <f>+D218+D223</f>
        <v>32490.17533137608</v>
      </c>
      <c r="E224" s="22">
        <f>+E222+E223</f>
        <v>254036.505481444</v>
      </c>
      <c r="F224" s="22">
        <f>+E224+D224</f>
        <v>286526.6808128201</v>
      </c>
      <c r="G224" s="22">
        <f>SUM(G218:G223)</f>
        <v>1349974.7445185557</v>
      </c>
      <c r="I224"/>
      <c r="J224" s="21"/>
      <c r="K224" s="24"/>
      <c r="M224" s="3"/>
      <c r="N224"/>
      <c r="O224"/>
    </row>
    <row r="225" spans="3:15" ht="13.5" thickTop="1">
      <c r="C225" s="51" t="s">
        <v>69</v>
      </c>
      <c r="D225" s="21">
        <f>+D223+D215+D209</f>
        <v>9749.947523533929</v>
      </c>
      <c r="E225" s="21"/>
      <c r="F225" s="21"/>
      <c r="G225" s="21"/>
      <c r="I225"/>
      <c r="J225" s="21"/>
      <c r="K225" s="24"/>
      <c r="M225" s="3"/>
      <c r="N225"/>
      <c r="O225"/>
    </row>
    <row r="226" spans="3:15" ht="12.75">
      <c r="C226" s="21"/>
      <c r="D226" s="21"/>
      <c r="E226" s="21"/>
      <c r="F226" s="21"/>
      <c r="G226" s="21"/>
      <c r="I226"/>
      <c r="J226" s="21"/>
      <c r="K226" s="24"/>
      <c r="M226" s="3"/>
      <c r="N226"/>
      <c r="O226"/>
    </row>
    <row r="227" spans="1:15" ht="12.75">
      <c r="A227" s="27" t="s">
        <v>71</v>
      </c>
      <c r="C227" s="21"/>
      <c r="D227" s="21"/>
      <c r="E227" s="21"/>
      <c r="F227" s="21"/>
      <c r="G227" s="21"/>
      <c r="I227"/>
      <c r="J227" s="21"/>
      <c r="K227" s="24"/>
      <c r="M227" s="3"/>
      <c r="N227"/>
      <c r="O227"/>
    </row>
    <row r="228" spans="1:15" ht="12.75">
      <c r="A228" s="33"/>
      <c r="B228" s="36" t="s">
        <v>115</v>
      </c>
      <c r="C228" s="53" t="s">
        <v>114</v>
      </c>
      <c r="D228" s="52" t="s">
        <v>116</v>
      </c>
      <c r="E228" s="51" t="s">
        <v>117</v>
      </c>
      <c r="F228" s="21"/>
      <c r="G228" s="21"/>
      <c r="I228"/>
      <c r="J228" s="21"/>
      <c r="K228" s="24"/>
      <c r="M228" s="3"/>
      <c r="N228"/>
      <c r="O228"/>
    </row>
    <row r="229" spans="1:15" ht="12.75">
      <c r="A229" s="31"/>
      <c r="B229" s="31"/>
      <c r="C229" s="21"/>
      <c r="D229" s="21"/>
      <c r="E229" s="21"/>
      <c r="F229" s="21"/>
      <c r="G229" s="21"/>
      <c r="I229"/>
      <c r="J229" s="21"/>
      <c r="K229" s="24"/>
      <c r="M229" s="3"/>
      <c r="N229"/>
      <c r="O229"/>
    </row>
    <row r="230" spans="1:15" ht="12.75">
      <c r="A230" s="42" t="s">
        <v>106</v>
      </c>
      <c r="B230" s="2">
        <v>0</v>
      </c>
      <c r="C230" s="21">
        <v>0</v>
      </c>
      <c r="D230" s="21">
        <v>0</v>
      </c>
      <c r="E230" s="21"/>
      <c r="F230" s="21"/>
      <c r="G230" s="21"/>
      <c r="I230"/>
      <c r="J230" s="21"/>
      <c r="K230" s="24"/>
      <c r="M230" s="3"/>
      <c r="N230"/>
      <c r="O230"/>
    </row>
    <row r="231" spans="1:15" ht="12.75">
      <c r="A231" s="42" t="s">
        <v>107</v>
      </c>
      <c r="B231" s="2">
        <f>+D224</f>
        <v>32490.17533137608</v>
      </c>
      <c r="C231" s="21">
        <f>+D193</f>
        <v>22740.22780784215</v>
      </c>
      <c r="D231" s="21">
        <f>+D223+D215+D207+D199</f>
        <v>9749.947523533929</v>
      </c>
      <c r="E231" s="21">
        <v>21168.61</v>
      </c>
      <c r="F231" s="21"/>
      <c r="G231" s="21"/>
      <c r="I231"/>
      <c r="J231" s="21"/>
      <c r="K231" s="24"/>
      <c r="M231" s="3"/>
      <c r="N231"/>
      <c r="O231"/>
    </row>
    <row r="232" spans="1:15" ht="12.75">
      <c r="A232" s="43" t="s">
        <v>108</v>
      </c>
      <c r="B232" s="2">
        <f>-G224</f>
        <v>-1349974.7445185557</v>
      </c>
      <c r="C232" s="21">
        <f>-G193</f>
        <v>-831803.6469236009</v>
      </c>
      <c r="D232" s="21">
        <f>-G224+G193</f>
        <v>-518171.0975949548</v>
      </c>
      <c r="E232" s="21">
        <v>-1360536</v>
      </c>
      <c r="F232" s="21"/>
      <c r="G232" s="21"/>
      <c r="I232"/>
      <c r="J232" s="21"/>
      <c r="K232" s="24"/>
      <c r="M232" s="3"/>
      <c r="N232"/>
      <c r="O232"/>
    </row>
    <row r="233" spans="1:15" ht="12.75">
      <c r="A233" s="43" t="s">
        <v>77</v>
      </c>
      <c r="B233" s="2">
        <f>(13*104402.5)+(3*102214.25)</f>
        <v>1663875.25</v>
      </c>
      <c r="C233" s="2">
        <f>(9*104402.5)+(3*102214.25)</f>
        <v>1246265.25</v>
      </c>
      <c r="D233" s="2">
        <f>4*104402.5</f>
        <v>417610</v>
      </c>
      <c r="E233" s="21">
        <v>1663875</v>
      </c>
      <c r="F233" s="21"/>
      <c r="G233" s="21"/>
      <c r="I233"/>
      <c r="J233" s="21"/>
      <c r="K233" s="24"/>
      <c r="M233" s="3"/>
      <c r="N233"/>
      <c r="O233"/>
    </row>
    <row r="234" spans="1:15" ht="12.75">
      <c r="A234" s="43" t="s">
        <v>113</v>
      </c>
      <c r="B234" s="2">
        <f>+C220</f>
        <v>-59864</v>
      </c>
      <c r="C234" s="21">
        <v>0</v>
      </c>
      <c r="D234" s="21">
        <f>+C220</f>
        <v>-59864</v>
      </c>
      <c r="E234" s="21">
        <f>-246620-11766.75</f>
        <v>-258386.75</v>
      </c>
      <c r="F234" s="21"/>
      <c r="G234" s="21"/>
      <c r="I234"/>
      <c r="J234" s="21"/>
      <c r="K234" s="24"/>
      <c r="M234" s="3"/>
      <c r="N234"/>
      <c r="O234"/>
    </row>
    <row r="235" spans="1:15" ht="13.5" thickBot="1">
      <c r="A235" s="43" t="s">
        <v>109</v>
      </c>
      <c r="B235" s="22">
        <f>SUM(B230:B234)</f>
        <v>286526.6808128203</v>
      </c>
      <c r="C235" s="22">
        <f>SUM(C230:C234)</f>
        <v>437201.83088424127</v>
      </c>
      <c r="D235" s="22">
        <f>SUM(D230:D234)</f>
        <v>-150675.15007142082</v>
      </c>
      <c r="E235" s="22">
        <f>SUM(E230:E234)</f>
        <v>66120.8600000001</v>
      </c>
      <c r="F235" s="21"/>
      <c r="G235" s="21"/>
      <c r="I235"/>
      <c r="J235" s="21"/>
      <c r="K235" s="24"/>
      <c r="M235" s="3"/>
      <c r="N235"/>
      <c r="O235"/>
    </row>
    <row r="236" spans="3:15" ht="13.5" thickTop="1">
      <c r="C236" s="21"/>
      <c r="D236" s="21">
        <f>+C235+D235</f>
        <v>286526.68081282044</v>
      </c>
      <c r="E236" s="21"/>
      <c r="F236" s="21"/>
      <c r="G236" s="21"/>
      <c r="I236"/>
      <c r="J236" s="21"/>
      <c r="K236" s="24"/>
      <c r="M236" s="3"/>
      <c r="N236"/>
      <c r="O236"/>
    </row>
    <row r="237" spans="3:15" ht="12.75">
      <c r="C237" s="21"/>
      <c r="D237" s="21"/>
      <c r="E237" s="21"/>
      <c r="F237" s="21"/>
      <c r="G237" s="21"/>
      <c r="I237"/>
      <c r="J237" s="21"/>
      <c r="K237" s="24"/>
      <c r="M237" s="3"/>
      <c r="N237"/>
      <c r="O237"/>
    </row>
    <row r="238" spans="3:15" ht="12.75">
      <c r="C238" s="21"/>
      <c r="D238" s="21"/>
      <c r="E238" s="21"/>
      <c r="F238" s="21"/>
      <c r="G238" s="21"/>
      <c r="I238"/>
      <c r="J238" s="21"/>
      <c r="K238" s="24"/>
      <c r="M238" s="3"/>
      <c r="N238"/>
      <c r="O238"/>
    </row>
    <row r="239" spans="3:15" ht="12.75">
      <c r="C239" s="21"/>
      <c r="D239" s="21"/>
      <c r="E239" s="21"/>
      <c r="F239" s="21"/>
      <c r="G239" s="21"/>
      <c r="I239"/>
      <c r="J239" s="21"/>
      <c r="K239" s="24"/>
      <c r="M239" s="3"/>
      <c r="N239"/>
      <c r="O239"/>
    </row>
    <row r="240" spans="3:15" ht="12.75">
      <c r="C240" s="21"/>
      <c r="D240" s="21"/>
      <c r="E240" s="21"/>
      <c r="F240" s="21"/>
      <c r="G240" s="21"/>
      <c r="I240"/>
      <c r="J240" s="21"/>
      <c r="K240" s="24"/>
      <c r="M240" s="3"/>
      <c r="N240"/>
      <c r="O240"/>
    </row>
    <row r="241" spans="3:15" ht="12.75">
      <c r="C241" s="21"/>
      <c r="D241" s="21"/>
      <c r="E241" s="21"/>
      <c r="F241" s="21"/>
      <c r="G241" s="21"/>
      <c r="I241"/>
      <c r="J241" s="21"/>
      <c r="K241" s="24"/>
      <c r="M241" s="3"/>
      <c r="N241"/>
      <c r="O241"/>
    </row>
    <row r="242" spans="3:15" ht="12.75">
      <c r="C242" s="21"/>
      <c r="D242" s="21"/>
      <c r="E242" s="21"/>
      <c r="F242" s="21"/>
      <c r="G242" s="21"/>
      <c r="I242"/>
      <c r="J242" s="21"/>
      <c r="K242" s="24"/>
      <c r="M242" s="3"/>
      <c r="N242"/>
      <c r="O242"/>
    </row>
    <row r="243" spans="3:15" ht="12.75">
      <c r="C243" s="21"/>
      <c r="D243" s="21"/>
      <c r="E243" s="21"/>
      <c r="F243" s="21"/>
      <c r="G243" s="21"/>
      <c r="I243"/>
      <c r="J243" s="21"/>
      <c r="K243" s="24"/>
      <c r="M243" s="3"/>
      <c r="N243"/>
      <c r="O243"/>
    </row>
    <row r="244" spans="3:15" ht="12.75">
      <c r="C244" s="21"/>
      <c r="D244" s="21"/>
      <c r="E244" s="21"/>
      <c r="F244" s="21"/>
      <c r="G244" s="21"/>
      <c r="I244"/>
      <c r="J244" s="21"/>
      <c r="K244" s="24"/>
      <c r="M244" s="3"/>
      <c r="N244"/>
      <c r="O244"/>
    </row>
    <row r="245" spans="3:15" ht="12.75">
      <c r="C245" s="21"/>
      <c r="D245" s="21"/>
      <c r="E245" s="21"/>
      <c r="F245" s="21"/>
      <c r="G245" s="21"/>
      <c r="I245"/>
      <c r="J245" s="21"/>
      <c r="K245" s="24"/>
      <c r="M245" s="3"/>
      <c r="N245"/>
      <c r="O245"/>
    </row>
    <row r="246" spans="3:15" ht="12.75">
      <c r="C246" s="21"/>
      <c r="D246" s="21"/>
      <c r="E246" s="21"/>
      <c r="F246" s="21"/>
      <c r="G246" s="21"/>
      <c r="I246"/>
      <c r="J246" s="21"/>
      <c r="K246" s="24"/>
      <c r="M246" s="3"/>
      <c r="N246"/>
      <c r="O246"/>
    </row>
    <row r="247" spans="3:15" ht="12.75">
      <c r="C247" s="21"/>
      <c r="D247" s="21"/>
      <c r="E247" s="21"/>
      <c r="F247" s="21"/>
      <c r="G247" s="21"/>
      <c r="I247"/>
      <c r="J247" s="21"/>
      <c r="K247" s="24"/>
      <c r="M247" s="3"/>
      <c r="N247"/>
      <c r="O247"/>
    </row>
  </sheetData>
  <sheetProtection/>
  <printOptions/>
  <pageMargins left="0.354330708661417" right="0.354330708661417" top="0.393700787401575" bottom="0.393700787401575" header="0.511811023622047" footer="0.511811023622047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4">
      <selection activeCell="C37" sqref="C37:E3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97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12629307-879</f>
        <v>12628428</v>
      </c>
      <c r="G9" s="2">
        <f>132815003/12</f>
        <v>11067916.916666666</v>
      </c>
      <c r="I9" s="2">
        <f>+D9-G9</f>
        <v>1560511.083333334</v>
      </c>
      <c r="J9" s="23"/>
      <c r="K9" s="39">
        <v>0.0049</v>
      </c>
      <c r="L9" s="2">
        <f>+K9*D9</f>
        <v>61879.2972</v>
      </c>
      <c r="M9" s="21">
        <v>0</v>
      </c>
      <c r="N9" s="21">
        <f>+L9+M9</f>
        <v>61879.2972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682683</v>
      </c>
      <c r="G10" s="2">
        <f>8045508/12</f>
        <v>670459</v>
      </c>
      <c r="I10" s="2">
        <f>+D10-G10</f>
        <v>12224</v>
      </c>
      <c r="J10" s="23"/>
      <c r="K10" s="39">
        <v>0.003</v>
      </c>
      <c r="L10" s="2">
        <f>+K10*D10</f>
        <v>2048.049</v>
      </c>
      <c r="M10" s="21">
        <v>0</v>
      </c>
      <c r="N10" s="21">
        <f>+L10+M10</f>
        <v>2048.049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411423</v>
      </c>
      <c r="G11" s="2">
        <f>4425148/12</f>
        <v>368762.3333333333</v>
      </c>
      <c r="I11" s="2">
        <f>+D11-G11</f>
        <v>42660.666666666686</v>
      </c>
      <c r="J11" s="23"/>
      <c r="K11" s="39">
        <v>0.0016</v>
      </c>
      <c r="L11" s="2">
        <f>+K11*D11</f>
        <v>658.2768</v>
      </c>
      <c r="M11" s="21">
        <v>0</v>
      </c>
      <c r="N11" s="21">
        <f>+L11+M11</f>
        <v>658.2768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6502483</v>
      </c>
      <c r="G13" s="2">
        <f>71517111/12</f>
        <v>5959759.25</v>
      </c>
      <c r="I13" s="2">
        <f>+D13-G13</f>
        <v>542723.75</v>
      </c>
      <c r="J13" s="23"/>
      <c r="K13" s="39">
        <v>0.0033</v>
      </c>
      <c r="L13" s="2">
        <f>+K13*D13</f>
        <v>21458.1939</v>
      </c>
      <c r="M13" s="21">
        <v>0</v>
      </c>
      <c r="N13" s="21">
        <f>+L13+M13</f>
        <v>21458.1939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77376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255.3408</v>
      </c>
      <c r="M14" s="21">
        <v>0</v>
      </c>
      <c r="N14" s="21">
        <f>+L14+M14</f>
        <v>255.3408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1294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4.2702</v>
      </c>
      <c r="M15" s="21">
        <v>0</v>
      </c>
      <c r="N15" s="21">
        <f>+L15+M15</f>
        <v>4.2702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13033.73</v>
      </c>
      <c r="D17" s="2" t="s">
        <v>95</v>
      </c>
      <c r="F17" s="2">
        <f>850185/12</f>
        <v>70848.75</v>
      </c>
      <c r="H17" s="2">
        <f>+C17-F17</f>
        <v>-57815.020000000004</v>
      </c>
      <c r="J17" s="23"/>
      <c r="K17" s="39">
        <v>0.3224</v>
      </c>
      <c r="L17" s="2">
        <f>+K17*C17</f>
        <v>4202.074552</v>
      </c>
      <c r="M17" s="21">
        <v>0</v>
      </c>
      <c r="N17" s="21">
        <f>+L17+M17</f>
        <v>4202.074552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82.08</v>
      </c>
      <c r="D18" s="2" t="s">
        <v>95</v>
      </c>
      <c r="J18" s="23"/>
      <c r="K18" s="39">
        <f>+K17</f>
        <v>0.3224</v>
      </c>
      <c r="L18" s="2">
        <f>+K18*C18</f>
        <v>26.462592</v>
      </c>
      <c r="M18" s="21">
        <v>0</v>
      </c>
      <c r="N18" s="21">
        <f>+L18+M18</f>
        <v>26.462592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19964.14</v>
      </c>
      <c r="D19" s="2" t="s">
        <v>95</v>
      </c>
      <c r="H19" s="2">
        <f>+C19-F19</f>
        <v>19964.14</v>
      </c>
      <c r="J19" s="23"/>
      <c r="K19" s="39">
        <f>+K18</f>
        <v>0.3224</v>
      </c>
      <c r="L19" s="2">
        <f>+K19*C19</f>
        <v>6436.438736</v>
      </c>
      <c r="M19" s="21">
        <v>0</v>
      </c>
      <c r="N19" s="21">
        <f>+L19+M19</f>
        <v>6436.438736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37882.04</v>
      </c>
      <c r="D20" s="2" t="s">
        <v>95</v>
      </c>
      <c r="H20" s="2">
        <f>+C20-F20</f>
        <v>37882.04</v>
      </c>
      <c r="J20" s="23"/>
      <c r="K20" s="39">
        <f>+K19</f>
        <v>0.3224</v>
      </c>
      <c r="L20" s="2">
        <f>+K20*C20</f>
        <v>12213.169696</v>
      </c>
      <c r="M20" s="21">
        <v>0</v>
      </c>
      <c r="N20" s="21">
        <f>+L20+M20</f>
        <v>12213.169696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1605.65</v>
      </c>
      <c r="D21" s="2" t="s">
        <v>95</v>
      </c>
      <c r="H21" s="2">
        <f>+C21-F21</f>
        <v>1605.65</v>
      </c>
      <c r="J21" s="23"/>
      <c r="K21" s="39">
        <f>+K20</f>
        <v>0.3224</v>
      </c>
      <c r="L21" s="2">
        <f>+K21*C21</f>
        <v>517.66156</v>
      </c>
      <c r="M21" s="21">
        <v>0</v>
      </c>
      <c r="N21" s="21">
        <f>+L21+M21</f>
        <v>517.66156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/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v>7078.75</v>
      </c>
      <c r="F24" s="2">
        <f>86687/12</f>
        <v>7223.916666666667</v>
      </c>
      <c r="H24" s="2">
        <f>+C26-F24</f>
        <v>-4113.516666666666</v>
      </c>
      <c r="J24" s="23"/>
      <c r="K24" s="39">
        <v>0.3451</v>
      </c>
      <c r="L24" s="2">
        <f>+K24*C24</f>
        <v>2442.8766250000003</v>
      </c>
      <c r="M24" s="21">
        <v>0</v>
      </c>
      <c r="N24" s="21">
        <f>+L24+M24</f>
        <v>2442.8766250000003</v>
      </c>
      <c r="O24" s="21"/>
    </row>
    <row r="25" spans="3:15" ht="12.75">
      <c r="C25" s="14"/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v>3110.4</v>
      </c>
      <c r="F26" s="2">
        <f>38916/12</f>
        <v>3243</v>
      </c>
      <c r="H26" s="2">
        <f>+C28-F26</f>
        <v>-2797.06</v>
      </c>
      <c r="J26" s="23"/>
      <c r="K26" s="39">
        <v>0.7551</v>
      </c>
      <c r="L26" s="2">
        <f>+K26*C26</f>
        <v>2348.66304</v>
      </c>
      <c r="M26" s="21">
        <v>0</v>
      </c>
      <c r="N26" s="21">
        <f>+L26+M26</f>
        <v>2348.66304</v>
      </c>
      <c r="O26" s="21"/>
    </row>
    <row r="27" spans="3:15" ht="12.75">
      <c r="C27" s="14"/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v>445.94</v>
      </c>
      <c r="F28" s="2">
        <v>2125.5833333333335</v>
      </c>
      <c r="H28" s="2">
        <f>+C30-F28</f>
        <v>-1246.6033333333335</v>
      </c>
      <c r="J28" s="23"/>
      <c r="K28" s="39">
        <v>1.6846</v>
      </c>
      <c r="L28" s="2">
        <f>+K28*C28</f>
        <v>751.2305240000001</v>
      </c>
      <c r="M28" s="21">
        <v>0</v>
      </c>
      <c r="N28" s="21">
        <f>+L28+M28</f>
        <v>751.2305240000001</v>
      </c>
      <c r="O28" s="21"/>
    </row>
    <row r="29" spans="3:15" ht="12.75">
      <c r="C29" s="14"/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v>878.98</v>
      </c>
      <c r="F30" s="2">
        <v>873.0833333333334</v>
      </c>
      <c r="H30" s="2">
        <f>+C32-F30</f>
        <v>-835.9533333333334</v>
      </c>
      <c r="J30" s="23"/>
      <c r="K30" s="39">
        <v>0.5231</v>
      </c>
      <c r="L30" s="2">
        <f>+K30*C30</f>
        <v>459.794438</v>
      </c>
      <c r="M30" s="21">
        <v>0</v>
      </c>
      <c r="N30" s="21">
        <f>+L30+M30</f>
        <v>459.794438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v>37.13</v>
      </c>
      <c r="F32" s="2">
        <v>44.666666666666664</v>
      </c>
      <c r="H32" s="2">
        <f>+C34-F32</f>
        <v>84074.17333333331</v>
      </c>
      <c r="J32" s="23"/>
      <c r="K32" s="39">
        <v>0.7074</v>
      </c>
      <c r="L32" s="2">
        <f>+K32*C32</f>
        <v>26.265762000000002</v>
      </c>
      <c r="M32" s="21">
        <v>0</v>
      </c>
      <c r="N32" s="21">
        <f>+L32+M32</f>
        <v>26.265762000000002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84118.83999999998</v>
      </c>
      <c r="D34" s="2">
        <f>SUM(D9:D16)</f>
        <v>20303687</v>
      </c>
      <c r="E34" s="13"/>
      <c r="F34" s="13">
        <f>SUM(F9:F32)</f>
        <v>84359</v>
      </c>
      <c r="G34" s="13" t="e">
        <f>SUM(G9:G32)</f>
        <v>#REF!</v>
      </c>
      <c r="H34" s="13">
        <f>SUM(H9:H33)</f>
        <v>76717.84999999998</v>
      </c>
      <c r="I34" s="13" t="e">
        <f>SUM(I9:I32)</f>
        <v>#REF!</v>
      </c>
      <c r="J34" s="23"/>
      <c r="K34" s="40"/>
      <c r="L34" s="13">
        <f>SUM(L9:L32)</f>
        <v>115728.065425</v>
      </c>
      <c r="M34" s="13">
        <f>SUM(M9:M32)</f>
        <v>0</v>
      </c>
      <c r="N34" s="13">
        <f>SUM(N9:N32)</f>
        <v>115728.065425</v>
      </c>
      <c r="O34" s="21"/>
    </row>
    <row r="35" spans="3:15" ht="13.5" thickBot="1">
      <c r="C35" s="22">
        <v>84081.71</v>
      </c>
      <c r="D35" s="22">
        <v>20303687</v>
      </c>
      <c r="G35" s="2"/>
      <c r="H35" s="2">
        <f>+C36-F34</f>
        <v>-84396.12999999998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-37.12999999997555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B17">
      <selection activeCell="C37" sqref="C37:D3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98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11675895-1229</f>
        <v>11674666</v>
      </c>
      <c r="G9" s="2">
        <f>132815003/12</f>
        <v>11067916.916666666</v>
      </c>
      <c r="I9" s="2">
        <f>+D9-G9</f>
        <v>606749.083333334</v>
      </c>
      <c r="J9" s="23"/>
      <c r="K9" s="39">
        <v>0.0049</v>
      </c>
      <c r="L9" s="2">
        <f>+K9*D9</f>
        <v>57205.863399999995</v>
      </c>
      <c r="M9" s="21">
        <v>0</v>
      </c>
      <c r="N9" s="21">
        <f>+L9+M9</f>
        <v>57205.863399999995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585011</v>
      </c>
      <c r="G10" s="2">
        <f>8045508/12</f>
        <v>670459</v>
      </c>
      <c r="I10" s="2">
        <f>+D10-G10</f>
        <v>-85448</v>
      </c>
      <c r="J10" s="23"/>
      <c r="K10" s="39">
        <v>0.003</v>
      </c>
      <c r="L10" s="2">
        <f>+K10*D10</f>
        <v>1755.0330000000001</v>
      </c>
      <c r="M10" s="21">
        <v>0</v>
      </c>
      <c r="N10" s="21">
        <f>+L10+M10</f>
        <v>1755.0330000000001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301199</v>
      </c>
      <c r="G11" s="2">
        <f>4425148/12</f>
        <v>368762.3333333333</v>
      </c>
      <c r="I11" s="2">
        <f>+D11-G11</f>
        <v>-67563.33333333331</v>
      </c>
      <c r="J11" s="23"/>
      <c r="K11" s="39">
        <v>0.0016</v>
      </c>
      <c r="L11" s="2">
        <f>+K11*D11</f>
        <v>481.9184</v>
      </c>
      <c r="M11" s="21">
        <v>0</v>
      </c>
      <c r="N11" s="21">
        <f>+L11+M11</f>
        <v>481.9184</v>
      </c>
      <c r="O11" s="21"/>
      <c r="Q11" s="19"/>
      <c r="R11" s="19"/>
    </row>
    <row r="12" spans="10:18" ht="12.75">
      <c r="J12" s="23"/>
      <c r="K12" s="39"/>
      <c r="L12" s="2"/>
      <c r="M12" s="21"/>
      <c r="O12" s="21" t="e">
        <f>+#REF!/12</f>
        <v>#REF!</v>
      </c>
      <c r="Q12" s="19"/>
      <c r="R12" s="19"/>
    </row>
    <row r="13" spans="1:18" ht="12.75">
      <c r="A13" t="s">
        <v>13</v>
      </c>
      <c r="B13" t="s">
        <v>14</v>
      </c>
      <c r="D13" s="2">
        <f>5876870-1304+10320</f>
        <v>5885886</v>
      </c>
      <c r="G13" s="2">
        <f>71517111/12</f>
        <v>5959759.25</v>
      </c>
      <c r="I13" s="2">
        <f>+D13-G13</f>
        <v>-73873.25</v>
      </c>
      <c r="J13" s="23"/>
      <c r="K13" s="39">
        <v>0.0033</v>
      </c>
      <c r="L13" s="2">
        <f>+K13*D13</f>
        <v>19423.4238</v>
      </c>
      <c r="M13" s="21">
        <v>0</v>
      </c>
      <c r="N13" s="21">
        <f>+L13+M13</f>
        <v>19423.4238</v>
      </c>
      <c r="O13" s="21"/>
      <c r="Q13" s="19"/>
      <c r="R13" s="19"/>
    </row>
    <row r="14" spans="1:18" ht="12.75">
      <c r="A14" t="s">
        <v>18</v>
      </c>
      <c r="B14" t="s">
        <v>14</v>
      </c>
      <c r="C14" s="44" t="s">
        <v>99</v>
      </c>
      <c r="D14" s="2">
        <v>77376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255.3408</v>
      </c>
      <c r="M14" s="21">
        <v>0</v>
      </c>
      <c r="N14" s="21">
        <f>+L14+M14</f>
        <v>255.3408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1192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3.9335999999999998</v>
      </c>
      <c r="M15" s="21">
        <v>0</v>
      </c>
      <c r="N15" s="21">
        <f>+L15+M15</f>
        <v>3.9335999999999998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13067.63</v>
      </c>
      <c r="D17" s="2" t="s">
        <v>95</v>
      </c>
      <c r="F17" s="2">
        <f>850185/12</f>
        <v>70848.75</v>
      </c>
      <c r="H17" s="2">
        <f>+C17-F17</f>
        <v>-57781.12</v>
      </c>
      <c r="J17" s="23"/>
      <c r="K17" s="39">
        <v>0.3224</v>
      </c>
      <c r="L17" s="2">
        <f>+K17*C17</f>
        <v>4213.003912</v>
      </c>
      <c r="M17" s="21">
        <v>0</v>
      </c>
      <c r="N17" s="21">
        <f>+L17+M17</f>
        <v>4213.003912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76.16</v>
      </c>
      <c r="D18" s="2" t="s">
        <v>95</v>
      </c>
      <c r="J18" s="23"/>
      <c r="K18" s="39">
        <f>+K17</f>
        <v>0.3224</v>
      </c>
      <c r="L18" s="2">
        <f>+K18*C18</f>
        <v>24.553984</v>
      </c>
      <c r="M18" s="21">
        <v>0</v>
      </c>
      <c r="N18" s="21">
        <f>+L18+M18</f>
        <v>24.553984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19601.89</v>
      </c>
      <c r="D19" s="2" t="s">
        <v>95</v>
      </c>
      <c r="H19" s="2">
        <f>+C19-F19</f>
        <v>19601.89</v>
      </c>
      <c r="J19" s="23"/>
      <c r="K19" s="39">
        <f>+K18</f>
        <v>0.3224</v>
      </c>
      <c r="L19" s="2">
        <f>+K19*C19</f>
        <v>6319.649336</v>
      </c>
      <c r="M19" s="21">
        <v>0</v>
      </c>
      <c r="N19" s="21">
        <f>+L19+M19</f>
        <v>6319.649336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38087.04</v>
      </c>
      <c r="D20" s="2" t="s">
        <v>95</v>
      </c>
      <c r="H20" s="2">
        <f>+C20-F20</f>
        <v>38087.04</v>
      </c>
      <c r="J20" s="23"/>
      <c r="K20" s="39">
        <f>+K19</f>
        <v>0.3224</v>
      </c>
      <c r="L20" s="2">
        <f>+K20*C20</f>
        <v>12279.261696000001</v>
      </c>
      <c r="M20" s="21">
        <v>0</v>
      </c>
      <c r="N20" s="21">
        <f>+L20+M20</f>
        <v>12279.261696000001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1631.35</v>
      </c>
      <c r="D21" s="2" t="s">
        <v>95</v>
      </c>
      <c r="H21" s="2">
        <f>+C21-F21</f>
        <v>1631.35</v>
      </c>
      <c r="J21" s="23"/>
      <c r="K21" s="39">
        <f>+K20</f>
        <v>0.3224</v>
      </c>
      <c r="L21" s="2">
        <f>+K21*C21</f>
        <v>525.94724</v>
      </c>
      <c r="M21" s="21">
        <v>0</v>
      </c>
      <c r="N21" s="21">
        <f>+L21+M21</f>
        <v>525.94724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>
        <v>0</v>
      </c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v>7341.49</v>
      </c>
      <c r="F24" s="2">
        <f>86687/12</f>
        <v>7223.916666666667</v>
      </c>
      <c r="H24" s="2">
        <f>+C26-F24</f>
        <v>-4073.4066666666668</v>
      </c>
      <c r="J24" s="23"/>
      <c r="K24" s="39">
        <v>0.3451</v>
      </c>
      <c r="L24" s="2">
        <f>+K24*C24</f>
        <v>2533.548199</v>
      </c>
      <c r="M24" s="21">
        <v>0</v>
      </c>
      <c r="N24" s="21">
        <f>+L24+M24</f>
        <v>2533.548199</v>
      </c>
      <c r="O24" s="21"/>
    </row>
    <row r="25" spans="3:15" ht="12.75">
      <c r="C25" s="14">
        <v>0</v>
      </c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v>3150.51</v>
      </c>
      <c r="F26" s="2">
        <f>38916/12</f>
        <v>3243</v>
      </c>
      <c r="H26" s="2">
        <f>+C28-F26</f>
        <v>-2720.79</v>
      </c>
      <c r="J26" s="23"/>
      <c r="K26" s="39">
        <v>0.7551</v>
      </c>
      <c r="L26" s="2">
        <f>+K26*C26</f>
        <v>2378.9501010000004</v>
      </c>
      <c r="M26" s="21">
        <v>0</v>
      </c>
      <c r="N26" s="21">
        <f>+L26+M26</f>
        <v>2378.9501010000004</v>
      </c>
      <c r="O26" s="21"/>
    </row>
    <row r="27" spans="3:15" ht="12.75">
      <c r="C27" s="14">
        <v>0</v>
      </c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v>522.21</v>
      </c>
      <c r="F28" s="2">
        <v>2125.5833333333335</v>
      </c>
      <c r="H28" s="2">
        <f>+C30-F28</f>
        <v>-1246.3433333333335</v>
      </c>
      <c r="J28" s="23"/>
      <c r="K28" s="39">
        <v>1.6846</v>
      </c>
      <c r="L28" s="2">
        <f>+K28*C28</f>
        <v>879.7149660000001</v>
      </c>
      <c r="M28" s="21">
        <v>0</v>
      </c>
      <c r="N28" s="21">
        <f>+L28+M28</f>
        <v>879.7149660000001</v>
      </c>
      <c r="O28" s="21"/>
    </row>
    <row r="29" spans="3:15" ht="12.75">
      <c r="C29" s="14">
        <v>0</v>
      </c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v>879.24</v>
      </c>
      <c r="F30" s="2">
        <v>873.0833333333334</v>
      </c>
      <c r="H30" s="2">
        <f>+C32-F30</f>
        <v>-835.9533333333334</v>
      </c>
      <c r="J30" s="23"/>
      <c r="K30" s="39">
        <v>0.5231</v>
      </c>
      <c r="L30" s="2">
        <f>+K30*C30</f>
        <v>459.930444</v>
      </c>
      <c r="M30" s="21">
        <v>0</v>
      </c>
      <c r="N30" s="21">
        <f>+L30+M30</f>
        <v>459.930444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v>37.13</v>
      </c>
      <c r="F32" s="2">
        <v>44.666666666666664</v>
      </c>
      <c r="H32" s="2">
        <f>+C34-F32</f>
        <v>84349.98333333335</v>
      </c>
      <c r="J32" s="23"/>
      <c r="K32" s="39">
        <v>0.7074</v>
      </c>
      <c r="L32" s="2">
        <f>+K32*C32</f>
        <v>26.265762000000002</v>
      </c>
      <c r="M32" s="21">
        <v>0</v>
      </c>
      <c r="N32" s="21">
        <f>+L32+M32</f>
        <v>26.265762000000002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84394.65000000002</v>
      </c>
      <c r="D34" s="2">
        <f>SUM(D9:D16)</f>
        <v>18525330</v>
      </c>
      <c r="E34" s="13"/>
      <c r="F34" s="13">
        <f>SUM(F9:F32)</f>
        <v>84359</v>
      </c>
      <c r="G34" s="13" t="e">
        <f>SUM(G9:G32)</f>
        <v>#REF!</v>
      </c>
      <c r="H34" s="13">
        <f>SUM(H9:H33)</f>
        <v>77012.65000000002</v>
      </c>
      <c r="I34" s="13" t="e">
        <f>SUM(I9:I32)</f>
        <v>#REF!</v>
      </c>
      <c r="J34" s="23"/>
      <c r="K34" s="40"/>
      <c r="L34" s="13">
        <f>SUM(L9:L32)</f>
        <v>108766.33863999999</v>
      </c>
      <c r="M34" s="13">
        <f>SUM(M9:M32)</f>
        <v>0</v>
      </c>
      <c r="N34" s="13">
        <f>SUM(N9:N32)</f>
        <v>108766.33863999999</v>
      </c>
      <c r="O34" s="21"/>
    </row>
    <row r="35" spans="3:15" ht="13.5" thickBot="1">
      <c r="C35" s="22">
        <v>84357.52</v>
      </c>
      <c r="D35" s="22">
        <v>18525330</v>
      </c>
      <c r="G35" s="2"/>
      <c r="H35" s="2">
        <f>+C36-F34</f>
        <v>-84396.13000000002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-37.13000000001921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B5">
      <selection activeCell="O32" sqref="O32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96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9194485-10983</f>
        <v>9183502</v>
      </c>
      <c r="G9" s="2">
        <f>132815003/12</f>
        <v>11067916.916666666</v>
      </c>
      <c r="I9" s="2">
        <f>+D9-G9</f>
        <v>-1884414.916666666</v>
      </c>
      <c r="J9" s="23"/>
      <c r="K9" s="39">
        <v>0.0049</v>
      </c>
      <c r="L9" s="2">
        <f>+K9*D9</f>
        <v>44999.1598</v>
      </c>
      <c r="M9" s="21">
        <v>0</v>
      </c>
      <c r="N9" s="21">
        <f>+L9+M9</f>
        <v>44999.1598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587316</v>
      </c>
      <c r="G10" s="2">
        <f>8045508/12</f>
        <v>670459</v>
      </c>
      <c r="I10" s="2">
        <f>+D10-G10</f>
        <v>-83143</v>
      </c>
      <c r="J10" s="23"/>
      <c r="K10" s="39">
        <v>0.003</v>
      </c>
      <c r="L10" s="2">
        <f>+K10*D10</f>
        <v>1761.948</v>
      </c>
      <c r="M10" s="21">
        <v>0</v>
      </c>
      <c r="N10" s="21">
        <f>+L10+M10</f>
        <v>1761.948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304205</v>
      </c>
      <c r="G11" s="2">
        <f>4425148/12</f>
        <v>368762.3333333333</v>
      </c>
      <c r="I11" s="2">
        <f>+D11-G11</f>
        <v>-64557.333333333314</v>
      </c>
      <c r="J11" s="23"/>
      <c r="K11" s="39">
        <v>0.0016</v>
      </c>
      <c r="L11" s="2">
        <f>+K11*D11</f>
        <v>486.728</v>
      </c>
      <c r="M11" s="21">
        <v>0</v>
      </c>
      <c r="N11" s="21">
        <f>+L11+M11</f>
        <v>486.728</v>
      </c>
      <c r="O11" s="21"/>
      <c r="Q11" s="19"/>
      <c r="R11" s="19"/>
    </row>
    <row r="12" spans="10:18" ht="12.75">
      <c r="J12" s="23"/>
      <c r="K12" s="39"/>
      <c r="L12" s="2"/>
      <c r="M12" s="21"/>
      <c r="O12" s="21" t="e">
        <f>+#REF!/12</f>
        <v>#REF!</v>
      </c>
      <c r="Q12" s="19"/>
      <c r="R12" s="19"/>
    </row>
    <row r="13" spans="1:18" ht="12.75">
      <c r="A13" t="s">
        <v>13</v>
      </c>
      <c r="B13" t="s">
        <v>14</v>
      </c>
      <c r="D13" s="2">
        <f>5231231+2149+30040</f>
        <v>5263420</v>
      </c>
      <c r="G13" s="2">
        <f>71517111/12</f>
        <v>5959759.25</v>
      </c>
      <c r="I13" s="2">
        <f>+D13-G13</f>
        <v>-696339.25</v>
      </c>
      <c r="J13" s="23"/>
      <c r="K13" s="39">
        <v>0.0033</v>
      </c>
      <c r="L13" s="2">
        <f>+K13*D13</f>
        <v>17369.286</v>
      </c>
      <c r="M13" s="21">
        <v>0</v>
      </c>
      <c r="N13" s="21">
        <f>+L13+M13</f>
        <v>17369.286</v>
      </c>
      <c r="O13" s="21"/>
      <c r="Q13" s="19"/>
      <c r="R13" s="19"/>
    </row>
    <row r="14" spans="1:18" ht="12.75">
      <c r="A14" t="s">
        <v>18</v>
      </c>
      <c r="B14" t="s">
        <v>14</v>
      </c>
      <c r="D14" s="2">
        <f>24810+52947</f>
        <v>77757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256.5981</v>
      </c>
      <c r="M14" s="21">
        <v>0</v>
      </c>
      <c r="N14" s="21">
        <f>+L14+M14</f>
        <v>256.5981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1286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4.2438</v>
      </c>
      <c r="M15" s="21">
        <v>0</v>
      </c>
      <c r="N15" s="21">
        <f>+L15+M15</f>
        <v>4.2438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12567.4</v>
      </c>
      <c r="D17" s="2" t="s">
        <v>95</v>
      </c>
      <c r="F17" s="2">
        <f>850185/12</f>
        <v>70848.75</v>
      </c>
      <c r="H17" s="2">
        <f>+C17-F17</f>
        <v>-58281.35</v>
      </c>
      <c r="J17" s="23"/>
      <c r="K17" s="39">
        <v>0.3224</v>
      </c>
      <c r="L17" s="2">
        <f>+K17*C17</f>
        <v>4051.72976</v>
      </c>
      <c r="M17" s="21">
        <v>0</v>
      </c>
      <c r="N17" s="21">
        <f>+L17+M17</f>
        <v>4051.72976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65.44</v>
      </c>
      <c r="D18" s="2" t="s">
        <v>95</v>
      </c>
      <c r="J18" s="23"/>
      <c r="K18" s="39">
        <f>+K17</f>
        <v>0.3224</v>
      </c>
      <c r="L18" s="2">
        <f>+K18*C18</f>
        <v>21.097856</v>
      </c>
      <c r="M18" s="21">
        <v>0</v>
      </c>
      <c r="N18" s="21">
        <f>+L18+M18</f>
        <v>21.097856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17493.71</v>
      </c>
      <c r="D19" s="2" t="s">
        <v>95</v>
      </c>
      <c r="H19" s="2">
        <f>+C19-F19</f>
        <v>17493.71</v>
      </c>
      <c r="J19" s="23"/>
      <c r="K19" s="39">
        <f>+K18</f>
        <v>0.3224</v>
      </c>
      <c r="L19" s="2">
        <f>+K19*C19</f>
        <v>5639.972104</v>
      </c>
      <c r="M19" s="21">
        <v>0</v>
      </c>
      <c r="N19" s="21">
        <f>+L19+M19</f>
        <v>5639.972104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36588.53</v>
      </c>
      <c r="D20" s="2" t="s">
        <v>95</v>
      </c>
      <c r="H20" s="2">
        <f>+C20-F20</f>
        <v>36588.53</v>
      </c>
      <c r="J20" s="23"/>
      <c r="K20" s="39">
        <f>+K19</f>
        <v>0.3224</v>
      </c>
      <c r="L20" s="2">
        <f>+K20*C20</f>
        <v>11796.142072</v>
      </c>
      <c r="M20" s="21">
        <v>0</v>
      </c>
      <c r="N20" s="21">
        <f>+L20+M20</f>
        <v>11796.142072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1933.56</v>
      </c>
      <c r="D21" s="2" t="s">
        <v>95</v>
      </c>
      <c r="H21" s="2">
        <f>+C21-F21</f>
        <v>1933.56</v>
      </c>
      <c r="J21" s="23"/>
      <c r="K21" s="39">
        <f>+K20</f>
        <v>0.3224</v>
      </c>
      <c r="L21" s="2">
        <f>+K21*C21</f>
        <v>623.3797440000001</v>
      </c>
      <c r="M21" s="21">
        <v>0</v>
      </c>
      <c r="N21" s="21">
        <f>+L21+M21</f>
        <v>623.3797440000001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2">
        <v>6697.92</v>
      </c>
      <c r="F24" s="2">
        <f>86687/12</f>
        <v>7223.916666666667</v>
      </c>
      <c r="H24" s="2">
        <f>+C26-F24</f>
        <v>-4228.716666666667</v>
      </c>
      <c r="J24" s="23"/>
      <c r="K24" s="39">
        <v>0.3451</v>
      </c>
      <c r="L24" s="2">
        <f>+K24*C24</f>
        <v>2311.452192</v>
      </c>
      <c r="M24" s="21">
        <v>0</v>
      </c>
      <c r="N24" s="21">
        <f>+L24+M24</f>
        <v>2311.452192</v>
      </c>
      <c r="O24" s="21"/>
    </row>
    <row r="25" spans="10:15" ht="12.75"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2">
        <v>2995.2</v>
      </c>
      <c r="D26" s="2" t="s">
        <v>95</v>
      </c>
      <c r="F26" s="2">
        <f>38916/12</f>
        <v>3243</v>
      </c>
      <c r="H26" s="2">
        <f>+C28-F26</f>
        <v>-2750.45</v>
      </c>
      <c r="J26" s="23"/>
      <c r="K26" s="39">
        <v>0.7551</v>
      </c>
      <c r="L26" s="2">
        <f>+K26*C26</f>
        <v>2261.67552</v>
      </c>
      <c r="M26" s="21">
        <v>0</v>
      </c>
      <c r="N26" s="21">
        <f>+L26+M26</f>
        <v>2261.67552</v>
      </c>
      <c r="O26" s="21"/>
    </row>
    <row r="27" spans="10:15" ht="12.75"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2">
        <v>492.55</v>
      </c>
      <c r="D28" s="2" t="s">
        <v>95</v>
      </c>
      <c r="F28" s="2">
        <v>2125.5833333333335</v>
      </c>
      <c r="H28" s="2">
        <f>+C30-F28</f>
        <v>-1246.3433333333335</v>
      </c>
      <c r="J28" s="23"/>
      <c r="K28" s="39">
        <v>1.6846</v>
      </c>
      <c r="L28" s="2">
        <f>+K28*C28</f>
        <v>829.7497300000001</v>
      </c>
      <c r="M28" s="21">
        <v>0</v>
      </c>
      <c r="N28" s="21">
        <f>+L28+M28</f>
        <v>829.7497300000001</v>
      </c>
      <c r="O28" s="21"/>
    </row>
    <row r="29" spans="10:15" ht="12.75"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2">
        <v>879.24</v>
      </c>
      <c r="D30" s="2" t="s">
        <v>95</v>
      </c>
      <c r="F30" s="2">
        <v>873.0833333333334</v>
      </c>
      <c r="H30" s="2">
        <f>+C32-F30</f>
        <v>-835.9495833333334</v>
      </c>
      <c r="J30" s="23"/>
      <c r="K30" s="39">
        <v>0.5231</v>
      </c>
      <c r="L30" s="2">
        <f>+K30*C30</f>
        <v>459.930444</v>
      </c>
      <c r="M30" s="21">
        <v>0</v>
      </c>
      <c r="N30" s="21">
        <f>+L30+M30</f>
        <v>459.930444</v>
      </c>
      <c r="O30" s="21"/>
    </row>
    <row r="31" spans="10:15" ht="12.75"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v>37.13375</v>
      </c>
      <c r="F32" s="2">
        <v>44.666666666666664</v>
      </c>
      <c r="H32" s="2">
        <f>+C34-F32</f>
        <v>-44.666666666666664</v>
      </c>
      <c r="J32" s="23"/>
      <c r="K32" s="39">
        <v>0.7074</v>
      </c>
      <c r="L32" s="2">
        <f>+K32*C32</f>
        <v>26.26841475</v>
      </c>
      <c r="M32" s="21">
        <v>0</v>
      </c>
      <c r="N32" s="21">
        <f>+L32+M32</f>
        <v>26.26841475</v>
      </c>
      <c r="O32" s="21"/>
    </row>
    <row r="33" spans="10:15" ht="12.75"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13"/>
      <c r="D34" s="13"/>
      <c r="E34" s="13"/>
      <c r="F34" s="13">
        <f>SUM(F9:F32)</f>
        <v>84359</v>
      </c>
      <c r="G34" s="13" t="e">
        <f>SUM(G9:G32)</f>
        <v>#REF!</v>
      </c>
      <c r="H34" s="13">
        <f>SUM(H9:H33)</f>
        <v>-11371.67625</v>
      </c>
      <c r="I34" s="13" t="e">
        <f>SUM(I9:I32)</f>
        <v>#REF!</v>
      </c>
      <c r="J34" s="23"/>
      <c r="K34" s="40"/>
      <c r="L34" s="13">
        <f>SUM(L9:L32)</f>
        <v>92899.36153674999</v>
      </c>
      <c r="M34" s="13">
        <f>SUM(M9:M32)</f>
        <v>0</v>
      </c>
      <c r="N34" s="13">
        <f>SUM(N9:N32)</f>
        <v>92899.36153674999</v>
      </c>
      <c r="O34" s="21"/>
    </row>
    <row r="35" spans="3:15" ht="12.75">
      <c r="C35" s="2">
        <f>SUM(C17:C34)</f>
        <v>79750.68375</v>
      </c>
      <c r="D35" s="2">
        <f>SUM(D9:D16)</f>
        <v>15417486</v>
      </c>
      <c r="G35" s="2"/>
      <c r="H35" s="2">
        <f>+C36-F34</f>
        <v>-4645.449999999997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Bot="1">
      <c r="C36" s="22">
        <v>79713.55</v>
      </c>
      <c r="D36" s="22">
        <v>15417486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3.5" thickTop="1">
      <c r="C37" s="21">
        <f>+C36-C35</f>
        <v>-37.1337499999936</v>
      </c>
      <c r="D37" s="21">
        <f>+D36-D35</f>
        <v>0</v>
      </c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>
        <f>+C37-C36</f>
        <v>-79750.68375</v>
      </c>
      <c r="D38" s="21">
        <f>+D37-D36</f>
        <v>-15417486</v>
      </c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B4">
      <selection activeCell="L34" sqref="L3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94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1404633+7993262</f>
        <v>9397895</v>
      </c>
      <c r="G9" s="2">
        <f>132815003/12</f>
        <v>11067916.916666666</v>
      </c>
      <c r="I9" s="2">
        <f>+D9-G9</f>
        <v>-1670021.916666666</v>
      </c>
      <c r="J9" s="23"/>
      <c r="K9" s="39">
        <v>0.0049</v>
      </c>
      <c r="L9" s="2">
        <f>+K9*D9</f>
        <v>46049.6855</v>
      </c>
      <c r="M9" s="21">
        <v>0</v>
      </c>
      <c r="N9" s="21">
        <f>+L9+M9</f>
        <v>46049.6855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f>365508+276950</f>
        <v>642458</v>
      </c>
      <c r="G10" s="2">
        <f>8045508/12</f>
        <v>670459</v>
      </c>
      <c r="I10" s="2">
        <f>+D10-G10</f>
        <v>-28001</v>
      </c>
      <c r="J10" s="23"/>
      <c r="K10" s="39">
        <v>0.003</v>
      </c>
      <c r="L10" s="2">
        <f>+K10*D10</f>
        <v>1927.374</v>
      </c>
      <c r="M10" s="21">
        <v>0</v>
      </c>
      <c r="N10" s="21">
        <f>+L10+M10</f>
        <v>1927.374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f>89501+201351</f>
        <v>290852</v>
      </c>
      <c r="G11" s="2">
        <f>4425148/12</f>
        <v>368762.3333333333</v>
      </c>
      <c r="I11" s="2">
        <f>+D11-G11</f>
        <v>-77910.33333333331</v>
      </c>
      <c r="J11" s="23"/>
      <c r="K11" s="39">
        <v>0.0016</v>
      </c>
      <c r="L11" s="2">
        <f>+K11*D11</f>
        <v>465.3632</v>
      </c>
      <c r="M11" s="21">
        <v>0</v>
      </c>
      <c r="N11" s="21">
        <f>+L11+M11</f>
        <v>465.3632</v>
      </c>
      <c r="O11" s="21"/>
      <c r="Q11" s="19"/>
      <c r="R11" s="19"/>
    </row>
    <row r="12" spans="10:18" ht="12.75">
      <c r="J12" s="23"/>
      <c r="K12" s="39"/>
      <c r="L12" s="2"/>
      <c r="M12" s="21"/>
      <c r="O12" s="21" t="e">
        <f>+#REF!/12</f>
        <v>#REF!</v>
      </c>
      <c r="Q12" s="19"/>
      <c r="R12" s="19"/>
    </row>
    <row r="13" spans="1:18" ht="12.75">
      <c r="A13" t="s">
        <v>13</v>
      </c>
      <c r="B13" t="s">
        <v>14</v>
      </c>
      <c r="D13" s="2">
        <f>1319581+3971313+10491+34136</f>
        <v>5335521</v>
      </c>
      <c r="G13" s="2">
        <f>71517111/12</f>
        <v>5959759.25</v>
      </c>
      <c r="I13" s="2">
        <f>+D13-G13</f>
        <v>-624238.25</v>
      </c>
      <c r="J13" s="23"/>
      <c r="K13" s="39">
        <v>0.0033</v>
      </c>
      <c r="L13" s="2">
        <f>+K13*D13</f>
        <v>17607.2193</v>
      </c>
      <c r="M13" s="21">
        <v>0</v>
      </c>
      <c r="N13" s="21">
        <f>+L13+M13</f>
        <v>17607.2193</v>
      </c>
      <c r="O13" s="21"/>
      <c r="Q13" s="19"/>
      <c r="R13" s="19"/>
    </row>
    <row r="14" spans="1:18" ht="12.75">
      <c r="A14" t="s">
        <v>18</v>
      </c>
      <c r="B14" t="s">
        <v>14</v>
      </c>
      <c r="D14" s="2">
        <f>24810+52947</f>
        <v>77757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256.5981</v>
      </c>
      <c r="M14" s="21">
        <v>0</v>
      </c>
      <c r="N14" s="21">
        <f>+L14+M14</f>
        <v>256.5981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9190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30.326999999999998</v>
      </c>
      <c r="M15" s="21">
        <v>0</v>
      </c>
      <c r="N15" s="21">
        <f>+L15+M15</f>
        <v>30.326999999999998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12282.44</v>
      </c>
      <c r="D17" s="2" t="s">
        <v>95</v>
      </c>
      <c r="F17" s="2">
        <f>850185/12</f>
        <v>70848.75</v>
      </c>
      <c r="H17" s="2">
        <f>+C17-F17</f>
        <v>-58566.31</v>
      </c>
      <c r="J17" s="23"/>
      <c r="K17" s="39">
        <v>0.3224</v>
      </c>
      <c r="L17" s="2">
        <f>+K17*C17</f>
        <v>3959.8586560000003</v>
      </c>
      <c r="M17" s="21">
        <v>0</v>
      </c>
      <c r="N17" s="21">
        <f>+L17+M17</f>
        <v>3959.8586560000003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403.36</v>
      </c>
      <c r="D18" s="2" t="s">
        <v>95</v>
      </c>
      <c r="J18" s="23"/>
      <c r="K18" s="39">
        <f>+K17</f>
        <v>0.3224</v>
      </c>
      <c r="L18" s="2">
        <f>+K18*C18</f>
        <v>130.04326400000002</v>
      </c>
      <c r="M18" s="21">
        <v>0</v>
      </c>
      <c r="N18" s="21">
        <f>+L18+M18</f>
        <v>130.04326400000002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16786.52</v>
      </c>
      <c r="D19" s="2" t="s">
        <v>95</v>
      </c>
      <c r="H19" s="2">
        <f>+C19-F19</f>
        <v>16786.52</v>
      </c>
      <c r="J19" s="23"/>
      <c r="K19" s="39">
        <f>+K18</f>
        <v>0.3224</v>
      </c>
      <c r="L19" s="2">
        <f>+K19*C19</f>
        <v>5411.974048</v>
      </c>
      <c r="M19" s="21">
        <v>0</v>
      </c>
      <c r="N19" s="21">
        <f>+L19+M19</f>
        <v>5411.974048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36332.49</v>
      </c>
      <c r="D20" s="2" t="s">
        <v>95</v>
      </c>
      <c r="H20" s="2">
        <f>+C20-F20</f>
        <v>36332.49</v>
      </c>
      <c r="J20" s="23"/>
      <c r="K20" s="39">
        <f>+K19</f>
        <v>0.3224</v>
      </c>
      <c r="L20" s="2">
        <f>+K20*C20</f>
        <v>11713.594776</v>
      </c>
      <c r="M20" s="21">
        <v>0</v>
      </c>
      <c r="N20" s="21">
        <f>+L20+M20</f>
        <v>11713.594776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1823.58</v>
      </c>
      <c r="D21" s="2" t="s">
        <v>95</v>
      </c>
      <c r="H21" s="2">
        <f>+C21-F21</f>
        <v>1823.58</v>
      </c>
      <c r="J21" s="23"/>
      <c r="K21" s="39">
        <f>+K20</f>
        <v>0.3224</v>
      </c>
      <c r="L21" s="2">
        <f>+K21*C21</f>
        <v>587.922192</v>
      </c>
      <c r="M21" s="21">
        <v>0</v>
      </c>
      <c r="N21" s="21">
        <f>+L21+M21</f>
        <v>587.922192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2">
        <v>6604.69</v>
      </c>
      <c r="F24" s="2">
        <f>86687/12</f>
        <v>7223.916666666667</v>
      </c>
      <c r="H24" s="2">
        <f>+C25-F24</f>
        <v>-7223.916666666667</v>
      </c>
      <c r="J24" s="23"/>
      <c r="K24" s="39">
        <v>0.3451</v>
      </c>
      <c r="L24" s="2">
        <f>+K24*C24</f>
        <v>2279.278519</v>
      </c>
      <c r="M24" s="21">
        <v>0</v>
      </c>
      <c r="N24" s="21">
        <f>+L24+M24</f>
        <v>2279.278519</v>
      </c>
      <c r="O24" s="21"/>
    </row>
    <row r="25" spans="10:15" ht="12.75"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2">
        <v>2976</v>
      </c>
      <c r="D26" s="2" t="s">
        <v>95</v>
      </c>
      <c r="F26" s="2">
        <f>38916/12</f>
        <v>3243</v>
      </c>
      <c r="H26" s="2">
        <f>+C27-F26</f>
        <v>-3243</v>
      </c>
      <c r="J26" s="23"/>
      <c r="K26" s="39">
        <v>0.7551</v>
      </c>
      <c r="L26" s="2">
        <f>+K26*C26</f>
        <v>2247.1776</v>
      </c>
      <c r="M26" s="21">
        <v>0</v>
      </c>
      <c r="N26" s="21">
        <f>+L26+M26</f>
        <v>2247.1776</v>
      </c>
      <c r="O26" s="21"/>
    </row>
    <row r="27" spans="10:15" ht="12.75"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2">
        <v>1171.51</v>
      </c>
      <c r="D28" s="2" t="s">
        <v>95</v>
      </c>
      <c r="F28" s="2">
        <v>2125.5833333333335</v>
      </c>
      <c r="H28" s="2">
        <f>+C29-F28</f>
        <v>-2125.5833333333335</v>
      </c>
      <c r="J28" s="23"/>
      <c r="K28" s="39">
        <v>1.6846</v>
      </c>
      <c r="L28" s="2">
        <f>+K28*C28</f>
        <v>1973.525746</v>
      </c>
      <c r="M28" s="21">
        <v>0</v>
      </c>
      <c r="N28" s="21">
        <f>+L28+M28</f>
        <v>1973.525746</v>
      </c>
      <c r="O28" s="21"/>
    </row>
    <row r="29" spans="10:15" ht="12.75"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2">
        <v>879.24</v>
      </c>
      <c r="D30" s="2" t="s">
        <v>95</v>
      </c>
      <c r="F30" s="2">
        <v>873.0833333333334</v>
      </c>
      <c r="H30" s="2">
        <f>+C31-F30</f>
        <v>-873.0833333333334</v>
      </c>
      <c r="J30" s="23"/>
      <c r="K30" s="39">
        <v>0.5231</v>
      </c>
      <c r="L30" s="2">
        <f>+K30*C30</f>
        <v>459.930444</v>
      </c>
      <c r="M30" s="21">
        <v>0</v>
      </c>
      <c r="N30" s="21">
        <f>+L30+M30</f>
        <v>459.930444</v>
      </c>
      <c r="O30" s="21"/>
    </row>
    <row r="31" spans="10:15" ht="12.75"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v>37.13375</v>
      </c>
      <c r="F32" s="2">
        <v>44.666666666666664</v>
      </c>
      <c r="H32" s="2">
        <f>+C33-F32</f>
        <v>-44.666666666666664</v>
      </c>
      <c r="J32" s="23"/>
      <c r="K32" s="39">
        <v>0.7074</v>
      </c>
      <c r="L32" s="2">
        <f>+K32*C32</f>
        <v>26.26841475</v>
      </c>
      <c r="M32" s="21">
        <v>0</v>
      </c>
      <c r="N32" s="21">
        <f>+L32+M32</f>
        <v>26.26841475</v>
      </c>
      <c r="O32" s="21"/>
    </row>
    <row r="33" spans="10:15" ht="12.75"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13"/>
      <c r="D34" s="13"/>
      <c r="E34" s="13"/>
      <c r="F34" s="13">
        <f>SUM(F9:F32)</f>
        <v>84359</v>
      </c>
      <c r="G34" s="13" t="e">
        <f>SUM(G9:G32)</f>
        <v>#REF!</v>
      </c>
      <c r="H34" s="13">
        <f>SUM(H9:H33)</f>
        <v>-17133.969999999998</v>
      </c>
      <c r="I34" s="13" t="e">
        <f>SUM(I9:I32)</f>
        <v>#REF!</v>
      </c>
      <c r="J34" s="23"/>
      <c r="K34" s="40"/>
      <c r="L34" s="13">
        <f>SUM(L9:L32)</f>
        <v>95126.14075975001</v>
      </c>
      <c r="M34" s="13">
        <f>SUM(M9:M32)</f>
        <v>0</v>
      </c>
      <c r="N34" s="13">
        <f>SUM(N9:N32)</f>
        <v>95126.14075975001</v>
      </c>
      <c r="O34" s="21"/>
    </row>
    <row r="35" spans="3:15" ht="12.75">
      <c r="C35" s="2">
        <f>SUM(C17:C34)</f>
        <v>79296.96375</v>
      </c>
      <c r="D35" s="2">
        <f>SUM(D9:D16)</f>
        <v>15753673</v>
      </c>
      <c r="G35" s="2"/>
      <c r="H35" s="2">
        <f>+C35-F34</f>
        <v>-5062.036250000005</v>
      </c>
      <c r="I35" s="2" t="e">
        <f>+D35-G34</f>
        <v>#REF!</v>
      </c>
      <c r="J35" s="23"/>
      <c r="K35" s="39"/>
      <c r="L35" s="2"/>
      <c r="M35" s="21"/>
      <c r="N35" s="21"/>
      <c r="O35" s="21"/>
    </row>
    <row r="36" spans="3:15" ht="13.5" thickBot="1">
      <c r="C36" s="22">
        <v>79259.83</v>
      </c>
      <c r="D36" s="22">
        <v>15753673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3.5" thickTop="1">
      <c r="C37" s="21">
        <f>+C36-C35</f>
        <v>-37.1337499999936</v>
      </c>
      <c r="D37" s="21">
        <f>+D36-D35</f>
        <v>0</v>
      </c>
      <c r="H37" s="21"/>
      <c r="I37" s="21"/>
      <c r="J37" s="23"/>
      <c r="K37" s="21"/>
      <c r="L37" s="24"/>
      <c r="M37" s="21"/>
      <c r="N37" s="21"/>
      <c r="O37" s="21"/>
    </row>
    <row r="38" spans="8:15" ht="12.75"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C10">
      <selection activeCell="O36" sqref="O3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91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11989453.71/1.0313*0.25</f>
        <v>2906393.3166876757</v>
      </c>
      <c r="G9" s="2">
        <f>132815003/12</f>
        <v>11067916.916666666</v>
      </c>
      <c r="I9" s="2">
        <f>+D9-G9</f>
        <v>-8161523.599978991</v>
      </c>
      <c r="J9" s="23"/>
      <c r="K9" s="39">
        <v>0.0049</v>
      </c>
      <c r="L9" s="2">
        <f>+K9*D9</f>
        <v>14241.32725176961</v>
      </c>
      <c r="M9" s="21">
        <v>0</v>
      </c>
      <c r="N9" s="21">
        <f>+L9+M9</f>
        <v>14241.32725176961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f>731496.06/1.0313*0.25</f>
        <v>177323.78066517986</v>
      </c>
      <c r="G10" s="2">
        <f>8045508/12</f>
        <v>670459</v>
      </c>
      <c r="I10" s="2">
        <f>+D10-G10</f>
        <v>-493135.21933482017</v>
      </c>
      <c r="J10" s="23"/>
      <c r="K10" s="39">
        <v>0.003</v>
      </c>
      <c r="L10" s="2">
        <f>+K10*D10</f>
        <v>531.9713419955395</v>
      </c>
      <c r="M10" s="21">
        <v>0</v>
      </c>
      <c r="N10" s="21">
        <f>+L10+M10</f>
        <v>531.9713419955395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f>364711.99/1.0313*0.25</f>
        <v>88410.74129739164</v>
      </c>
      <c r="G11" s="2">
        <f>4425148/12</f>
        <v>368762.3333333333</v>
      </c>
      <c r="I11" s="2">
        <f>+D11-G11</f>
        <v>-280351.59203594166</v>
      </c>
      <c r="J11" s="23"/>
      <c r="K11" s="39">
        <v>0.0016</v>
      </c>
      <c r="L11" s="2">
        <f>+K11*D11</f>
        <v>141.45718607582663</v>
      </c>
      <c r="M11" s="21">
        <v>0</v>
      </c>
      <c r="N11" s="21">
        <f>+L11+M11</f>
        <v>141.45718607582663</v>
      </c>
      <c r="O11" s="21"/>
      <c r="Q11" s="19"/>
      <c r="R11" s="19"/>
    </row>
    <row r="12" spans="10:18" ht="12.75">
      <c r="J12" s="23"/>
      <c r="K12" s="39"/>
      <c r="L12" s="2"/>
      <c r="M12" s="21"/>
      <c r="O12" s="21" t="e">
        <f>+#REF!/12</f>
        <v>#REF!</v>
      </c>
      <c r="Q12" s="19"/>
      <c r="R12" s="19"/>
    </row>
    <row r="13" spans="1:18" ht="12.75">
      <c r="A13" t="s">
        <v>13</v>
      </c>
      <c r="B13" t="s">
        <v>14</v>
      </c>
      <c r="D13" s="2">
        <f>6073999.05/1.0313*0.25</f>
        <v>1472413.2284495295</v>
      </c>
      <c r="G13" s="2">
        <f>71517111/12</f>
        <v>5959759.25</v>
      </c>
      <c r="I13" s="2">
        <f>+D13-G13</f>
        <v>-4487346.021550471</v>
      </c>
      <c r="J13" s="23"/>
      <c r="K13" s="39">
        <v>0.0033</v>
      </c>
      <c r="L13" s="2">
        <f>+K13*D13</f>
        <v>4858.9636538834475</v>
      </c>
      <c r="M13" s="21">
        <v>0</v>
      </c>
      <c r="N13" s="21">
        <f>+L13+M13</f>
        <v>4858.9636538834475</v>
      </c>
      <c r="O13" s="21"/>
      <c r="Q13" s="19"/>
      <c r="R13" s="19"/>
    </row>
    <row r="14" spans="1:18" ht="12.75">
      <c r="A14" t="s">
        <v>18</v>
      </c>
      <c r="B14" t="s">
        <v>14</v>
      </c>
      <c r="D14" s="2">
        <f>80190.81/1.0313*0.25</f>
        <v>19439.253854358572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64.14953771938329</v>
      </c>
      <c r="M14" s="21">
        <v>0</v>
      </c>
      <c r="N14" s="21">
        <f>+L14+M14</f>
        <v>64.14953771938329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f>49973.71/1.0313*0.25</f>
        <v>12114.251430233684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39.97702971977116</v>
      </c>
      <c r="M15" s="21">
        <v>0</v>
      </c>
      <c r="N15" s="21">
        <f>+L15+M15</f>
        <v>39.97702971977116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f>(8115.42+4581.96)*0.25</f>
        <v>3174.3450000000003</v>
      </c>
      <c r="F17" s="2">
        <f>850185/12</f>
        <v>70848.75</v>
      </c>
      <c r="H17" s="2">
        <f>+C17-F17</f>
        <v>-67674.405</v>
      </c>
      <c r="J17" s="23"/>
      <c r="K17" s="39">
        <v>0.3224</v>
      </c>
      <c r="L17" s="2">
        <f>+K17*C17</f>
        <v>1023.4088280000002</v>
      </c>
      <c r="M17" s="21">
        <v>0</v>
      </c>
      <c r="N17" s="21">
        <f>+L17+M17</f>
        <v>1023.4088280000002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f>(52.68+349.74)*0.25</f>
        <v>100.605</v>
      </c>
      <c r="J18" s="23"/>
      <c r="K18" s="39">
        <f>+K17</f>
        <v>0.3224</v>
      </c>
      <c r="L18" s="2">
        <f>+K18*C18</f>
        <v>32.435052000000006</v>
      </c>
      <c r="M18" s="21">
        <v>0</v>
      </c>
      <c r="N18" s="21">
        <f>+L18+M18</f>
        <v>32.435052000000006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f>16112.18*0.25</f>
        <v>4028.045</v>
      </c>
      <c r="H19" s="2">
        <f>+C19-F19</f>
        <v>4028.045</v>
      </c>
      <c r="J19" s="23"/>
      <c r="K19" s="39">
        <f>+K18</f>
        <v>0.3224</v>
      </c>
      <c r="L19" s="2">
        <f>+K19*C19</f>
        <v>1298.641708</v>
      </c>
      <c r="M19" s="21">
        <v>0</v>
      </c>
      <c r="N19" s="21">
        <f>+L19+M19</f>
        <v>1298.641708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f>36738.14*0.25</f>
        <v>9184.535</v>
      </c>
      <c r="H20" s="2">
        <f>+C20-F20</f>
        <v>9184.535</v>
      </c>
      <c r="J20" s="23"/>
      <c r="K20" s="39">
        <f>+K19</f>
        <v>0.3224</v>
      </c>
      <c r="L20" s="2">
        <f>+K20*C20</f>
        <v>2961.0940840000003</v>
      </c>
      <c r="M20" s="21">
        <v>0</v>
      </c>
      <c r="N20" s="21">
        <f>+L20+M20</f>
        <v>2961.0940840000003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f>1768.62*0.25</f>
        <v>442.155</v>
      </c>
      <c r="H21" s="2">
        <f>+C21-F21</f>
        <v>442.155</v>
      </c>
      <c r="J21" s="23"/>
      <c r="K21" s="39">
        <f>+K20</f>
        <v>0.3224</v>
      </c>
      <c r="L21" s="2">
        <f>+K21*C21</f>
        <v>142.550772</v>
      </c>
      <c r="M21" s="21">
        <v>0</v>
      </c>
      <c r="N21" s="21">
        <f>+L21+M21</f>
        <v>142.550772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2">
        <f>6474.2*0.25</f>
        <v>1618.55</v>
      </c>
      <c r="F24" s="2">
        <f>86687/12</f>
        <v>7223.916666666667</v>
      </c>
      <c r="H24" s="2">
        <f>+C24-F24</f>
        <v>-5605.366666666667</v>
      </c>
      <c r="J24" s="23"/>
      <c r="K24" s="39">
        <v>0.3451</v>
      </c>
      <c r="L24" s="2">
        <f>+K24*C24</f>
        <v>558.561605</v>
      </c>
      <c r="M24" s="21">
        <v>0</v>
      </c>
      <c r="N24" s="21">
        <f>+L24+M24</f>
        <v>558.561605</v>
      </c>
      <c r="O24" s="21"/>
    </row>
    <row r="25" spans="10:15" ht="12.75"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2">
        <f>2918.4*0.25</f>
        <v>729.6</v>
      </c>
      <c r="F26" s="2">
        <f>38916/12</f>
        <v>3243</v>
      </c>
      <c r="H26" s="2">
        <f>+C26-F26</f>
        <v>-2513.4</v>
      </c>
      <c r="J26" s="23"/>
      <c r="K26" s="39">
        <v>0.7551</v>
      </c>
      <c r="L26" s="2">
        <f>+K26*C26</f>
        <v>550.92096</v>
      </c>
      <c r="M26" s="21">
        <v>0</v>
      </c>
      <c r="N26" s="21">
        <f>+L26+M26</f>
        <v>550.92096</v>
      </c>
      <c r="O26" s="21"/>
    </row>
    <row r="27" spans="10:15" ht="12.75"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2">
        <f>535.75*0.25</f>
        <v>133.9375</v>
      </c>
      <c r="F28" s="2">
        <v>2125.5833333333335</v>
      </c>
      <c r="H28" s="2">
        <f>+C28-F28</f>
        <v>-1991.6458333333335</v>
      </c>
      <c r="J28" s="23"/>
      <c r="K28" s="39">
        <v>1.6846</v>
      </c>
      <c r="L28" s="2">
        <f>+K28*C28</f>
        <v>225.6311125</v>
      </c>
      <c r="M28" s="21">
        <v>0</v>
      </c>
      <c r="N28" s="21">
        <f>+L28+M28</f>
        <v>225.6311125</v>
      </c>
      <c r="O28" s="21"/>
    </row>
    <row r="29" spans="10:15" ht="12.75"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2">
        <f>879.24*0.25</f>
        <v>219.81</v>
      </c>
      <c r="D30" s="2">
        <v>0</v>
      </c>
      <c r="F30" s="2">
        <v>873.0833333333334</v>
      </c>
      <c r="H30" s="2">
        <f>+C30-F30</f>
        <v>-653.2733333333333</v>
      </c>
      <c r="J30" s="23"/>
      <c r="K30" s="39">
        <v>0.5231</v>
      </c>
      <c r="L30" s="2">
        <f>+K30*C30</f>
        <v>114.982611</v>
      </c>
      <c r="M30" s="21">
        <v>0</v>
      </c>
      <c r="N30" s="21">
        <f>+L30+M30</f>
        <v>114.982611</v>
      </c>
      <c r="O30" s="21"/>
    </row>
    <row r="31" spans="3:15" ht="12.75">
      <c r="C31" s="2" t="s">
        <v>30</v>
      </c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f>(13194.15+174)/360*0.25</f>
        <v>9.2834375</v>
      </c>
      <c r="D32" s="2">
        <v>0</v>
      </c>
      <c r="F32" s="2">
        <v>44.666666666666664</v>
      </c>
      <c r="H32" s="2">
        <f>+C32-F32</f>
        <v>-35.383229166666666</v>
      </c>
      <c r="J32" s="23"/>
      <c r="K32" s="39">
        <v>0.7074</v>
      </c>
      <c r="L32" s="2">
        <f>+K32*C32</f>
        <v>6.5671036875</v>
      </c>
      <c r="M32" s="21">
        <v>0</v>
      </c>
      <c r="N32" s="21">
        <f>+L32+M32</f>
        <v>6.5671036875</v>
      </c>
      <c r="O32" s="21"/>
    </row>
    <row r="33" spans="10:15" ht="12.75"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13">
        <f>SUM(C9:C33)</f>
        <v>19640.865937499995</v>
      </c>
      <c r="D34" s="13">
        <f>SUM(D9:D33)</f>
        <v>4676094.572384369</v>
      </c>
      <c r="E34" s="13"/>
      <c r="F34" s="13">
        <f>SUM(F9:F32)</f>
        <v>84359</v>
      </c>
      <c r="G34" s="13" t="e">
        <f>SUM(G9:G32)</f>
        <v>#REF!</v>
      </c>
      <c r="H34" s="13">
        <f>SUM(H9:H33)</f>
        <v>-64818.739062500004</v>
      </c>
      <c r="I34" s="13" t="e">
        <f>SUM(I9:I32)</f>
        <v>#REF!</v>
      </c>
      <c r="J34" s="23"/>
      <c r="K34" s="40"/>
      <c r="L34" s="13">
        <f>SUM(L9:L32)</f>
        <v>26792.63983735107</v>
      </c>
      <c r="M34" s="13">
        <f>SUM(M9:M32)</f>
        <v>0</v>
      </c>
      <c r="N34" s="13">
        <f>SUM(N9:N32)</f>
        <v>26792.63983735107</v>
      </c>
      <c r="O34" s="21"/>
    </row>
    <row r="35" spans="3:15" ht="12.75">
      <c r="C35" s="2">
        <v>78526.33</v>
      </c>
      <c r="D35" s="2">
        <v>18704532</v>
      </c>
      <c r="G35" s="2"/>
      <c r="H35" s="2">
        <f>+C34-F34</f>
        <v>-64718.1340625</v>
      </c>
      <c r="I35" s="2" t="e">
        <f>+D34-G34</f>
        <v>#REF!</v>
      </c>
      <c r="J35" s="23"/>
      <c r="K35" s="39"/>
      <c r="L35" s="2"/>
      <c r="M35" s="21"/>
      <c r="N35" s="21"/>
      <c r="O35" s="21"/>
    </row>
    <row r="36" spans="3:15" ht="13.5" thickBot="1">
      <c r="C36" s="22">
        <f>+C34-C35</f>
        <v>-58885.4640625</v>
      </c>
      <c r="D36" s="22">
        <f>+D34-D35</f>
        <v>-14028437.427615631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3.5" thickTop="1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8:15" ht="12.75"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110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11704051*1.75</f>
        <v>20482089.25</v>
      </c>
      <c r="G9" s="2">
        <f>132815003/12</f>
        <v>11067916.916666666</v>
      </c>
      <c r="I9" s="2">
        <f>+D9-G9</f>
        <v>9414172.333333334</v>
      </c>
      <c r="J9" s="23"/>
      <c r="K9" s="39">
        <v>0.0049</v>
      </c>
      <c r="L9" s="2">
        <f>+K9*D9</f>
        <v>100362.237325</v>
      </c>
      <c r="M9" s="21">
        <v>0</v>
      </c>
      <c r="N9" s="21">
        <f>+L9+M9</f>
        <v>100362.237325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f>748012*1.75</f>
        <v>1309021</v>
      </c>
      <c r="G10" s="2">
        <f>8045508/12</f>
        <v>670459</v>
      </c>
      <c r="I10" s="2">
        <f>+D10-G10</f>
        <v>638562</v>
      </c>
      <c r="J10" s="23"/>
      <c r="K10" s="39">
        <v>0.003</v>
      </c>
      <c r="L10" s="2">
        <f>+K10*D10</f>
        <v>3927.063</v>
      </c>
      <c r="M10" s="21">
        <v>0</v>
      </c>
      <c r="N10" s="21">
        <f>+L10+M10</f>
        <v>3927.063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f>346981*1.75</f>
        <v>607216.75</v>
      </c>
      <c r="G11" s="2">
        <f>4425148/12</f>
        <v>368762.3333333333</v>
      </c>
      <c r="I11" s="2">
        <f>+D11-G11</f>
        <v>238454.4166666667</v>
      </c>
      <c r="J11" s="23"/>
      <c r="K11" s="39">
        <v>0.0016</v>
      </c>
      <c r="L11" s="2">
        <f>+K11*D11</f>
        <v>971.5468000000001</v>
      </c>
      <c r="M11" s="21">
        <v>0</v>
      </c>
      <c r="N11" s="21">
        <f>+L11+M11</f>
        <v>971.5468000000001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f>6200955*1.75</f>
        <v>10851671.25</v>
      </c>
      <c r="G13" s="2">
        <f>71517111/12</f>
        <v>5959759.25</v>
      </c>
      <c r="I13" s="2">
        <f>+D13-G13</f>
        <v>4891912</v>
      </c>
      <c r="J13" s="23"/>
      <c r="K13" s="39">
        <v>0.0033</v>
      </c>
      <c r="L13" s="2">
        <f>+K13*D13</f>
        <v>35810.515125</v>
      </c>
      <c r="M13" s="21">
        <v>0</v>
      </c>
      <c r="N13" s="21">
        <f>+L13+M13</f>
        <v>35810.515125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f>64626*1.75</f>
        <v>113095.5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373.21515</v>
      </c>
      <c r="M14" s="21">
        <v>0</v>
      </c>
      <c r="N14" s="21">
        <f>+L14+M14</f>
        <v>373.21515</v>
      </c>
      <c r="O14" s="21"/>
      <c r="Q14" s="19"/>
      <c r="R14" s="19"/>
    </row>
    <row r="15" spans="1:18" ht="12.75">
      <c r="A15" t="s">
        <v>111</v>
      </c>
      <c r="B15" t="s">
        <v>14</v>
      </c>
      <c r="C15" s="2">
        <v>0</v>
      </c>
      <c r="D15" s="2">
        <f>1795*1.75</f>
        <v>3141.25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10.366125</v>
      </c>
      <c r="M15" s="21">
        <v>0</v>
      </c>
      <c r="N15" s="21">
        <f>+L15+M15</f>
        <v>10.366125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f>11454.86*1.75</f>
        <v>20046.005</v>
      </c>
      <c r="D17" s="2" t="s">
        <v>95</v>
      </c>
      <c r="F17" s="2">
        <f>850185/12</f>
        <v>70848.75</v>
      </c>
      <c r="H17" s="2">
        <f>+C17-F17</f>
        <v>-50802.744999999995</v>
      </c>
      <c r="J17" s="23"/>
      <c r="K17" s="39">
        <v>0.3224</v>
      </c>
      <c r="L17" s="2">
        <f>+K17*C17</f>
        <v>6462.832012000001</v>
      </c>
      <c r="M17" s="21">
        <v>0</v>
      </c>
      <c r="N17" s="21">
        <f>+L17+M17</f>
        <v>6462.832012000001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f>85.12*1.75</f>
        <v>148.96</v>
      </c>
      <c r="D18" s="2" t="s">
        <v>95</v>
      </c>
      <c r="J18" s="23"/>
      <c r="K18" s="39">
        <f>+K17</f>
        <v>0.3224</v>
      </c>
      <c r="L18" s="2">
        <f>+K18*C18</f>
        <v>48.02470400000001</v>
      </c>
      <c r="M18" s="21">
        <v>0</v>
      </c>
      <c r="N18" s="21">
        <f>+L18+M18</f>
        <v>48.02470400000001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f>20004.51*1.75</f>
        <v>35007.892499999994</v>
      </c>
      <c r="D19" s="2" t="s">
        <v>95</v>
      </c>
      <c r="H19" s="2">
        <f>+C19-F19</f>
        <v>35007.892499999994</v>
      </c>
      <c r="J19" s="23"/>
      <c r="K19" s="39">
        <f>+K18</f>
        <v>0.3224</v>
      </c>
      <c r="L19" s="2">
        <f>+K19*C19</f>
        <v>11286.544542</v>
      </c>
      <c r="M19" s="21">
        <v>0</v>
      </c>
      <c r="N19" s="21">
        <f>+L19+M19</f>
        <v>11286.544542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f>36299.58*1.75</f>
        <v>63524.265</v>
      </c>
      <c r="D20" s="2" t="s">
        <v>95</v>
      </c>
      <c r="H20" s="2">
        <f>+C20-F20</f>
        <v>63524.265</v>
      </c>
      <c r="J20" s="23"/>
      <c r="K20" s="39">
        <f>+K19</f>
        <v>0.3224</v>
      </c>
      <c r="L20" s="2">
        <f>+K20*C20</f>
        <v>20480.223036</v>
      </c>
      <c r="M20" s="21">
        <v>0</v>
      </c>
      <c r="N20" s="21">
        <f>+L20+M20</f>
        <v>20480.223036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0</v>
      </c>
      <c r="D21" s="2" t="s">
        <v>95</v>
      </c>
      <c r="H21" s="2">
        <f>+C21-F21</f>
        <v>0</v>
      </c>
      <c r="J21" s="23"/>
      <c r="K21" s="39">
        <f>+K20</f>
        <v>0.3224</v>
      </c>
      <c r="L21" s="2">
        <f>+K21*C21</f>
        <v>0</v>
      </c>
      <c r="M21" s="21">
        <v>0</v>
      </c>
      <c r="N21" s="21">
        <f>+L21+M21</f>
        <v>0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f>6363.36*1.75</f>
        <v>11135.88</v>
      </c>
      <c r="F24" s="2">
        <f>86687/12</f>
        <v>7223.916666666667</v>
      </c>
      <c r="H24" s="2">
        <f>+C28-F24</f>
        <v>-6551.916666666667</v>
      </c>
      <c r="J24" s="23"/>
      <c r="K24" s="39">
        <v>0.3451</v>
      </c>
      <c r="L24" s="2">
        <f>+K24*C24</f>
        <v>3842.9921879999997</v>
      </c>
      <c r="M24" s="21">
        <v>0</v>
      </c>
      <c r="N24" s="21">
        <f>+L24+M24</f>
        <v>3842.9921879999997</v>
      </c>
      <c r="O24" s="21"/>
    </row>
    <row r="25" spans="3:15" ht="12.75">
      <c r="C25" s="14"/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f>3225.6*1.75</f>
        <v>5644.8</v>
      </c>
      <c r="F26" s="2">
        <f>38916/12</f>
        <v>3243</v>
      </c>
      <c r="H26" s="2">
        <f>+C30-F26</f>
        <v>-1704.1025</v>
      </c>
      <c r="J26" s="23"/>
      <c r="K26" s="39">
        <v>0.7551</v>
      </c>
      <c r="L26" s="2">
        <f>+K26*C26</f>
        <v>4262.3884800000005</v>
      </c>
      <c r="M26" s="21">
        <v>0</v>
      </c>
      <c r="N26" s="21">
        <f>+L26+M26</f>
        <v>4262.3884800000005</v>
      </c>
      <c r="O26" s="21"/>
    </row>
    <row r="27" spans="3:15" ht="12.75">
      <c r="C27" s="14"/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f>384*1.75</f>
        <v>672</v>
      </c>
      <c r="F28" s="2">
        <v>2125.5833333333335</v>
      </c>
      <c r="H28" s="2">
        <f>+C32-F28</f>
        <v>-2031.441752777778</v>
      </c>
      <c r="J28" s="23"/>
      <c r="K28" s="39">
        <v>1.6846</v>
      </c>
      <c r="L28" s="2">
        <f>+K28*C28</f>
        <v>1132.0512</v>
      </c>
      <c r="M28" s="21">
        <v>0</v>
      </c>
      <c r="N28" s="21">
        <f>+L28+M28</f>
        <v>1132.0512</v>
      </c>
      <c r="O28" s="21"/>
    </row>
    <row r="29" spans="3:15" ht="12.75">
      <c r="C29" s="14"/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f>879.37*1.75</f>
        <v>1538.8975</v>
      </c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804.99728225</v>
      </c>
      <c r="M30" s="21">
        <v>0</v>
      </c>
      <c r="N30" s="21">
        <f>+L30+M30</f>
        <v>804.99728225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14">
        <f>(19366.268/360)*1.75</f>
        <v>94.14158055555555</v>
      </c>
      <c r="D32" s="2">
        <f>290*1.75</f>
        <v>507.5</v>
      </c>
      <c r="F32" s="2">
        <v>44.666666666666664</v>
      </c>
      <c r="H32" s="2">
        <f>+C34-F32</f>
        <v>137768.17491388888</v>
      </c>
      <c r="J32" s="23"/>
      <c r="K32" s="39">
        <v>0.7074</v>
      </c>
      <c r="L32" s="2">
        <f>+K32*C32</f>
        <v>66.595754085</v>
      </c>
      <c r="M32" s="21">
        <v>0</v>
      </c>
      <c r="N32" s="21">
        <f>+L32+M32</f>
        <v>66.595754085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137812.84158055554</v>
      </c>
      <c r="D34" s="2">
        <f>SUM(D7:D33)</f>
        <v>33366742.5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189841.59272333496</v>
      </c>
      <c r="M34" s="13">
        <f>SUM(M9:M32)</f>
        <v>0</v>
      </c>
      <c r="N34" s="13">
        <f>SUM(N9:N32)</f>
        <v>189841.59272333496</v>
      </c>
      <c r="O34" s="21"/>
    </row>
    <row r="35" spans="3:15" ht="13.5" thickBot="1">
      <c r="C35" s="22">
        <v>78696.4</v>
      </c>
      <c r="D35" s="22">
        <v>19066710</v>
      </c>
      <c r="G35" s="2"/>
      <c r="H35" s="2">
        <f>+C36-F34</f>
        <v>-143475.44158055555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-59116.44158055555</v>
      </c>
      <c r="D36" s="21">
        <f>+D35-D34</f>
        <v>-14300032.5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D34" sqref="D34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105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(11566715-28)</f>
        <v>11566687</v>
      </c>
      <c r="G9" s="2">
        <f>132815003/12</f>
        <v>11067916.916666666</v>
      </c>
      <c r="I9" s="2">
        <f>+D9-G9</f>
        <v>498770.08333333395</v>
      </c>
      <c r="J9" s="23"/>
      <c r="K9" s="39">
        <v>0.0049</v>
      </c>
      <c r="L9" s="2">
        <f>+K9*D9</f>
        <v>56676.766299999996</v>
      </c>
      <c r="M9" s="21">
        <v>0</v>
      </c>
      <c r="N9" s="21">
        <f>+L9+M9</f>
        <v>56676.766299999996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f>783803</f>
        <v>783803</v>
      </c>
      <c r="G10" s="2">
        <f>8045508/12</f>
        <v>670459</v>
      </c>
      <c r="I10" s="2">
        <f>+D10-G10</f>
        <v>113344</v>
      </c>
      <c r="J10" s="23"/>
      <c r="K10" s="39">
        <v>0.003</v>
      </c>
      <c r="L10" s="2">
        <f>+K10*D10</f>
        <v>2351.409</v>
      </c>
      <c r="M10" s="21">
        <v>0</v>
      </c>
      <c r="N10" s="21">
        <f>+L10+M10</f>
        <v>2351.409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f>383369</f>
        <v>383369</v>
      </c>
      <c r="G11" s="2">
        <f>4425148/12</f>
        <v>368762.3333333333</v>
      </c>
      <c r="I11" s="2">
        <f>+D11-G11</f>
        <v>14606.666666666686</v>
      </c>
      <c r="J11" s="23"/>
      <c r="K11" s="39">
        <v>0.0016</v>
      </c>
      <c r="L11" s="2">
        <f>+K11*D11</f>
        <v>613.3904</v>
      </c>
      <c r="M11" s="21">
        <v>0</v>
      </c>
      <c r="N11" s="21">
        <f>+L11+M11</f>
        <v>613.3904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f>5864234</f>
        <v>5864234</v>
      </c>
      <c r="G13" s="2">
        <f>71517111/12</f>
        <v>5959759.25</v>
      </c>
      <c r="I13" s="2">
        <f>+D13-G13</f>
        <v>-95525.25</v>
      </c>
      <c r="J13" s="23"/>
      <c r="K13" s="39">
        <v>0.0033</v>
      </c>
      <c r="L13" s="2">
        <f>+K13*D13</f>
        <v>19351.9722</v>
      </c>
      <c r="M13" s="21">
        <v>0</v>
      </c>
      <c r="N13" s="21">
        <f>+L13+M13</f>
        <v>19351.9722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f>61926</f>
        <v>61926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204.3558</v>
      </c>
      <c r="M14" s="21">
        <v>0</v>
      </c>
      <c r="N14" s="21">
        <f>+L14+M14</f>
        <v>204.3558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f>1675</f>
        <v>1675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5.5275</v>
      </c>
      <c r="M15" s="21">
        <v>0</v>
      </c>
      <c r="N15" s="21">
        <f>+L15+M15</f>
        <v>5.5275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f>11861.32</f>
        <v>11861.32</v>
      </c>
      <c r="D17" s="2" t="s">
        <v>95</v>
      </c>
      <c r="F17" s="2">
        <f>850185/12</f>
        <v>70848.75</v>
      </c>
      <c r="H17" s="2">
        <f>+C17-F17</f>
        <v>-58987.43</v>
      </c>
      <c r="J17" s="23"/>
      <c r="K17" s="39">
        <v>0.3224</v>
      </c>
      <c r="L17" s="2">
        <f>+K17*C17</f>
        <v>3824.0895680000003</v>
      </c>
      <c r="M17" s="21">
        <v>0</v>
      </c>
      <c r="N17" s="21">
        <f>+L17+M17</f>
        <v>3824.0895680000003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f>98.88</f>
        <v>98.88</v>
      </c>
      <c r="D18" s="2" t="s">
        <v>95</v>
      </c>
      <c r="J18" s="23"/>
      <c r="K18" s="39">
        <f>+K17</f>
        <v>0.3224</v>
      </c>
      <c r="L18" s="2">
        <f>+K18*C18</f>
        <v>31.878912</v>
      </c>
      <c r="M18" s="21">
        <v>0</v>
      </c>
      <c r="N18" s="21">
        <f>+L18+M18</f>
        <v>31.878912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f>19738.33</f>
        <v>19738.33</v>
      </c>
      <c r="D19" s="2" t="s">
        <v>95</v>
      </c>
      <c r="H19" s="2">
        <f>+C19-F19</f>
        <v>19738.33</v>
      </c>
      <c r="J19" s="23"/>
      <c r="K19" s="39">
        <f>+K18</f>
        <v>0.3224</v>
      </c>
      <c r="L19" s="2">
        <f>+K19*C19</f>
        <v>6363.637592000001</v>
      </c>
      <c r="M19" s="21">
        <v>0</v>
      </c>
      <c r="N19" s="21">
        <f>+L19+M19</f>
        <v>6363.637592000001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f>36427.25</f>
        <v>36427.25</v>
      </c>
      <c r="D20" s="2" t="s">
        <v>95</v>
      </c>
      <c r="H20" s="2">
        <f>+C20-F20</f>
        <v>36427.25</v>
      </c>
      <c r="J20" s="23"/>
      <c r="K20" s="39">
        <f>+K19</f>
        <v>0.3224</v>
      </c>
      <c r="L20" s="2">
        <f>+K20*C20</f>
        <v>11744.145400000001</v>
      </c>
      <c r="M20" s="21">
        <v>0</v>
      </c>
      <c r="N20" s="21">
        <f>+L20+M20</f>
        <v>11744.145400000001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0</v>
      </c>
      <c r="D21" s="2" t="s">
        <v>95</v>
      </c>
      <c r="H21" s="2">
        <f>+C21-F21</f>
        <v>0</v>
      </c>
      <c r="J21" s="23"/>
      <c r="K21" s="39">
        <f>+K20</f>
        <v>0.3224</v>
      </c>
      <c r="L21" s="2">
        <f>+K21*C21</f>
        <v>0</v>
      </c>
      <c r="M21" s="21">
        <v>0</v>
      </c>
      <c r="N21" s="21">
        <f>+L21+M21</f>
        <v>0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f>6564.24</f>
        <v>6564.24</v>
      </c>
      <c r="F24" s="2">
        <f>86687/12</f>
        <v>7223.916666666667</v>
      </c>
      <c r="H24" s="2">
        <f>+C28-F24</f>
        <v>-6866.216666666667</v>
      </c>
      <c r="J24" s="23"/>
      <c r="K24" s="39">
        <v>0.3451</v>
      </c>
      <c r="L24" s="2">
        <f>+K24*C24</f>
        <v>2265.319224</v>
      </c>
      <c r="M24" s="21">
        <v>0</v>
      </c>
      <c r="N24" s="21">
        <f>+L24+M24</f>
        <v>2265.319224</v>
      </c>
      <c r="O24" s="21"/>
    </row>
    <row r="25" spans="10:15" ht="12.75"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f>3110.4</f>
        <v>3110.4</v>
      </c>
      <c r="D26" s="2" t="s">
        <v>95</v>
      </c>
      <c r="F26" s="2">
        <f>38916/12</f>
        <v>3243</v>
      </c>
      <c r="H26" s="2">
        <f>+C30-F26</f>
        <v>-2363.63</v>
      </c>
      <c r="J26" s="23"/>
      <c r="K26" s="39">
        <v>0.7551</v>
      </c>
      <c r="L26" s="2">
        <f>+K26*C26</f>
        <v>2348.66304</v>
      </c>
      <c r="M26" s="21">
        <v>0</v>
      </c>
      <c r="N26" s="21">
        <f>+L26+M26</f>
        <v>2348.66304</v>
      </c>
      <c r="O26" s="21"/>
    </row>
    <row r="27" spans="3:15" ht="12.75">
      <c r="C27" s="14"/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f>357.7</f>
        <v>357.7</v>
      </c>
      <c r="D28" s="2" t="s">
        <v>95</v>
      </c>
      <c r="F28" s="2">
        <v>2125.5833333333335</v>
      </c>
      <c r="H28" s="2">
        <f>+C32-F28</f>
        <v>-2071.7881444444447</v>
      </c>
      <c r="J28" s="23"/>
      <c r="K28" s="39">
        <v>1.6846</v>
      </c>
      <c r="L28" s="2">
        <f>+K28*C28</f>
        <v>602.58142</v>
      </c>
      <c r="M28" s="21">
        <v>0</v>
      </c>
      <c r="N28" s="21">
        <f>+L28+M28</f>
        <v>602.58142</v>
      </c>
      <c r="O28" s="21"/>
    </row>
    <row r="29" spans="3:15" ht="12.75">
      <c r="C29" s="14"/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f>879.37</f>
        <v>879.37</v>
      </c>
      <c r="D30" s="2" t="s">
        <v>95</v>
      </c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459.998447</v>
      </c>
      <c r="M30" s="21">
        <v>0</v>
      </c>
      <c r="N30" s="21">
        <f>+L30+M30</f>
        <v>459.998447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14">
        <f>19366.268/360</f>
        <v>53.79518888888889</v>
      </c>
      <c r="D32" s="2">
        <f>252</f>
        <v>252</v>
      </c>
      <c r="F32" s="2">
        <v>44.666666666666664</v>
      </c>
      <c r="H32" s="2">
        <f>+C34-F32</f>
        <v>79046.61852222221</v>
      </c>
      <c r="J32" s="23"/>
      <c r="K32" s="39">
        <v>0.7074</v>
      </c>
      <c r="L32" s="2">
        <f>+K32*C32</f>
        <v>38.05471662</v>
      </c>
      <c r="M32" s="21">
        <v>0</v>
      </c>
      <c r="N32" s="21">
        <f>+L32+M32</f>
        <v>38.05471662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79091.28518888888</v>
      </c>
      <c r="D34" s="2">
        <f>SUM(D7:D33)</f>
        <v>18661946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106881.78951962</v>
      </c>
      <c r="M34" s="13">
        <f>SUM(M9:M32)</f>
        <v>0</v>
      </c>
      <c r="N34" s="13">
        <f>SUM(N9:N32)</f>
        <v>106881.78951962</v>
      </c>
      <c r="O34" s="21"/>
    </row>
    <row r="35" spans="3:15" ht="13.5" thickBot="1">
      <c r="C35" s="22">
        <v>79037.49</v>
      </c>
      <c r="D35" s="22">
        <v>18661946</v>
      </c>
      <c r="G35" s="2"/>
      <c r="H35" s="2">
        <f>+C36-F34</f>
        <v>-84412.79518888888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-53.79518888887833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D16">
      <selection activeCell="N45" sqref="N45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104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f>12842805+28</f>
        <v>12842833</v>
      </c>
      <c r="G9" s="2">
        <f>132815003/12</f>
        <v>11067916.916666666</v>
      </c>
      <c r="I9" s="2">
        <f>+D9-G9</f>
        <v>1774916.083333334</v>
      </c>
      <c r="J9" s="23"/>
      <c r="K9" s="39">
        <v>0.0049</v>
      </c>
      <c r="L9" s="2">
        <f>+K9*D9</f>
        <v>62929.8817</v>
      </c>
      <c r="M9" s="21">
        <v>0</v>
      </c>
      <c r="N9" s="21">
        <f>+L9+M9</f>
        <v>62929.8817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876106</v>
      </c>
      <c r="G10" s="2">
        <f>8045508/12</f>
        <v>670459</v>
      </c>
      <c r="I10" s="2">
        <f>+D10-G10</f>
        <v>205647</v>
      </c>
      <c r="J10" s="23"/>
      <c r="K10" s="39">
        <v>0.003</v>
      </c>
      <c r="L10" s="2">
        <f>+K10*D10</f>
        <v>2628.318</v>
      </c>
      <c r="M10" s="21">
        <v>0</v>
      </c>
      <c r="N10" s="21">
        <f>+L10+M10</f>
        <v>2628.318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432743</v>
      </c>
      <c r="G11" s="2">
        <f>4425148/12</f>
        <v>368762.3333333333</v>
      </c>
      <c r="I11" s="2">
        <f>+D11-G11</f>
        <v>63980.666666666686</v>
      </c>
      <c r="J11" s="23"/>
      <c r="K11" s="39">
        <v>0.0016</v>
      </c>
      <c r="L11" s="2">
        <f>+K11*D11</f>
        <v>692.3888000000001</v>
      </c>
      <c r="M11" s="21">
        <v>0</v>
      </c>
      <c r="N11" s="21">
        <f>+L11+M11</f>
        <v>692.3888000000001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6442148</v>
      </c>
      <c r="G13" s="2">
        <f>71517111/12</f>
        <v>5959759.25</v>
      </c>
      <c r="I13" s="2">
        <f>+D13-G13</f>
        <v>482388.75</v>
      </c>
      <c r="J13" s="23"/>
      <c r="K13" s="39">
        <v>0.0033</v>
      </c>
      <c r="L13" s="2">
        <f>+K13*D13</f>
        <v>21259.0884</v>
      </c>
      <c r="M13" s="21">
        <v>0</v>
      </c>
      <c r="N13" s="21">
        <f>+L13+M13</f>
        <v>21259.0884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71720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236.676</v>
      </c>
      <c r="M14" s="21">
        <v>0</v>
      </c>
      <c r="N14" s="21">
        <f>+L14+M14</f>
        <v>236.676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1906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6.2898</v>
      </c>
      <c r="M15" s="21">
        <v>0</v>
      </c>
      <c r="N15" s="21">
        <f>+L15+M15</f>
        <v>6.2898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11511.47</v>
      </c>
      <c r="D17" s="2" t="s">
        <v>95</v>
      </c>
      <c r="F17" s="2">
        <f>850185/12</f>
        <v>70848.75</v>
      </c>
      <c r="H17" s="2">
        <f>+C17-F17</f>
        <v>-59337.28</v>
      </c>
      <c r="J17" s="23"/>
      <c r="K17" s="39">
        <v>0.3224</v>
      </c>
      <c r="L17" s="2">
        <f>+K17*C17</f>
        <v>3711.297928</v>
      </c>
      <c r="M17" s="21">
        <v>0</v>
      </c>
      <c r="N17" s="21">
        <f>+L17+M17</f>
        <v>3711.297928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86.56</v>
      </c>
      <c r="D18" s="2" t="s">
        <v>95</v>
      </c>
      <c r="J18" s="23"/>
      <c r="K18" s="39">
        <f>+K17</f>
        <v>0.3224</v>
      </c>
      <c r="L18" s="2">
        <f>+K18*C18</f>
        <v>27.906944000000003</v>
      </c>
      <c r="M18" s="21">
        <v>0</v>
      </c>
      <c r="N18" s="21">
        <f>+L18+M18</f>
        <v>27.906944000000003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19823.69</v>
      </c>
      <c r="D19" s="2" t="s">
        <v>95</v>
      </c>
      <c r="H19" s="2">
        <f>+C19-F19</f>
        <v>19823.69</v>
      </c>
      <c r="J19" s="23"/>
      <c r="K19" s="39">
        <f>+K18</f>
        <v>0.3224</v>
      </c>
      <c r="L19" s="2">
        <f>+K19*C19</f>
        <v>6391.157656</v>
      </c>
      <c r="M19" s="21">
        <v>0</v>
      </c>
      <c r="N19" s="21">
        <f>+L19+M19</f>
        <v>6391.157656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36925.84</v>
      </c>
      <c r="D20" s="2" t="s">
        <v>95</v>
      </c>
      <c r="H20" s="2">
        <f>+C20-F20</f>
        <v>36925.84</v>
      </c>
      <c r="J20" s="23"/>
      <c r="K20" s="39">
        <f>+K19</f>
        <v>0.3224</v>
      </c>
      <c r="L20" s="2">
        <f>+K20*C20</f>
        <v>11904.890816</v>
      </c>
      <c r="M20" s="21">
        <v>0</v>
      </c>
      <c r="N20" s="21">
        <f>+L20+M20</f>
        <v>11904.890816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0</v>
      </c>
      <c r="D21" s="2" t="s">
        <v>95</v>
      </c>
      <c r="H21" s="2">
        <f>+C21-F21</f>
        <v>0</v>
      </c>
      <c r="J21" s="23"/>
      <c r="K21" s="39">
        <f>+K20</f>
        <v>0.3224</v>
      </c>
      <c r="L21" s="2">
        <f>+K21*C21</f>
        <v>0</v>
      </c>
      <c r="M21" s="21">
        <v>0</v>
      </c>
      <c r="N21" s="21">
        <f>+L21+M21</f>
        <v>0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>
        <v>6272.64</v>
      </c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/>
      <c r="F24" s="2">
        <f>86687/12</f>
        <v>7223.916666666667</v>
      </c>
      <c r="H24" s="2">
        <f>+C27-F24</f>
        <v>-6744.886666666667</v>
      </c>
      <c r="J24" s="23"/>
      <c r="K24" s="39">
        <v>0.3451</v>
      </c>
      <c r="L24" s="2">
        <f>+K24*C24</f>
        <v>0</v>
      </c>
      <c r="M24" s="21">
        <v>0</v>
      </c>
      <c r="N24" s="21">
        <f>+L24+M24</f>
        <v>0</v>
      </c>
      <c r="O24" s="21"/>
    </row>
    <row r="25" spans="3:15" ht="12.75">
      <c r="C25" s="14">
        <v>2995.2</v>
      </c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/>
      <c r="F26" s="2">
        <f>38916/12</f>
        <v>3243</v>
      </c>
      <c r="H26" s="2">
        <f>+C29-F26</f>
        <v>-2363.63</v>
      </c>
      <c r="J26" s="23"/>
      <c r="K26" s="39">
        <v>0.7551</v>
      </c>
      <c r="L26" s="2">
        <f>+K26*C26</f>
        <v>0</v>
      </c>
      <c r="M26" s="21">
        <v>0</v>
      </c>
      <c r="N26" s="21">
        <f>+L26+M26</f>
        <v>0</v>
      </c>
      <c r="O26" s="21"/>
    </row>
    <row r="27" spans="3:15" ht="12.75">
      <c r="C27" s="14">
        <v>479.03</v>
      </c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/>
      <c r="F28" s="2">
        <v>2125.5833333333335</v>
      </c>
      <c r="H28" s="2">
        <f>+C31-F28</f>
        <v>-2071.7881444444447</v>
      </c>
      <c r="J28" s="23"/>
      <c r="K28" s="39">
        <v>1.6846</v>
      </c>
      <c r="L28" s="2">
        <f>+K28*C28</f>
        <v>0</v>
      </c>
      <c r="M28" s="21">
        <v>0</v>
      </c>
      <c r="N28" s="21">
        <f>+L28+M28</f>
        <v>0</v>
      </c>
      <c r="O28" s="21"/>
    </row>
    <row r="29" spans="3:15" ht="12.75">
      <c r="C29" s="14">
        <v>879.37</v>
      </c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/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0</v>
      </c>
      <c r="M30" s="21">
        <v>0</v>
      </c>
      <c r="N30" s="21">
        <f>+L30+M30</f>
        <v>0</v>
      </c>
      <c r="O30" s="21"/>
    </row>
    <row r="31" spans="3:15" ht="12.75">
      <c r="C31" s="14">
        <f>19366.268/360</f>
        <v>53.79518888888889</v>
      </c>
      <c r="D31" s="2">
        <v>213</v>
      </c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F32" s="2">
        <v>44.666666666666664</v>
      </c>
      <c r="H32" s="2">
        <f>+C34-F32</f>
        <v>78982.92852222221</v>
      </c>
      <c r="J32" s="23"/>
      <c r="K32" s="39">
        <v>0.7074</v>
      </c>
      <c r="L32" s="2">
        <f>+K32*C32</f>
        <v>0</v>
      </c>
      <c r="M32" s="21">
        <v>0</v>
      </c>
      <c r="N32" s="21">
        <f>+L32+M32</f>
        <v>0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79027.59518888888</v>
      </c>
      <c r="D34" s="2">
        <f>SUM(D7:D33)</f>
        <v>20667669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109787.896044</v>
      </c>
      <c r="M34" s="13">
        <f>SUM(M9:M32)</f>
        <v>0</v>
      </c>
      <c r="N34" s="13">
        <f>SUM(N9:N32)</f>
        <v>109787.896044</v>
      </c>
      <c r="O34" s="21"/>
    </row>
    <row r="35" spans="3:15" ht="13.5" thickBot="1">
      <c r="C35" s="22">
        <v>78973.8</v>
      </c>
      <c r="D35" s="22">
        <v>20667669</v>
      </c>
      <c r="G35" s="2"/>
      <c r="H35" s="2">
        <f>+C36-F34</f>
        <v>-84412.79518888888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-53.79518888887833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D16">
      <selection activeCell="B23" sqref="B23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103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v>13312733</v>
      </c>
      <c r="G9" s="2">
        <f>132815003/12</f>
        <v>11067916.916666666</v>
      </c>
      <c r="I9" s="2">
        <f>+D9-G9</f>
        <v>2244816.083333334</v>
      </c>
      <c r="J9" s="23"/>
      <c r="K9" s="39">
        <v>0.0049</v>
      </c>
      <c r="L9" s="2">
        <f>+K9*D9</f>
        <v>65232.3917</v>
      </c>
      <c r="M9" s="21">
        <v>0</v>
      </c>
      <c r="N9" s="21">
        <f>+L9+M9</f>
        <v>65232.3917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773724</v>
      </c>
      <c r="G10" s="2">
        <f>8045508/12</f>
        <v>670459</v>
      </c>
      <c r="I10" s="2">
        <f>+D10-G10</f>
        <v>103265</v>
      </c>
      <c r="J10" s="23"/>
      <c r="K10" s="39">
        <v>0.003</v>
      </c>
      <c r="L10" s="2">
        <f>+K10*D10</f>
        <v>2321.172</v>
      </c>
      <c r="M10" s="21">
        <v>0</v>
      </c>
      <c r="N10" s="21">
        <f>+L10+M10</f>
        <v>2321.172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412181</v>
      </c>
      <c r="G11" s="2">
        <f>4425148/12</f>
        <v>368762.3333333333</v>
      </c>
      <c r="I11" s="2">
        <f>+D11-G11</f>
        <v>43418.666666666686</v>
      </c>
      <c r="J11" s="23"/>
      <c r="K11" s="39">
        <v>0.0016</v>
      </c>
      <c r="L11" s="2">
        <f>+K11*D11</f>
        <v>659.4896</v>
      </c>
      <c r="M11" s="21">
        <v>0</v>
      </c>
      <c r="N11" s="21">
        <f>+L11+M11</f>
        <v>659.4896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f>6355439+0</f>
        <v>6355439</v>
      </c>
      <c r="G13" s="2">
        <f>71517111/12</f>
        <v>5959759.25</v>
      </c>
      <c r="I13" s="2">
        <f>+D13-G13</f>
        <v>395679.75</v>
      </c>
      <c r="J13" s="23"/>
      <c r="K13" s="39">
        <v>0.0033</v>
      </c>
      <c r="L13" s="2">
        <f>+K13*D13</f>
        <v>20972.9487</v>
      </c>
      <c r="M13" s="21">
        <v>0</v>
      </c>
      <c r="N13" s="21">
        <f>+L13+M13</f>
        <v>20972.9487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71720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236.676</v>
      </c>
      <c r="M14" s="21">
        <v>0</v>
      </c>
      <c r="N14" s="21">
        <f>+L14+M14</f>
        <v>236.676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2305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7.6065</v>
      </c>
      <c r="M15" s="21">
        <v>0</v>
      </c>
      <c r="N15" s="21">
        <f>+L15+M15</f>
        <v>7.6065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11507.92</v>
      </c>
      <c r="D17" s="2" t="s">
        <v>95</v>
      </c>
      <c r="F17" s="2">
        <f>850185/12</f>
        <v>70848.75</v>
      </c>
      <c r="H17" s="2">
        <f>+C17-F17</f>
        <v>-59340.83</v>
      </c>
      <c r="J17" s="23"/>
      <c r="K17" s="39">
        <v>0.3224</v>
      </c>
      <c r="L17" s="2">
        <f>+K17*C17</f>
        <v>3710.153408</v>
      </c>
      <c r="M17" s="21">
        <v>0</v>
      </c>
      <c r="N17" s="21">
        <f>+L17+M17</f>
        <v>3710.153408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106.88</v>
      </c>
      <c r="D18" s="2" t="s">
        <v>95</v>
      </c>
      <c r="J18" s="23"/>
      <c r="K18" s="39">
        <f>+K17</f>
        <v>0.3224</v>
      </c>
      <c r="L18" s="2">
        <f>+K18*C18</f>
        <v>34.458112</v>
      </c>
      <c r="M18" s="21">
        <v>0</v>
      </c>
      <c r="N18" s="21">
        <f>+L18+M18</f>
        <v>34.458112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20620.71</v>
      </c>
      <c r="D19" s="2" t="s">
        <v>95</v>
      </c>
      <c r="H19" s="2">
        <f>+C19-F19</f>
        <v>20620.71</v>
      </c>
      <c r="J19" s="23"/>
      <c r="K19" s="39">
        <f>+K18</f>
        <v>0.3224</v>
      </c>
      <c r="L19" s="2">
        <f>+K19*C19</f>
        <v>6648.116904</v>
      </c>
      <c r="M19" s="21">
        <v>0</v>
      </c>
      <c r="N19" s="21">
        <f>+L19+M19</f>
        <v>6648.116904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36714.66</v>
      </c>
      <c r="D20" s="2" t="s">
        <v>95</v>
      </c>
      <c r="H20" s="2">
        <f>+C20-F20</f>
        <v>36714.66</v>
      </c>
      <c r="J20" s="23"/>
      <c r="K20" s="39">
        <f>+K19</f>
        <v>0.3224</v>
      </c>
      <c r="L20" s="2">
        <f>+K20*C20</f>
        <v>11836.806384000001</v>
      </c>
      <c r="M20" s="21">
        <v>0</v>
      </c>
      <c r="N20" s="21">
        <f>+L20+M20</f>
        <v>11836.806384000001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0</v>
      </c>
      <c r="D21" s="2" t="s">
        <v>95</v>
      </c>
      <c r="H21" s="2">
        <f>+C21-F21</f>
        <v>0</v>
      </c>
      <c r="J21" s="23"/>
      <c r="K21" s="39">
        <f>+K20</f>
        <v>0.3224</v>
      </c>
      <c r="L21" s="2">
        <f>+K21*C21</f>
        <v>0</v>
      </c>
      <c r="M21" s="21">
        <v>0</v>
      </c>
      <c r="N21" s="21">
        <f>+L21+M21</f>
        <v>0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>
        <v>6384.83</v>
      </c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/>
      <c r="F24" s="2">
        <f>86687/12</f>
        <v>7223.916666666667</v>
      </c>
      <c r="H24" s="2">
        <f>+C27-F24</f>
        <v>-6881.236666666667</v>
      </c>
      <c r="J24" s="23"/>
      <c r="K24" s="39">
        <v>0.3451</v>
      </c>
      <c r="L24" s="2">
        <f>+K24*C24</f>
        <v>0</v>
      </c>
      <c r="M24" s="21">
        <v>0</v>
      </c>
      <c r="N24" s="21">
        <f>+L24+M24</f>
        <v>0</v>
      </c>
      <c r="O24" s="21"/>
    </row>
    <row r="25" spans="3:15" ht="12.75">
      <c r="C25" s="14">
        <v>3355.7</v>
      </c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/>
      <c r="F26" s="2">
        <f>38916/12</f>
        <v>3243</v>
      </c>
      <c r="H26" s="2">
        <f>+C29-F26</f>
        <v>-2363.63</v>
      </c>
      <c r="J26" s="23"/>
      <c r="K26" s="39">
        <v>0.7551</v>
      </c>
      <c r="L26" s="2">
        <f>+K26*C26</f>
        <v>0</v>
      </c>
      <c r="M26" s="21">
        <v>0</v>
      </c>
      <c r="N26" s="21">
        <f>+L26+M26</f>
        <v>0</v>
      </c>
      <c r="O26" s="21"/>
    </row>
    <row r="27" spans="3:15" ht="12.75">
      <c r="C27" s="14">
        <v>342.68</v>
      </c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/>
      <c r="F28" s="2">
        <v>2125.5833333333335</v>
      </c>
      <c r="H28" s="2">
        <f>+C31-F28</f>
        <v>-2071.7881444444447</v>
      </c>
      <c r="J28" s="23"/>
      <c r="K28" s="39">
        <v>1.6846</v>
      </c>
      <c r="L28" s="2">
        <f>+K28*C28</f>
        <v>0</v>
      </c>
      <c r="M28" s="21">
        <v>0</v>
      </c>
      <c r="N28" s="21">
        <f>+L28+M28</f>
        <v>0</v>
      </c>
      <c r="O28" s="21"/>
    </row>
    <row r="29" spans="3:15" ht="12.75">
      <c r="C29" s="14">
        <v>879.37</v>
      </c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/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0</v>
      </c>
      <c r="M30" s="21">
        <v>0</v>
      </c>
      <c r="N30" s="21">
        <f>+L30+M30</f>
        <v>0</v>
      </c>
      <c r="O30" s="21"/>
    </row>
    <row r="31" spans="3:15" ht="12.75">
      <c r="C31" s="14">
        <f>19366.268/360</f>
        <v>53.79518888888889</v>
      </c>
      <c r="D31" s="2">
        <v>202</v>
      </c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F32" s="2">
        <v>44.666666666666664</v>
      </c>
      <c r="H32" s="2">
        <f>+C34-F32</f>
        <v>79921.8785222222</v>
      </c>
      <c r="J32" s="23"/>
      <c r="K32" s="39">
        <v>0.7074</v>
      </c>
      <c r="L32" s="2">
        <f>+K32*C32</f>
        <v>0</v>
      </c>
      <c r="M32" s="21">
        <v>0</v>
      </c>
      <c r="N32" s="21">
        <f>+L32+M32</f>
        <v>0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79966.54518888888</v>
      </c>
      <c r="D34" s="2">
        <f>SUM(D7:D33)</f>
        <v>20928304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111659.81930799999</v>
      </c>
      <c r="M34" s="13">
        <f>SUM(M9:M32)</f>
        <v>0</v>
      </c>
      <c r="N34" s="13">
        <f>SUM(N9:N32)</f>
        <v>111659.81930799999</v>
      </c>
      <c r="O34" s="21"/>
    </row>
    <row r="35" spans="3:15" ht="13.5" thickBot="1">
      <c r="C35" s="22">
        <v>79912.75</v>
      </c>
      <c r="D35" s="22">
        <v>20928304</v>
      </c>
      <c r="G35" s="2"/>
      <c r="H35" s="2">
        <f>+C36-F34</f>
        <v>-84412.79518888888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-53.79518888887833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6">
      <selection activeCell="A39" sqref="A39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102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v>11140044</v>
      </c>
      <c r="G9" s="2">
        <f>132815003/12</f>
        <v>11067916.916666666</v>
      </c>
      <c r="I9" s="2">
        <f>+D9-G9</f>
        <v>72127.08333333395</v>
      </c>
      <c r="J9" s="23"/>
      <c r="K9" s="39">
        <v>0.0049</v>
      </c>
      <c r="L9" s="2">
        <f>+K9*D9</f>
        <v>54586.215599999996</v>
      </c>
      <c r="M9" s="21">
        <v>0</v>
      </c>
      <c r="N9" s="21">
        <f>+L9+M9</f>
        <v>54586.215599999996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657837</v>
      </c>
      <c r="G10" s="2">
        <f>8045508/12</f>
        <v>670459</v>
      </c>
      <c r="I10" s="2">
        <f>+D10-G10</f>
        <v>-12622</v>
      </c>
      <c r="J10" s="23"/>
      <c r="K10" s="39">
        <v>0.003</v>
      </c>
      <c r="L10" s="2">
        <f>+K10*D10</f>
        <v>1973.511</v>
      </c>
      <c r="M10" s="21">
        <v>0</v>
      </c>
      <c r="N10" s="21">
        <f>+L10+M10</f>
        <v>1973.511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346026</v>
      </c>
      <c r="G11" s="2">
        <f>4425148/12</f>
        <v>368762.3333333333</v>
      </c>
      <c r="I11" s="2">
        <f>+D11-G11</f>
        <v>-22736.333333333314</v>
      </c>
      <c r="J11" s="23"/>
      <c r="K11" s="39">
        <v>0.0016</v>
      </c>
      <c r="L11" s="2">
        <f>+K11*D11</f>
        <v>553.6416</v>
      </c>
      <c r="M11" s="21">
        <v>0</v>
      </c>
      <c r="N11" s="21">
        <f>+L11+M11</f>
        <v>553.6416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5650630</v>
      </c>
      <c r="G13" s="2">
        <f>71517111/12</f>
        <v>5959759.25</v>
      </c>
      <c r="I13" s="2">
        <f>+D13-G13</f>
        <v>-309129.25</v>
      </c>
      <c r="J13" s="23"/>
      <c r="K13" s="39">
        <v>0.0033</v>
      </c>
      <c r="L13" s="2">
        <f>+K13*D13</f>
        <v>18647.079</v>
      </c>
      <c r="M13" s="21">
        <v>0</v>
      </c>
      <c r="N13" s="21">
        <f>+L13+M13</f>
        <v>18647.079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72502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239.2566</v>
      </c>
      <c r="M14" s="21">
        <v>0</v>
      </c>
      <c r="N14" s="21">
        <f>+L14+M14</f>
        <v>239.2566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2051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6.7683</v>
      </c>
      <c r="M15" s="21">
        <v>0</v>
      </c>
      <c r="N15" s="21">
        <f>+L15+M15</f>
        <v>6.7683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11624.58</v>
      </c>
      <c r="D17" s="2" t="s">
        <v>95</v>
      </c>
      <c r="F17" s="2">
        <f>850185/12</f>
        <v>70848.75</v>
      </c>
      <c r="H17" s="2">
        <f>+C17-F17</f>
        <v>-59224.17</v>
      </c>
      <c r="J17" s="23"/>
      <c r="K17" s="39">
        <v>0.3224</v>
      </c>
      <c r="L17" s="2">
        <f>+K17*C17</f>
        <v>3747.764592</v>
      </c>
      <c r="M17" s="21">
        <v>0</v>
      </c>
      <c r="N17" s="21">
        <f>+L17+M17</f>
        <v>3747.764592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90.56</v>
      </c>
      <c r="D18" s="2" t="s">
        <v>95</v>
      </c>
      <c r="J18" s="23"/>
      <c r="K18" s="39">
        <f>+K17</f>
        <v>0.3224</v>
      </c>
      <c r="L18" s="2">
        <f>+K18*C18</f>
        <v>29.196544000000003</v>
      </c>
      <c r="M18" s="21">
        <v>0</v>
      </c>
      <c r="N18" s="21">
        <f>+L18+M18</f>
        <v>29.196544000000003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20675.57</v>
      </c>
      <c r="D19" s="2" t="s">
        <v>95</v>
      </c>
      <c r="H19" s="2">
        <f>+C19-F19</f>
        <v>20675.57</v>
      </c>
      <c r="J19" s="23"/>
      <c r="K19" s="39">
        <f>+K18</f>
        <v>0.3224</v>
      </c>
      <c r="L19" s="2">
        <f>+K19*C19</f>
        <v>6665.803768000001</v>
      </c>
      <c r="M19" s="21">
        <v>0</v>
      </c>
      <c r="N19" s="21">
        <f>+L19+M19</f>
        <v>6665.803768000001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36679.15</v>
      </c>
      <c r="D20" s="2" t="s">
        <v>95</v>
      </c>
      <c r="H20" s="2">
        <f>+C20-F20</f>
        <v>36679.15</v>
      </c>
      <c r="J20" s="23"/>
      <c r="K20" s="39">
        <f>+K19</f>
        <v>0.3224</v>
      </c>
      <c r="L20" s="2">
        <f>+K20*C20</f>
        <v>11825.357960000001</v>
      </c>
      <c r="M20" s="21">
        <v>0</v>
      </c>
      <c r="N20" s="21">
        <f>+L20+M20</f>
        <v>11825.357960000001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291.84</v>
      </c>
      <c r="D21" s="2" t="s">
        <v>95</v>
      </c>
      <c r="H21" s="2">
        <f>+C21-F21</f>
        <v>291.84</v>
      </c>
      <c r="J21" s="23"/>
      <c r="K21" s="39">
        <f>+K20</f>
        <v>0.3224</v>
      </c>
      <c r="L21" s="2">
        <f>+K21*C21</f>
        <v>94.089216</v>
      </c>
      <c r="M21" s="21">
        <v>0</v>
      </c>
      <c r="N21" s="21">
        <f>+L21+M21</f>
        <v>94.089216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>
        <v>6387.05</v>
      </c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/>
      <c r="F24" s="2">
        <f>86687/12</f>
        <v>7223.916666666667</v>
      </c>
      <c r="H24" s="2">
        <f>+C27-F24</f>
        <v>-6715.116666666667</v>
      </c>
      <c r="J24" s="23"/>
      <c r="K24" s="39">
        <v>0.3451</v>
      </c>
      <c r="L24" s="2">
        <f>+K24*C24</f>
        <v>0</v>
      </c>
      <c r="M24" s="21">
        <v>0</v>
      </c>
      <c r="N24" s="21">
        <f>+L24+M24</f>
        <v>0</v>
      </c>
      <c r="O24" s="21"/>
    </row>
    <row r="25" spans="3:15" ht="12.75">
      <c r="C25" s="14">
        <v>3052.8</v>
      </c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/>
      <c r="F26" s="2">
        <f>38916/12</f>
        <v>3243</v>
      </c>
      <c r="H26" s="2">
        <f>+C29-F26</f>
        <v>-2363.63</v>
      </c>
      <c r="J26" s="23"/>
      <c r="K26" s="39">
        <v>0.7551</v>
      </c>
      <c r="L26" s="2">
        <f>+K26*C26</f>
        <v>0</v>
      </c>
      <c r="M26" s="21">
        <v>0</v>
      </c>
      <c r="N26" s="21">
        <f>+L26+M26</f>
        <v>0</v>
      </c>
      <c r="O26" s="21"/>
    </row>
    <row r="27" spans="3:15" ht="12.75">
      <c r="C27" s="14">
        <v>508.8</v>
      </c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/>
      <c r="F28" s="2">
        <v>2125.5833333333335</v>
      </c>
      <c r="H28" s="2">
        <f>+C31-F28</f>
        <v>-2088.4495833333335</v>
      </c>
      <c r="J28" s="23"/>
      <c r="K28" s="39">
        <v>1.6846</v>
      </c>
      <c r="L28" s="2">
        <f>+K28*C28</f>
        <v>0</v>
      </c>
      <c r="M28" s="21">
        <v>0</v>
      </c>
      <c r="N28" s="21">
        <f>+L28+M28</f>
        <v>0</v>
      </c>
      <c r="O28" s="21"/>
    </row>
    <row r="29" spans="3:15" ht="12.75">
      <c r="C29" s="14">
        <v>879.37</v>
      </c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/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0</v>
      </c>
      <c r="M30" s="21">
        <v>0</v>
      </c>
      <c r="N30" s="21">
        <f>+L30+M30</f>
        <v>0</v>
      </c>
      <c r="O30" s="21"/>
    </row>
    <row r="31" spans="3:15" ht="12.75">
      <c r="C31" s="14">
        <v>37.13375</v>
      </c>
      <c r="D31" s="2">
        <f>111+155</f>
        <v>266</v>
      </c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F32" s="2">
        <v>44.666666666666664</v>
      </c>
      <c r="H32" s="2">
        <f>+C34-F32</f>
        <v>80182.18708333332</v>
      </c>
      <c r="J32" s="23"/>
      <c r="K32" s="39">
        <v>0.7074</v>
      </c>
      <c r="L32" s="2">
        <f>+K32*C32</f>
        <v>0</v>
      </c>
      <c r="M32" s="21">
        <v>0</v>
      </c>
      <c r="N32" s="21">
        <f>+L32+M32</f>
        <v>0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80226.85375</v>
      </c>
      <c r="D34" s="2">
        <f>SUM(D9:D32)</f>
        <v>17869356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98368.68417999998</v>
      </c>
      <c r="M34" s="13">
        <f>SUM(M9:M32)</f>
        <v>0</v>
      </c>
      <c r="N34" s="13">
        <f>SUM(N9:N32)</f>
        <v>98368.68417999998</v>
      </c>
      <c r="O34" s="21"/>
    </row>
    <row r="35" spans="3:15" ht="13.5" thickBot="1">
      <c r="C35" s="22">
        <v>80189.72</v>
      </c>
      <c r="D35" s="22">
        <v>17869201</v>
      </c>
      <c r="G35" s="2"/>
      <c r="H35" s="2">
        <f>+C36-F34</f>
        <v>-84396.13375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-37.1337499999936</v>
      </c>
      <c r="D36" s="21">
        <f>+D35-D34</f>
        <v>-155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24">
      <selection activeCell="A36" sqref="A36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101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v>9094667</v>
      </c>
      <c r="G9" s="2">
        <f>132815003/12</f>
        <v>11067916.916666666</v>
      </c>
      <c r="I9" s="2">
        <f>+D9-G9</f>
        <v>-1973249.916666666</v>
      </c>
      <c r="J9" s="23"/>
      <c r="K9" s="39">
        <v>0.0049</v>
      </c>
      <c r="L9" s="2">
        <f>+K9*D9</f>
        <v>44563.8683</v>
      </c>
      <c r="M9" s="21">
        <v>0</v>
      </c>
      <c r="N9" s="21">
        <f>+L9+M9</f>
        <v>44563.8683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557852</v>
      </c>
      <c r="G10" s="2">
        <f>8045508/12</f>
        <v>670459</v>
      </c>
      <c r="I10" s="2">
        <f>+D10-G10</f>
        <v>-112607</v>
      </c>
      <c r="J10" s="23"/>
      <c r="K10" s="39">
        <v>0.003</v>
      </c>
      <c r="L10" s="2">
        <f>+K10*D10</f>
        <v>1673.556</v>
      </c>
      <c r="M10" s="21">
        <v>0</v>
      </c>
      <c r="N10" s="21">
        <f>+L10+M10</f>
        <v>1673.556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249713</v>
      </c>
      <c r="G11" s="2">
        <f>4425148/12</f>
        <v>368762.3333333333</v>
      </c>
      <c r="I11" s="2">
        <f>+D11-G11</f>
        <v>-119049.33333333331</v>
      </c>
      <c r="J11" s="23"/>
      <c r="K11" s="39">
        <v>0.0016</v>
      </c>
      <c r="L11" s="2">
        <f>+K11*D11</f>
        <v>399.54080000000005</v>
      </c>
      <c r="M11" s="21">
        <v>0</v>
      </c>
      <c r="N11" s="21">
        <f>+L11+M11</f>
        <v>399.54080000000005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5113116</v>
      </c>
      <c r="G13" s="2">
        <f>71517111/12</f>
        <v>5959759.25</v>
      </c>
      <c r="I13" s="2">
        <f>+D13-G13</f>
        <v>-846643.25</v>
      </c>
      <c r="J13" s="23"/>
      <c r="K13" s="39">
        <v>0.0033</v>
      </c>
      <c r="L13" s="2">
        <f>+K13*D13</f>
        <v>16873.2828</v>
      </c>
      <c r="M13" s="21">
        <v>0</v>
      </c>
      <c r="N13" s="21">
        <f>+L13+M13</f>
        <v>16873.2828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73074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241.1442</v>
      </c>
      <c r="M14" s="21">
        <v>0</v>
      </c>
      <c r="N14" s="21">
        <f>+L14+M14</f>
        <v>241.1442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1734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5.7222</v>
      </c>
      <c r="M15" s="21">
        <v>0</v>
      </c>
      <c r="N15" s="21">
        <f>+L15+M15</f>
        <v>5.7222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12023.24</v>
      </c>
      <c r="D17" s="2" t="s">
        <v>95</v>
      </c>
      <c r="F17" s="2">
        <f>850185/12</f>
        <v>70848.75</v>
      </c>
      <c r="H17" s="2">
        <f>+C17-F17</f>
        <v>-58825.51</v>
      </c>
      <c r="J17" s="23"/>
      <c r="K17" s="39">
        <v>0.3224</v>
      </c>
      <c r="L17" s="2">
        <f>+K17*C17</f>
        <v>3876.2925760000003</v>
      </c>
      <c r="M17" s="21">
        <v>0</v>
      </c>
      <c r="N17" s="21">
        <f>+L17+M17</f>
        <v>3876.2925760000003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72.8</v>
      </c>
      <c r="D18" s="2" t="s">
        <v>95</v>
      </c>
      <c r="J18" s="23"/>
      <c r="K18" s="39">
        <f>+K17</f>
        <v>0.3224</v>
      </c>
      <c r="L18" s="2">
        <f>+K18*C18</f>
        <v>23.47072</v>
      </c>
      <c r="M18" s="21">
        <v>0</v>
      </c>
      <c r="N18" s="21">
        <f>+L18+M18</f>
        <v>23.47072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21613.48</v>
      </c>
      <c r="D19" s="2" t="s">
        <v>95</v>
      </c>
      <c r="H19" s="2">
        <f>+C19-F19</f>
        <v>21613.48</v>
      </c>
      <c r="J19" s="23"/>
      <c r="K19" s="39">
        <f>+K18</f>
        <v>0.3224</v>
      </c>
      <c r="L19" s="2">
        <f>+K19*C19</f>
        <v>6968.185952000001</v>
      </c>
      <c r="M19" s="21">
        <v>0</v>
      </c>
      <c r="N19" s="21">
        <f>+L19+M19</f>
        <v>6968.185952000001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37421.67</v>
      </c>
      <c r="D20" s="2" t="s">
        <v>95</v>
      </c>
      <c r="H20" s="2">
        <f>+C20-F20</f>
        <v>37421.67</v>
      </c>
      <c r="J20" s="23"/>
      <c r="K20" s="39">
        <f>+K19</f>
        <v>0.3224</v>
      </c>
      <c r="L20" s="2">
        <f>+K20*C20</f>
        <v>12064.746408</v>
      </c>
      <c r="M20" s="21">
        <v>0</v>
      </c>
      <c r="N20" s="21">
        <f>+L20+M20</f>
        <v>12064.746408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556.29</v>
      </c>
      <c r="D21" s="2" t="s">
        <v>95</v>
      </c>
      <c r="H21" s="2">
        <f>+C21-F21</f>
        <v>556.29</v>
      </c>
      <c r="J21" s="23"/>
      <c r="K21" s="39">
        <f>+K20</f>
        <v>0.3224</v>
      </c>
      <c r="L21" s="2">
        <f>+K21*C21</f>
        <v>179.347896</v>
      </c>
      <c r="M21" s="21">
        <v>0</v>
      </c>
      <c r="N21" s="21">
        <f>+L21+M21</f>
        <v>179.347896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3:15" ht="12.75">
      <c r="C23" s="14">
        <v>6837.77</v>
      </c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/>
      <c r="F24" s="2">
        <f>86687/12</f>
        <v>7223.916666666667</v>
      </c>
      <c r="H24" s="2">
        <f>+C27-F24</f>
        <v>-6831.196666666667</v>
      </c>
      <c r="J24" s="23"/>
      <c r="K24" s="39">
        <v>0.3451</v>
      </c>
      <c r="L24" s="2">
        <f>+K24*C24</f>
        <v>0</v>
      </c>
      <c r="M24" s="21">
        <v>0</v>
      </c>
      <c r="N24" s="21">
        <f>+L24+M24</f>
        <v>0</v>
      </c>
      <c r="O24" s="21"/>
    </row>
    <row r="25" spans="3:15" ht="12.75">
      <c r="C25" s="14">
        <v>3187.2</v>
      </c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/>
      <c r="F26" s="2">
        <f>38916/12</f>
        <v>3243</v>
      </c>
      <c r="H26" s="2">
        <f>+C29-F26</f>
        <v>-2364.02</v>
      </c>
      <c r="J26" s="23"/>
      <c r="K26" s="39">
        <v>0.7551</v>
      </c>
      <c r="L26" s="2">
        <f>+K26*C26</f>
        <v>0</v>
      </c>
      <c r="M26" s="21">
        <v>0</v>
      </c>
      <c r="N26" s="21">
        <f>+L26+M26</f>
        <v>0</v>
      </c>
      <c r="O26" s="21"/>
    </row>
    <row r="27" spans="3:15" ht="12.75">
      <c r="C27" s="14">
        <v>392.72</v>
      </c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/>
      <c r="F28" s="2">
        <v>2125.5833333333335</v>
      </c>
      <c r="H28" s="2">
        <f>+C31-F28</f>
        <v>-2088.4495833333335</v>
      </c>
      <c r="J28" s="23"/>
      <c r="K28" s="39">
        <v>1.6846</v>
      </c>
      <c r="L28" s="2">
        <f>+K28*C28</f>
        <v>0</v>
      </c>
      <c r="M28" s="21">
        <v>0</v>
      </c>
      <c r="N28" s="21">
        <f>+L28+M28</f>
        <v>0</v>
      </c>
      <c r="O28" s="21"/>
    </row>
    <row r="29" spans="3:15" ht="12.75">
      <c r="C29" s="14">
        <v>878.98</v>
      </c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/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0</v>
      </c>
      <c r="M30" s="21">
        <v>0</v>
      </c>
      <c r="N30" s="21">
        <f>+L30+M30</f>
        <v>0</v>
      </c>
      <c r="O30" s="21"/>
    </row>
    <row r="31" spans="3:15" ht="12.75">
      <c r="C31" s="14">
        <v>37.13375</v>
      </c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F32" s="2">
        <v>44.666666666666664</v>
      </c>
      <c r="H32" s="2">
        <f>+C34-F32</f>
        <v>82976.61708333332</v>
      </c>
      <c r="J32" s="23"/>
      <c r="K32" s="39">
        <v>0.7074</v>
      </c>
      <c r="L32" s="2">
        <f>+K32*C32</f>
        <v>0</v>
      </c>
      <c r="M32" s="21">
        <v>0</v>
      </c>
      <c r="N32" s="21">
        <f>+L32+M32</f>
        <v>0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83021.28374999999</v>
      </c>
      <c r="D34" s="2">
        <f>SUM(D9:D16)</f>
        <v>15090156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86869.15785200002</v>
      </c>
      <c r="M34" s="13">
        <f>SUM(M9:M32)</f>
        <v>0</v>
      </c>
      <c r="N34" s="13">
        <f>SUM(N9:N32)</f>
        <v>86869.15785200002</v>
      </c>
      <c r="O34" s="21"/>
    </row>
    <row r="35" spans="3:15" ht="13.5" thickBot="1">
      <c r="C35" s="22">
        <v>82984.15</v>
      </c>
      <c r="D35" s="22">
        <v>15090156</v>
      </c>
      <c r="G35" s="2"/>
      <c r="H35" s="2">
        <f>+C36-F34</f>
        <v>-84396.13375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-37.1337499999936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">
      <selection activeCell="D17" sqref="D17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100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v>9605179</v>
      </c>
      <c r="G9" s="2">
        <f>132815003/12</f>
        <v>11067916.916666666</v>
      </c>
      <c r="I9" s="2">
        <f>+D9-G9</f>
        <v>-1462737.916666666</v>
      </c>
      <c r="J9" s="23"/>
      <c r="K9" s="39">
        <v>0.0049</v>
      </c>
      <c r="L9" s="2">
        <f>+K9*D9</f>
        <v>47065.3771</v>
      </c>
      <c r="M9" s="21">
        <v>0</v>
      </c>
      <c r="N9" s="21">
        <f>+L9+M9</f>
        <v>47065.3771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628155</v>
      </c>
      <c r="G10" s="2">
        <f>8045508/12</f>
        <v>670459</v>
      </c>
      <c r="I10" s="2">
        <f>+D10-G10</f>
        <v>-42304</v>
      </c>
      <c r="J10" s="23"/>
      <c r="K10" s="39">
        <v>0.003</v>
      </c>
      <c r="L10" s="2">
        <f>+K10*D10</f>
        <v>1884.4650000000001</v>
      </c>
      <c r="M10" s="21">
        <v>0</v>
      </c>
      <c r="N10" s="21">
        <f>+L10+M10</f>
        <v>1884.4650000000001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299716</v>
      </c>
      <c r="G11" s="2">
        <f>4425148/12</f>
        <v>368762.3333333333</v>
      </c>
      <c r="I11" s="2">
        <f>+D11-G11</f>
        <v>-69046.33333333331</v>
      </c>
      <c r="J11" s="23"/>
      <c r="K11" s="39">
        <v>0.0016</v>
      </c>
      <c r="L11" s="2">
        <f>+K11*D11</f>
        <v>479.54560000000004</v>
      </c>
      <c r="M11" s="21">
        <v>0</v>
      </c>
      <c r="N11" s="21">
        <f>+L11+M11</f>
        <v>479.54560000000004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5738297</v>
      </c>
      <c r="G13" s="2">
        <f>71517111/12</f>
        <v>5959759.25</v>
      </c>
      <c r="I13" s="2">
        <f>+D13-G13</f>
        <v>-221462.25</v>
      </c>
      <c r="J13" s="23"/>
      <c r="K13" s="39">
        <v>0.0033</v>
      </c>
      <c r="L13" s="2">
        <f>+K13*D13</f>
        <v>18936.3801</v>
      </c>
      <c r="M13" s="21">
        <v>0</v>
      </c>
      <c r="N13" s="21">
        <f>+L13+M13</f>
        <v>18936.3801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78518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259.1094</v>
      </c>
      <c r="M14" s="21">
        <v>0</v>
      </c>
      <c r="N14" s="21">
        <f>+L14+M14</f>
        <v>259.1094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1728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5.7024</v>
      </c>
      <c r="M15" s="21">
        <v>0</v>
      </c>
      <c r="N15" s="21">
        <f>+L15+M15</f>
        <v>5.7024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12444.58</v>
      </c>
      <c r="D17" s="2" t="s">
        <v>95</v>
      </c>
      <c r="F17" s="2">
        <f>850185/12</f>
        <v>70848.75</v>
      </c>
      <c r="H17" s="2">
        <f>+C17-F17</f>
        <v>-58404.17</v>
      </c>
      <c r="J17" s="23"/>
      <c r="K17" s="39">
        <v>0.3224</v>
      </c>
      <c r="L17" s="2">
        <f>+K17*C17</f>
        <v>4012.1325920000004</v>
      </c>
      <c r="M17" s="21">
        <v>0</v>
      </c>
      <c r="N17" s="21">
        <f>+L17+M17</f>
        <v>4012.1325920000004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71.04</v>
      </c>
      <c r="D18" s="2" t="s">
        <v>95</v>
      </c>
      <c r="J18" s="23"/>
      <c r="K18" s="39">
        <f>+K17</f>
        <v>0.3224</v>
      </c>
      <c r="L18" s="2">
        <f>+K18*C18</f>
        <v>22.903296000000005</v>
      </c>
      <c r="M18" s="21">
        <v>0</v>
      </c>
      <c r="N18" s="21">
        <f>+L18+M18</f>
        <v>22.903296000000005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21403.52</v>
      </c>
      <c r="D19" s="2" t="s">
        <v>95</v>
      </c>
      <c r="H19" s="2">
        <f>+C19-F19</f>
        <v>21403.52</v>
      </c>
      <c r="J19" s="23"/>
      <c r="K19" s="39">
        <f>+K18</f>
        <v>0.3224</v>
      </c>
      <c r="L19" s="2">
        <f>+K19*C19</f>
        <v>6900.494848</v>
      </c>
      <c r="M19" s="21">
        <v>0</v>
      </c>
      <c r="N19" s="21">
        <f>+L19+M19</f>
        <v>6900.494848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37871.88</v>
      </c>
      <c r="D20" s="2" t="s">
        <v>95</v>
      </c>
      <c r="H20" s="2">
        <f>+C20-F20</f>
        <v>37871.88</v>
      </c>
      <c r="J20" s="23"/>
      <c r="K20" s="39">
        <f>+K19</f>
        <v>0.3224</v>
      </c>
      <c r="L20" s="2">
        <f>+K20*C20</f>
        <v>12209.894112</v>
      </c>
      <c r="M20" s="21">
        <v>0</v>
      </c>
      <c r="N20" s="21">
        <f>+L20+M20</f>
        <v>12209.894112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572.62</v>
      </c>
      <c r="D21" s="2" t="s">
        <v>95</v>
      </c>
      <c r="H21" s="2">
        <f>+C21-F21</f>
        <v>572.62</v>
      </c>
      <c r="J21" s="23"/>
      <c r="K21" s="39">
        <f>+K20</f>
        <v>0.3224</v>
      </c>
      <c r="L21" s="2">
        <f>+K21*C21</f>
        <v>184.61268800000002</v>
      </c>
      <c r="M21" s="21">
        <v>0</v>
      </c>
      <c r="N21" s="21">
        <f>+L21+M21</f>
        <v>184.61268800000002</v>
      </c>
      <c r="O21" s="21"/>
    </row>
    <row r="22" spans="8:15" ht="12.75">
      <c r="H22" s="2">
        <f>+C22-F22</f>
        <v>0</v>
      </c>
      <c r="J22" s="23"/>
      <c r="K22" s="39"/>
      <c r="L22" s="2"/>
      <c r="M22" s="21"/>
      <c r="N22" s="21"/>
      <c r="O22" s="21"/>
    </row>
    <row r="23" spans="10:15" ht="12.75"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v>6965.55</v>
      </c>
      <c r="F24" s="2">
        <f>86687/12</f>
        <v>7223.916666666667</v>
      </c>
      <c r="H24" s="2">
        <f>+C27-F24</f>
        <v>-7223.916666666667</v>
      </c>
      <c r="J24" s="23"/>
      <c r="K24" s="39">
        <v>0.3451</v>
      </c>
      <c r="L24" s="2">
        <f>+K24*C24</f>
        <v>2403.811305</v>
      </c>
      <c r="M24" s="21">
        <v>0</v>
      </c>
      <c r="N24" s="21">
        <f>+L24+M24</f>
        <v>2403.811305</v>
      </c>
      <c r="O24" s="21"/>
    </row>
    <row r="25" spans="3:15" ht="12.75">
      <c r="C25" s="14"/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v>3187.2</v>
      </c>
      <c r="F26" s="2">
        <f>38916/12</f>
        <v>3243</v>
      </c>
      <c r="H26" s="2">
        <f>+C29-F26</f>
        <v>-3243</v>
      </c>
      <c r="J26" s="23"/>
      <c r="K26" s="39">
        <v>0.7551</v>
      </c>
      <c r="L26" s="2">
        <f>+K26*C26</f>
        <v>2406.65472</v>
      </c>
      <c r="M26" s="21">
        <v>0</v>
      </c>
      <c r="N26" s="21">
        <f>+L26+M26</f>
        <v>2406.65472</v>
      </c>
      <c r="O26" s="21"/>
    </row>
    <row r="27" spans="3:15" ht="12.75">
      <c r="C27" s="14"/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v>393.6</v>
      </c>
      <c r="F28" s="2">
        <v>2125.5833333333335</v>
      </c>
      <c r="H28" s="2">
        <f>+C31-F28</f>
        <v>-2125.5833333333335</v>
      </c>
      <c r="J28" s="23"/>
      <c r="K28" s="39">
        <v>1.6846</v>
      </c>
      <c r="L28" s="2">
        <f>+K28*C28</f>
        <v>663.05856</v>
      </c>
      <c r="M28" s="21">
        <v>0</v>
      </c>
      <c r="N28" s="21">
        <f>+L28+M28</f>
        <v>663.05856</v>
      </c>
      <c r="O28" s="21"/>
    </row>
    <row r="29" spans="3:15" ht="12.75">
      <c r="C29" s="14"/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v>878.98</v>
      </c>
      <c r="F30" s="2">
        <v>873.0833333333334</v>
      </c>
      <c r="H30" s="2" t="e">
        <f>+#REF!-F30</f>
        <v>#REF!</v>
      </c>
      <c r="J30" s="23"/>
      <c r="K30" s="39">
        <v>0.5231</v>
      </c>
      <c r="L30" s="2">
        <f>+K30*C30</f>
        <v>459.794438</v>
      </c>
      <c r="M30" s="21">
        <v>0</v>
      </c>
      <c r="N30" s="21">
        <f>+L30+M30</f>
        <v>459.794438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14">
        <v>37.13375</v>
      </c>
      <c r="F32" s="2">
        <v>44.666666666666664</v>
      </c>
      <c r="H32" s="2">
        <f>+C34-F32</f>
        <v>83781.43708333331</v>
      </c>
      <c r="J32" s="23"/>
      <c r="K32" s="39">
        <v>0.7074</v>
      </c>
      <c r="L32" s="2">
        <f>+K32*C32</f>
        <v>26.26841475</v>
      </c>
      <c r="M32" s="21">
        <v>0</v>
      </c>
      <c r="N32" s="21">
        <f>+L32+M32</f>
        <v>26.26841475</v>
      </c>
      <c r="O32" s="21"/>
    </row>
    <row r="33" spans="3:15" ht="12.75">
      <c r="C33" s="21"/>
      <c r="D33" s="21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83826.10374999998</v>
      </c>
      <c r="D34" s="2">
        <f>SUM(D9:D16)</f>
        <v>16351593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#REF!</v>
      </c>
      <c r="I34" s="13" t="e">
        <f>SUM(I9:I32)</f>
        <v>#REF!</v>
      </c>
      <c r="J34" s="23"/>
      <c r="K34" s="40"/>
      <c r="L34" s="13">
        <f>SUM(L9:L32)</f>
        <v>97920.20457374997</v>
      </c>
      <c r="M34" s="13">
        <f>SUM(M9:M32)</f>
        <v>0</v>
      </c>
      <c r="N34" s="13">
        <f>SUM(N9:N32)</f>
        <v>97920.20457374997</v>
      </c>
      <c r="O34" s="21"/>
    </row>
    <row r="35" spans="3:15" ht="13.5" thickBot="1">
      <c r="C35" s="22">
        <v>83788.97</v>
      </c>
      <c r="D35" s="22">
        <v>16351593</v>
      </c>
      <c r="G35" s="2"/>
      <c r="H35" s="2">
        <f>+C36-F34</f>
        <v>-84396.13374999998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-37.133749999979045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B9">
      <selection activeCell="K38" sqref="K38"/>
    </sheetView>
  </sheetViews>
  <sheetFormatPr defaultColWidth="9.140625" defaultRowHeight="12.75"/>
  <cols>
    <col min="2" max="2" width="28.421875" style="0" bestFit="1" customWidth="1"/>
    <col min="3" max="3" width="17.140625" style="2" customWidth="1"/>
    <col min="4" max="4" width="14.8515625" style="2" bestFit="1" customWidth="1"/>
    <col min="5" max="5" width="2.7109375" style="2" customWidth="1"/>
    <col min="6" max="6" width="13.28125" style="2" hidden="1" customWidth="1"/>
    <col min="7" max="7" width="15.57421875" style="16" hidden="1" customWidth="1"/>
    <col min="8" max="8" width="12.28125" style="2" hidden="1" customWidth="1"/>
    <col min="9" max="9" width="14.28125" style="2" hidden="1" customWidth="1"/>
    <col min="10" max="10" width="4.00390625" style="3" hidden="1" customWidth="1"/>
    <col min="11" max="11" width="13.57421875" style="2" bestFit="1" customWidth="1"/>
    <col min="12" max="12" width="13.28125" style="4" customWidth="1"/>
    <col min="13" max="13" width="13.28125" style="2" bestFit="1" customWidth="1"/>
    <col min="14" max="14" width="14.00390625" style="2" bestFit="1" customWidth="1"/>
    <col min="15" max="15" width="13.28125" style="2" bestFit="1" customWidth="1"/>
  </cols>
  <sheetData>
    <row r="1" ht="12.75">
      <c r="A1" s="1" t="s">
        <v>0</v>
      </c>
    </row>
    <row r="2" ht="12.75">
      <c r="A2" s="1" t="s">
        <v>90</v>
      </c>
    </row>
    <row r="3" ht="12.75">
      <c r="A3" s="1" t="s">
        <v>97</v>
      </c>
    </row>
    <row r="5" spans="2:15" ht="12.75">
      <c r="B5" s="1" t="s">
        <v>1</v>
      </c>
      <c r="C5" s="14" t="s">
        <v>28</v>
      </c>
      <c r="F5" s="14" t="s">
        <v>29</v>
      </c>
      <c r="H5" s="14" t="s">
        <v>31</v>
      </c>
      <c r="J5" s="23"/>
      <c r="K5" s="3"/>
      <c r="L5" s="15" t="s">
        <v>20</v>
      </c>
      <c r="M5" s="25"/>
      <c r="N5" s="21"/>
      <c r="O5" s="21"/>
    </row>
    <row r="6" spans="2:17" ht="12.75">
      <c r="B6" s="5"/>
      <c r="C6" s="6"/>
      <c r="D6" s="6"/>
      <c r="E6" s="7"/>
      <c r="F6" s="7"/>
      <c r="G6" s="17"/>
      <c r="H6" s="6"/>
      <c r="I6" s="6"/>
      <c r="J6" s="8"/>
      <c r="K6" s="8" t="s">
        <v>33</v>
      </c>
      <c r="L6" s="6" t="s">
        <v>32</v>
      </c>
      <c r="M6" s="25" t="s">
        <v>59</v>
      </c>
      <c r="N6" s="6" t="s">
        <v>60</v>
      </c>
      <c r="O6" s="6"/>
      <c r="Q6" s="18"/>
    </row>
    <row r="7" spans="1:18" ht="12.75">
      <c r="A7" s="9" t="s">
        <v>2</v>
      </c>
      <c r="B7" s="9" t="s">
        <v>3</v>
      </c>
      <c r="C7" s="10" t="s">
        <v>92</v>
      </c>
      <c r="D7" s="10" t="s">
        <v>93</v>
      </c>
      <c r="E7" s="10"/>
      <c r="F7" s="10" t="s">
        <v>4</v>
      </c>
      <c r="G7" s="10" t="s">
        <v>5</v>
      </c>
      <c r="H7" s="10" t="s">
        <v>4</v>
      </c>
      <c r="I7" s="10" t="s">
        <v>5</v>
      </c>
      <c r="J7" s="8"/>
      <c r="K7" s="11" t="s">
        <v>6</v>
      </c>
      <c r="L7" s="10"/>
      <c r="M7" s="10" t="s">
        <v>61</v>
      </c>
      <c r="N7" s="10" t="s">
        <v>61</v>
      </c>
      <c r="O7" s="6"/>
      <c r="Q7" s="18"/>
      <c r="R7" s="18"/>
    </row>
    <row r="8" spans="10:15" ht="12.75">
      <c r="J8" s="23"/>
      <c r="K8" s="3"/>
      <c r="L8" s="2"/>
      <c r="M8" s="21"/>
      <c r="N8" s="21"/>
      <c r="O8" s="21"/>
    </row>
    <row r="9" spans="1:18" ht="12.75">
      <c r="A9" t="s">
        <v>7</v>
      </c>
      <c r="B9" t="s">
        <v>8</v>
      </c>
      <c r="D9" s="2">
        <v>11506360</v>
      </c>
      <c r="G9" s="2">
        <f>132815003/12</f>
        <v>11067916.916666666</v>
      </c>
      <c r="I9" s="2">
        <f>+D9-G9</f>
        <v>438443.08333333395</v>
      </c>
      <c r="J9" s="23"/>
      <c r="K9" s="39">
        <v>0.0049</v>
      </c>
      <c r="L9" s="2">
        <f>+K9*D9</f>
        <v>56381.164</v>
      </c>
      <c r="M9" s="21">
        <v>0</v>
      </c>
      <c r="N9" s="21">
        <f>+L9+M9</f>
        <v>56381.164</v>
      </c>
      <c r="O9" s="21"/>
      <c r="Q9" s="19"/>
      <c r="R9" s="19"/>
    </row>
    <row r="10" spans="1:18" ht="12.75">
      <c r="A10" t="s">
        <v>9</v>
      </c>
      <c r="B10" t="s">
        <v>10</v>
      </c>
      <c r="D10" s="2">
        <v>762420</v>
      </c>
      <c r="G10" s="2">
        <f>8045508/12</f>
        <v>670459</v>
      </c>
      <c r="I10" s="2">
        <f>+D10-G10</f>
        <v>91961</v>
      </c>
      <c r="J10" s="23"/>
      <c r="K10" s="39">
        <v>0.003</v>
      </c>
      <c r="L10" s="2">
        <f>+K10*D10</f>
        <v>2287.26</v>
      </c>
      <c r="M10" s="21">
        <v>0</v>
      </c>
      <c r="N10" s="21">
        <f>+L10+M10</f>
        <v>2287.26</v>
      </c>
      <c r="O10" s="21"/>
      <c r="Q10" s="19"/>
      <c r="R10" s="19"/>
    </row>
    <row r="11" spans="1:18" ht="12.75">
      <c r="A11" t="s">
        <v>11</v>
      </c>
      <c r="B11" t="s">
        <v>12</v>
      </c>
      <c r="D11" s="2">
        <v>384985</v>
      </c>
      <c r="G11" s="2">
        <f>4425148/12</f>
        <v>368762.3333333333</v>
      </c>
      <c r="I11" s="2">
        <f>+D11-G11</f>
        <v>16222.666666666686</v>
      </c>
      <c r="J11" s="23"/>
      <c r="K11" s="39">
        <v>0.0016</v>
      </c>
      <c r="L11" s="2">
        <f>+K11*D11</f>
        <v>615.976</v>
      </c>
      <c r="M11" s="21">
        <v>0</v>
      </c>
      <c r="N11" s="21">
        <f>+L11+M11</f>
        <v>615.976</v>
      </c>
      <c r="O11" s="21"/>
      <c r="Q11" s="19"/>
      <c r="R11" s="19"/>
    </row>
    <row r="12" spans="10:18" ht="12.75">
      <c r="J12" s="23"/>
      <c r="K12" s="39"/>
      <c r="L12" s="2"/>
      <c r="M12" s="21"/>
      <c r="O12" s="21"/>
      <c r="Q12" s="19"/>
      <c r="R12" s="19"/>
    </row>
    <row r="13" spans="1:18" ht="12.75">
      <c r="A13" t="s">
        <v>13</v>
      </c>
      <c r="B13" t="s">
        <v>14</v>
      </c>
      <c r="D13" s="2">
        <v>6174513</v>
      </c>
      <c r="G13" s="2">
        <f>71517111/12</f>
        <v>5959759.25</v>
      </c>
      <c r="I13" s="2">
        <f>+D13-G13</f>
        <v>214753.75</v>
      </c>
      <c r="J13" s="23"/>
      <c r="K13" s="39">
        <v>0.0033</v>
      </c>
      <c r="L13" s="2">
        <f>+K13*D13</f>
        <v>20375.8929</v>
      </c>
      <c r="M13" s="21">
        <v>0</v>
      </c>
      <c r="N13" s="21">
        <f>+L13+M13</f>
        <v>20375.8929</v>
      </c>
      <c r="O13" s="21"/>
      <c r="Q13" s="19"/>
      <c r="R13" s="19"/>
    </row>
    <row r="14" spans="1:18" ht="12.75">
      <c r="A14" t="s">
        <v>18</v>
      </c>
      <c r="B14" t="s">
        <v>14</v>
      </c>
      <c r="C14" s="44"/>
      <c r="D14" s="2">
        <v>77376</v>
      </c>
      <c r="G14" s="2" t="e">
        <f>+'[1]PILRecoveryAmt'!K16</f>
        <v>#REF!</v>
      </c>
      <c r="I14" s="2" t="e">
        <f>+D14-G14</f>
        <v>#REF!</v>
      </c>
      <c r="J14" s="23"/>
      <c r="K14" s="39">
        <f>+K13</f>
        <v>0.0033</v>
      </c>
      <c r="L14" s="2">
        <f>+K14*D14</f>
        <v>255.3408</v>
      </c>
      <c r="M14" s="21">
        <v>0</v>
      </c>
      <c r="N14" s="21">
        <f>+L14+M14</f>
        <v>255.3408</v>
      </c>
      <c r="O14" s="21"/>
      <c r="Q14" s="19"/>
      <c r="R14" s="19"/>
    </row>
    <row r="15" spans="1:18" ht="12.75">
      <c r="A15" t="s">
        <v>79</v>
      </c>
      <c r="B15" t="s">
        <v>14</v>
      </c>
      <c r="C15" s="2">
        <v>0</v>
      </c>
      <c r="D15" s="2">
        <v>1450</v>
      </c>
      <c r="G15" s="2" t="e">
        <f>+'[1]PILRecoveryAmt'!K17</f>
        <v>#REF!</v>
      </c>
      <c r="I15" s="2" t="e">
        <f>+D15-G15</f>
        <v>#REF!</v>
      </c>
      <c r="J15" s="23"/>
      <c r="K15" s="39">
        <f>+K14</f>
        <v>0.0033</v>
      </c>
      <c r="L15" s="2">
        <f>+K15*D15</f>
        <v>4.785</v>
      </c>
      <c r="M15" s="21">
        <v>0</v>
      </c>
      <c r="N15" s="21">
        <f>+L15+M15</f>
        <v>4.785</v>
      </c>
      <c r="O15" s="21"/>
      <c r="Q15" s="19"/>
      <c r="R15" s="19"/>
    </row>
    <row r="16" spans="10:18" ht="12.75">
      <c r="J16" s="23"/>
      <c r="K16" s="39"/>
      <c r="L16" s="2"/>
      <c r="M16" s="21"/>
      <c r="N16" s="21"/>
      <c r="O16" s="21"/>
      <c r="Q16" s="19"/>
      <c r="R16" s="19"/>
    </row>
    <row r="17" spans="1:18" ht="12.75">
      <c r="A17" t="s">
        <v>15</v>
      </c>
      <c r="B17" t="s">
        <v>87</v>
      </c>
      <c r="C17" s="2">
        <v>12517.52</v>
      </c>
      <c r="D17" s="2" t="s">
        <v>95</v>
      </c>
      <c r="F17" s="2">
        <f>850185/12</f>
        <v>70848.75</v>
      </c>
      <c r="H17" s="2">
        <f>+C17-F17</f>
        <v>-58331.229999999996</v>
      </c>
      <c r="J17" s="23"/>
      <c r="K17" s="39">
        <v>0.3224</v>
      </c>
      <c r="L17" s="2">
        <f>+K17*C17</f>
        <v>4035.6484480000004</v>
      </c>
      <c r="M17" s="21">
        <v>0</v>
      </c>
      <c r="N17" s="21">
        <f>+L17+M17</f>
        <v>4035.6484480000004</v>
      </c>
      <c r="O17" s="21"/>
      <c r="Q17" s="19"/>
      <c r="R17" s="19"/>
    </row>
    <row r="18" spans="1:18" ht="12.75">
      <c r="A18" t="s">
        <v>86</v>
      </c>
      <c r="B18" t="s">
        <v>87</v>
      </c>
      <c r="C18" s="2">
        <v>74.56</v>
      </c>
      <c r="D18" s="2" t="s">
        <v>95</v>
      </c>
      <c r="J18" s="23"/>
      <c r="K18" s="39">
        <f>+K17</f>
        <v>0.3224</v>
      </c>
      <c r="L18" s="2">
        <f>+K18*C18</f>
        <v>24.038144000000003</v>
      </c>
      <c r="M18" s="21">
        <v>0</v>
      </c>
      <c r="N18" s="21">
        <f>+L18+M18</f>
        <v>24.038144000000003</v>
      </c>
      <c r="O18" s="21"/>
      <c r="Q18" s="19"/>
      <c r="R18" s="19"/>
    </row>
    <row r="19" spans="1:18" ht="12.75">
      <c r="A19" t="s">
        <v>22</v>
      </c>
      <c r="B19" t="s">
        <v>88</v>
      </c>
      <c r="C19" s="2">
        <v>20077.96</v>
      </c>
      <c r="D19" s="2" t="s">
        <v>95</v>
      </c>
      <c r="H19" s="2">
        <f>+C19-F19</f>
        <v>20077.96</v>
      </c>
      <c r="J19" s="23"/>
      <c r="K19" s="39">
        <f>+K18</f>
        <v>0.3224</v>
      </c>
      <c r="L19" s="2">
        <f>+K19*C19</f>
        <v>6473.134304</v>
      </c>
      <c r="M19" s="21">
        <v>0</v>
      </c>
      <c r="N19" s="21">
        <f>+L19+M19</f>
        <v>6473.134304</v>
      </c>
      <c r="O19" s="21"/>
      <c r="Q19" s="19"/>
      <c r="R19" s="19"/>
    </row>
    <row r="20" spans="1:18" ht="12.75">
      <c r="A20" t="s">
        <v>23</v>
      </c>
      <c r="B20" t="s">
        <v>88</v>
      </c>
      <c r="C20" s="2">
        <v>37939.98</v>
      </c>
      <c r="D20" s="2" t="s">
        <v>95</v>
      </c>
      <c r="H20" s="2">
        <f>+C20-F20</f>
        <v>37939.98</v>
      </c>
      <c r="J20" s="23"/>
      <c r="K20" s="39">
        <f>+K19</f>
        <v>0.3224</v>
      </c>
      <c r="L20" s="2">
        <f>+K20*C20</f>
        <v>12231.849552000001</v>
      </c>
      <c r="M20" s="21">
        <v>0</v>
      </c>
      <c r="N20" s="21">
        <f>+L20+M20</f>
        <v>12231.849552000001</v>
      </c>
      <c r="O20" s="21"/>
      <c r="Q20" s="19"/>
      <c r="R20" s="19"/>
    </row>
    <row r="21" spans="1:15" ht="12.75">
      <c r="A21" t="s">
        <v>89</v>
      </c>
      <c r="B21" t="s">
        <v>88</v>
      </c>
      <c r="C21" s="2">
        <v>1542.71</v>
      </c>
      <c r="D21" s="2" t="s">
        <v>95</v>
      </c>
      <c r="H21" s="2">
        <f>+C21-F21</f>
        <v>1542.71</v>
      </c>
      <c r="J21" s="23"/>
      <c r="K21" s="39">
        <f>+K20</f>
        <v>0.3224</v>
      </c>
      <c r="L21" s="2">
        <f>+K21*C21</f>
        <v>497.36970400000007</v>
      </c>
      <c r="M21" s="21">
        <v>0</v>
      </c>
      <c r="N21" s="21">
        <f>+L21+M21</f>
        <v>497.36970400000007</v>
      </c>
      <c r="O21" s="21"/>
    </row>
    <row r="22" spans="3:15" ht="12.75">
      <c r="C22" s="2" t="s">
        <v>30</v>
      </c>
      <c r="H22" s="2" t="e">
        <f>+C22-F22</f>
        <v>#VALUE!</v>
      </c>
      <c r="J22" s="23"/>
      <c r="K22" s="39"/>
      <c r="L22" s="2"/>
      <c r="M22" s="21"/>
      <c r="N22" s="21"/>
      <c r="O22" s="21"/>
    </row>
    <row r="23" spans="3:15" ht="12.75">
      <c r="C23" s="14"/>
      <c r="J23" s="23"/>
      <c r="K23" s="39"/>
      <c r="L23" s="2"/>
      <c r="M23" s="21"/>
      <c r="N23" s="21"/>
      <c r="O23" s="21"/>
    </row>
    <row r="24" spans="1:15" ht="12.75">
      <c r="A24" t="s">
        <v>21</v>
      </c>
      <c r="B24" t="s">
        <v>19</v>
      </c>
      <c r="C24" s="14">
        <v>7054.63</v>
      </c>
      <c r="F24" s="2">
        <f>86687/12</f>
        <v>7223.916666666667</v>
      </c>
      <c r="H24" s="2">
        <f>+C26-F24</f>
        <v>-4101.776666666667</v>
      </c>
      <c r="J24" s="23"/>
      <c r="K24" s="39">
        <v>0.3451</v>
      </c>
      <c r="L24" s="2">
        <f>+K24*C24</f>
        <v>2434.5528130000002</v>
      </c>
      <c r="M24" s="21">
        <v>0</v>
      </c>
      <c r="N24" s="21">
        <f>+L24+M24</f>
        <v>2434.5528130000002</v>
      </c>
      <c r="O24" s="21"/>
    </row>
    <row r="25" spans="3:15" ht="12.75">
      <c r="C25" s="14"/>
      <c r="D25" s="2" t="s">
        <v>95</v>
      </c>
      <c r="J25" s="23"/>
      <c r="K25" s="39"/>
      <c r="L25" s="2"/>
      <c r="M25" s="21"/>
      <c r="N25" s="21"/>
      <c r="O25" s="21"/>
    </row>
    <row r="26" spans="1:15" ht="12.75">
      <c r="A26" t="s">
        <v>24</v>
      </c>
      <c r="B26" t="s">
        <v>19</v>
      </c>
      <c r="C26" s="14">
        <v>3122.14</v>
      </c>
      <c r="F26" s="2">
        <f>38916/12</f>
        <v>3243</v>
      </c>
      <c r="H26" s="2">
        <f>+C28-F26</f>
        <v>-2725.1</v>
      </c>
      <c r="J26" s="23"/>
      <c r="K26" s="39">
        <v>0.7551</v>
      </c>
      <c r="L26" s="2">
        <f>+K26*C26</f>
        <v>2357.527914</v>
      </c>
      <c r="M26" s="21">
        <v>0</v>
      </c>
      <c r="N26" s="21">
        <f>+L26+M26</f>
        <v>2357.527914</v>
      </c>
      <c r="O26" s="21"/>
    </row>
    <row r="27" spans="3:15" ht="12.75">
      <c r="C27" s="14"/>
      <c r="D27" s="2" t="s">
        <v>95</v>
      </c>
      <c r="J27" s="23"/>
      <c r="K27" s="39"/>
      <c r="L27" s="2"/>
      <c r="M27" s="21"/>
      <c r="N27" s="21"/>
      <c r="O27" s="21"/>
    </row>
    <row r="28" spans="1:15" ht="12.75">
      <c r="A28" t="s">
        <v>25</v>
      </c>
      <c r="B28" t="s">
        <v>19</v>
      </c>
      <c r="C28" s="14">
        <v>517.9</v>
      </c>
      <c r="F28" s="2">
        <v>2125.5833333333335</v>
      </c>
      <c r="H28" s="2">
        <f>+C30-F28</f>
        <v>-1246.6033333333335</v>
      </c>
      <c r="J28" s="23"/>
      <c r="K28" s="39">
        <v>1.6846</v>
      </c>
      <c r="L28" s="2">
        <f>+K28*C28</f>
        <v>872.45434</v>
      </c>
      <c r="M28" s="21">
        <v>0</v>
      </c>
      <c r="N28" s="21">
        <f>+L28+M28</f>
        <v>872.45434</v>
      </c>
      <c r="O28" s="21"/>
    </row>
    <row r="29" spans="3:15" ht="12.75">
      <c r="C29" s="14"/>
      <c r="D29" s="2" t="s">
        <v>95</v>
      </c>
      <c r="J29" s="23"/>
      <c r="K29" s="39"/>
      <c r="L29" s="2"/>
      <c r="M29" s="21"/>
      <c r="N29" s="21"/>
      <c r="O29" s="21"/>
    </row>
    <row r="30" spans="1:15" ht="12.75">
      <c r="A30" t="s">
        <v>27</v>
      </c>
      <c r="B30" t="s">
        <v>26</v>
      </c>
      <c r="C30" s="14">
        <v>878.98</v>
      </c>
      <c r="F30" s="2">
        <v>873.0833333333334</v>
      </c>
      <c r="H30" s="2">
        <f>+C32-F30</f>
        <v>-835.9533333333334</v>
      </c>
      <c r="J30" s="23"/>
      <c r="K30" s="39">
        <v>0.5231</v>
      </c>
      <c r="L30" s="2">
        <f>+K30*C30</f>
        <v>459.794438</v>
      </c>
      <c r="M30" s="21">
        <v>0</v>
      </c>
      <c r="N30" s="21">
        <f>+L30+M30</f>
        <v>459.794438</v>
      </c>
      <c r="O30" s="21"/>
    </row>
    <row r="31" spans="3:15" ht="12.75">
      <c r="C31" s="14"/>
      <c r="J31" s="23"/>
      <c r="K31" s="39"/>
      <c r="L31" s="2"/>
      <c r="M31" s="21"/>
      <c r="N31" s="21"/>
      <c r="O31" s="21"/>
    </row>
    <row r="32" spans="1:15" ht="12.75">
      <c r="A32" t="s">
        <v>78</v>
      </c>
      <c r="B32" t="s">
        <v>16</v>
      </c>
      <c r="C32" s="2">
        <v>37.13</v>
      </c>
      <c r="F32" s="2">
        <v>44.666666666666664</v>
      </c>
      <c r="H32" s="2">
        <f>+C34-F32</f>
        <v>83718.84333333334</v>
      </c>
      <c r="J32" s="23"/>
      <c r="K32" s="39">
        <v>0.7074</v>
      </c>
      <c r="L32" s="2">
        <f>+K32*C32</f>
        <v>26.265762000000002</v>
      </c>
      <c r="M32" s="21">
        <v>0</v>
      </c>
      <c r="N32" s="21">
        <f>+L32+M32</f>
        <v>26.265762000000002</v>
      </c>
      <c r="O32" s="21"/>
    </row>
    <row r="33" spans="3:15" ht="13.5" thickBot="1">
      <c r="C33" s="13"/>
      <c r="D33" s="13"/>
      <c r="J33" s="23"/>
      <c r="K33" s="39"/>
      <c r="L33" s="2"/>
      <c r="M33" s="21"/>
      <c r="N33" s="21"/>
      <c r="O33" s="21"/>
    </row>
    <row r="34" spans="1:15" ht="13.5" thickBot="1">
      <c r="A34" s="12"/>
      <c r="B34" s="12" t="s">
        <v>17</v>
      </c>
      <c r="C34" s="2">
        <f>SUM(C17:C33)</f>
        <v>83763.51000000001</v>
      </c>
      <c r="D34" s="2">
        <f>SUM(D9:D16)</f>
        <v>18907104</v>
      </c>
      <c r="E34" s="13"/>
      <c r="F34" s="13">
        <f>SUM(F9:F32)</f>
        <v>84359</v>
      </c>
      <c r="G34" s="13" t="e">
        <f>SUM(G9:G32)</f>
        <v>#REF!</v>
      </c>
      <c r="H34" s="13" t="e">
        <f>SUM(H9:H33)</f>
        <v>#VALUE!</v>
      </c>
      <c r="I34" s="13" t="e">
        <f>SUM(I9:I32)</f>
        <v>#REF!</v>
      </c>
      <c r="J34" s="23"/>
      <c r="K34" s="40"/>
      <c r="L34" s="13">
        <f>SUM(L9:L32)</f>
        <v>109333.05411900002</v>
      </c>
      <c r="M34" s="13">
        <f>SUM(M9:M32)</f>
        <v>0</v>
      </c>
      <c r="N34" s="13">
        <f>SUM(N9:N32)</f>
        <v>109333.05411900002</v>
      </c>
      <c r="O34" s="21"/>
    </row>
    <row r="35" spans="3:15" ht="13.5" thickBot="1">
      <c r="C35" s="22">
        <v>83726.38</v>
      </c>
      <c r="D35" s="22">
        <v>18907104</v>
      </c>
      <c r="G35" s="2"/>
      <c r="H35" s="2">
        <f>+C36-F34</f>
        <v>-84396.13</v>
      </c>
      <c r="I35" s="2" t="e">
        <f>+D36-G34</f>
        <v>#REF!</v>
      </c>
      <c r="J35" s="23"/>
      <c r="K35" s="39"/>
      <c r="L35" s="2"/>
      <c r="M35" s="21"/>
      <c r="N35" s="21"/>
      <c r="O35" s="21"/>
    </row>
    <row r="36" spans="3:15" ht="13.5" thickTop="1">
      <c r="C36" s="21">
        <f>+C35-C34</f>
        <v>-37.13000000000466</v>
      </c>
      <c r="D36" s="21">
        <f>+D35-D34</f>
        <v>0</v>
      </c>
      <c r="E36" s="2" t="s">
        <v>78</v>
      </c>
      <c r="G36" s="2"/>
      <c r="I36" s="2" t="e">
        <f>+I35-I34</f>
        <v>#REF!</v>
      </c>
      <c r="J36" s="23"/>
      <c r="K36" s="21"/>
      <c r="L36" s="24"/>
      <c r="M36" s="21"/>
      <c r="N36" s="21"/>
      <c r="O36" s="21"/>
    </row>
    <row r="37" spans="3:15" ht="12.75">
      <c r="C37" s="21"/>
      <c r="D37" s="21"/>
      <c r="H37" s="21"/>
      <c r="I37" s="21"/>
      <c r="J37" s="23"/>
      <c r="K37" s="21"/>
      <c r="L37" s="24"/>
      <c r="M37" s="21"/>
      <c r="N37" s="21"/>
      <c r="O37" s="21"/>
    </row>
    <row r="38" spans="3:15" ht="12.75">
      <c r="C38" s="21"/>
      <c r="D38" s="21"/>
      <c r="H38" s="21"/>
      <c r="I38" s="21"/>
      <c r="J38" s="23"/>
      <c r="K38" s="21"/>
      <c r="L38" s="24"/>
      <c r="M38" s="21"/>
      <c r="N38" s="21"/>
      <c r="O38" s="21"/>
    </row>
    <row r="39" spans="8:15" ht="12.75">
      <c r="H39" s="21"/>
      <c r="I39" s="21"/>
      <c r="J39" s="23"/>
      <c r="K39" s="21"/>
      <c r="L39" s="24"/>
      <c r="M39" s="21"/>
      <c r="N39" s="21"/>
      <c r="O39" s="21"/>
    </row>
    <row r="40" spans="8:15" ht="12.75">
      <c r="H40" s="21"/>
      <c r="I40" s="21"/>
      <c r="J40" s="23"/>
      <c r="K40" s="21"/>
      <c r="L40" s="24"/>
      <c r="M40" s="21"/>
      <c r="N40" s="21"/>
      <c r="O40" s="21"/>
    </row>
    <row r="41" spans="8:15" ht="12.75">
      <c r="H41" s="21"/>
      <c r="I41" s="21"/>
      <c r="J41" s="23"/>
      <c r="K41" s="21"/>
      <c r="L41" s="24"/>
      <c r="M41" s="21"/>
      <c r="N41" s="21"/>
      <c r="O41" s="21"/>
    </row>
    <row r="42" spans="8:15" ht="12.75">
      <c r="H42" s="21"/>
      <c r="I42" s="21"/>
      <c r="J42" s="23"/>
      <c r="K42" s="21"/>
      <c r="L42" s="24"/>
      <c r="M42" s="21"/>
      <c r="N42" s="21"/>
      <c r="O42" s="21"/>
    </row>
    <row r="43" spans="8:15" ht="12.75">
      <c r="H43" s="21"/>
      <c r="I43" s="21"/>
      <c r="J43" s="23"/>
      <c r="K43" s="21"/>
      <c r="L43" s="24"/>
      <c r="M43" s="21"/>
      <c r="N43" s="21"/>
      <c r="O43" s="21"/>
    </row>
    <row r="44" spans="8:15" ht="12.75">
      <c r="H44" s="21"/>
      <c r="I44" s="21"/>
      <c r="J44" s="23"/>
      <c r="K44" s="21"/>
      <c r="L44" s="24"/>
      <c r="M44" s="21"/>
      <c r="N44" s="21"/>
      <c r="O44" s="21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Stratford P.U.C.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Dept</dc:creator>
  <cp:keywords/>
  <dc:description/>
  <cp:lastModifiedBy>mccannk</cp:lastModifiedBy>
  <cp:lastPrinted>2011-10-04T15:22:39Z</cp:lastPrinted>
  <dcterms:created xsi:type="dcterms:W3CDTF">2002-02-08T04:44:26Z</dcterms:created>
  <dcterms:modified xsi:type="dcterms:W3CDTF">2011-10-04T15:23:09Z</dcterms:modified>
  <cp:category/>
  <cp:version/>
  <cp:contentType/>
  <cp:contentStatus/>
</cp:coreProperties>
</file>