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44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Rates'!$A$1:$G$60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<sst xmlns="http://schemas.openxmlformats.org/spreadsheetml/2006/main" count="880" uniqueCount="508">
  <si>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</si>
  <si>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</si>
  <si>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</si>
  <si>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</si>
  <si>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</si>
  <si>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</si>
  <si>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</si>
  <si>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</si>
  <si>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</si>
  <si>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</si>
  <si>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</si>
  <si>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</si>
  <si>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</si>
  <si>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</si>
  <si>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</si>
  <si>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</si>
  <si>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</si>
  <si>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</si>
  <si>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</si>
  <si>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</si>
  <si>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</si>
  <si>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</si>
  <si>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</si>
  <si>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</si>
  <si>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</si>
  <si>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</si>
  <si>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</si>
  <si>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</si>
  <si>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</si>
  <si>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</si>
  <si>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</si>
  <si>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</si>
  <si>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</si>
  <si>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</si>
  <si>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</si>
  <si>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</si>
  <si>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</si>
  <si>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</si>
  <si>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</si>
  <si>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</si>
  <si>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</si>
  <si>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</si>
  <si>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</si>
  <si>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</si>
  <si>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</si>
  <si>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</si>
  <si>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</si>
  <si>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</si>
  <si>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</si>
  <si>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</si>
  <si>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</si>
  <si>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</si>
  <si>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</si>
  <si>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</si>
  <si>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</si>
  <si>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</si>
  <si>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</si>
  <si>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</si>
  <si>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</si>
  <si>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</si>
  <si>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</si>
  <si>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</si>
  <si>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</si>
  <si>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</si>
  <si>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</si>
  <si>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</si>
  <si>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</si>
  <si>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</si>
  <si>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</si>
  <si>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</si>
  <si>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</si>
  <si>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</si>
  <si>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</si>
  <si>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</si>
  <si>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</si>
  <si>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</si>
  <si>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</si>
  <si>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</si>
  <si>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</si>
  <si>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</si>
  <si>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</si>
  <si>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</si>
  <si>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</si>
  <si>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</si>
  <si>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</si>
  <si>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</si>
  <si>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</si>
  <si>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</si>
  <si>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</si>
  <si>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</si>
  <si>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</si>
  <si>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</si>
  <si>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</si>
  <si>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</si>
  <si>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</si>
  <si>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</si>
  <si>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</si>
  <si>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</si>
  <si>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</si>
  <si>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</si>
  <si>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</si>
  <si>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</si>
  <si>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</si>
  <si>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</si>
  <si>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</si>
  <si>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</si>
  <si>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</si>
  <si>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</si>
  <si>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</si>
  <si>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</si>
  <si>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</si>
  <si>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</si>
  <si>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</si>
  <si>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</si>
  <si>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</si>
  <si>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</si>
  <si>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</si>
  <si>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</si>
  <si>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</si>
  <si>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</si>
  <si>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</si>
  <si>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</si>
  <si>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</si>
  <si>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</si>
  <si>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</si>
  <si>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</si>
  <si>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</si>
  <si>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</si>
  <si>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</si>
  <si>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</si>
  <si>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</si>
  <si>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</si>
  <si>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</si>
  <si>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</si>
  <si>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</si>
  <si>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</si>
  <si>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</si>
  <si>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</si>
  <si>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</si>
  <si>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</si>
  <si>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</si>
  <si>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</si>
  <si>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</si>
  <si>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</si>
  <si>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</si>
  <si>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</si>
  <si>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</si>
  <si>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</si>
  <si>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</si>
  <si>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</si>
  <si>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</si>
  <si>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</si>
  <si>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</si>
  <si>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</si>
  <si>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</si>
  <si>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</si>
  <si>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</si>
  <si>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</si>
  <si>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</si>
  <si>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</si>
  <si>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</si>
  <si>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</si>
  <si>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</si>
  <si>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</si>
  <si>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</si>
  <si>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</si>
  <si>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</si>
  <si>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</si>
  <si>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</si>
  <si>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</si>
  <si>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</si>
  <si>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</si>
  <si>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</si>
  <si>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</si>
  <si>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</si>
  <si>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</si>
  <si>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</si>
  <si>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</si>
  <si>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</si>
  <si>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</si>
  <si>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</si>
  <si>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</si>
  <si>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</si>
  <si>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</si>
  <si>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</si>
  <si>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</si>
  <si>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</si>
  <si>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</si>
  <si>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</si>
  <si>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</si>
  <si>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</si>
  <si>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</si>
  <si>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</si>
  <si>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</si>
  <si>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</si>
  <si>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</si>
  <si>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</si>
  <si>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</si>
  <si>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</si>
  <si>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</si>
  <si>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</si>
  <si>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</si>
  <si>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</si>
  <si>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</si>
  <si>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</si>
  <si>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</si>
  <si>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</si>
  <si>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</si>
  <si>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</si>
  <si>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</si>
  <si>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</si>
  <si>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</si>
  <si>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</si>
  <si>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</si>
  <si>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</si>
  <si>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</si>
  <si>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</si>
  <si>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</si>
  <si>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</si>
  <si>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</si>
  <si>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</si>
  <si>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</si>
  <si>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</si>
  <si>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</si>
  <si>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</si>
  <si>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</si>
  <si>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</si>
  <si>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</si>
  <si>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</si>
  <si>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</si>
  <si>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</si>
  <si>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</si>
  <si>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</si>
  <si>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</si>
  <si>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</si>
  <si>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</si>
  <si>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</si>
  <si>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</si>
  <si>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</si>
  <si>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</si>
  <si>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</si>
  <si>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</si>
  <si>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</si>
  <si>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</si>
  <si>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</si>
  <si>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</si>
  <si>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</si>
  <si>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</si>
  <si>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</si>
  <si>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</si>
  <si>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</si>
  <si>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</si>
  <si>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</si>
  <si>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</si>
  <si>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</si>
  <si>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</si>
  <si>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</si>
  <si>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</si>
  <si>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</si>
  <si>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</si>
  <si>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</si>
  <si>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</si>
  <si>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</si>
  <si>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</si>
  <si>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</si>
  <si>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</si>
  <si>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</si>
  <si>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</si>
  <si>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</si>
  <si>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</si>
  <si>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</si>
  <si>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</si>
  <si>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</si>
  <si>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</si>
  <si>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</si>
  <si>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</si>
  <si>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</si>
  <si>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</si>
  <si>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</si>
  <si>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</si>
  <si>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</si>
  <si>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</si>
  <si>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</si>
  <si>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</si>
  <si>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</si>
  <si>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</si>
  <si>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</si>
  <si>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</si>
  <si>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</si>
  <si>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</si>
  <si>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</si>
  <si>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</si>
  <si>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</si>
  <si>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</si>
  <si>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</si>
  <si>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</si>
  <si>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</si>
  <si>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</si>
  <si>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</si>
  <si>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</si>
  <si>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</si>
  <si>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</si>
  <si>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</si>
  <si>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</si>
  <si>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</si>
  <si>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</si>
  <si>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</si>
  <si>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</si>
  <si>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</si>
  <si>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</si>
  <si>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</si>
  <si>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</si>
  <si>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</si>
  <si>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</si>
  <si>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</si>
  <si>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</si>
  <si>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</si>
  <si>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</si>
  <si>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</si>
  <si>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</si>
  <si>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</si>
  <si>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</si>
  <si>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</si>
  <si>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</si>
  <si>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</si>
  <si>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</si>
  <si>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</si>
  <si>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</si>
  <si>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</si>
  <si>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</si>
  <si>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</si>
  <si>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</si>
  <si>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</si>
  <si>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</si>
  <si>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</si>
  <si>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</si>
  <si>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</si>
  <si>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</si>
  <si>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</si>
  <si>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</si>
  <si>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</si>
  <si>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</si>
  <si>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</si>
  <si>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</si>
  <si>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</si>
  <si>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</si>
  <si>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</si>
  <si>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</si>
  <si>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</si>
  <si>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</si>
  <si>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</si>
  <si>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</si>
  <si>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</si>
  <si>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</si>
  <si>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</si>
  <si>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</si>
  <si>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</si>
  <si>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</si>
  <si>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</si>
  <si>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</si>
  <si>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</si>
  <si>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</si>
  <si>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</si>
  <si>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</si>
  <si>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</si>
  <si>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</si>
  <si>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</si>
  <si>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</si>
  <si>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</si>
  <si>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</si>
  <si>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</si>
  <si>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</si>
  <si>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</si>
  <si>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</si>
  <si>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</si>
  <si>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</si>
  <si>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</si>
  <si>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</si>
  <si>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</si>
  <si>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</si>
  <si>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</si>
  <si>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</si>
  <si>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</si>
  <si>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</si>
  <si>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</si>
  <si>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</si>
  <si>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</si>
  <si>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</si>
  <si>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</si>
  <si>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</si>
  <si>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</si>
  <si>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</si>
  <si>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</si>
  <si>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</si>
  <si>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</si>
  <si>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</si>
  <si>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</si>
  <si>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</si>
  <si>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</si>
  <si>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</si>
  <si>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</si>
  <si>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</si>
  <si>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</si>
  <si>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</si>
  <si>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</si>
  <si>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</si>
  <si>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</si>
  <si>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</si>
  <si>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</si>
  <si>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</si>
  <si>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</si>
  <si>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</si>
  <si>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</si>
  <si>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</si>
  <si>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</si>
  <si>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</si>
  <si>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</si>
  <si>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</si>
  <si>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</si>
  <si>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</si>
  <si>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</si>
  <si>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</si>
  <si>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</si>
  <si>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</si>
  <si>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</si>
  <si>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</si>
  <si>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</si>
  <si>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</si>
  <si>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</si>
  <si>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</si>
  <si>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</si>
  <si>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</si>
  <si>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</si>
  <si>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</si>
  <si>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</si>
  <si>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</si>
  <si>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</si>
  <si>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</si>
  <si>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</si>
  <si>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</si>
  <si>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</si>
  <si>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</si>
  <si>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</si>
  <si>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</si>
  <si>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</si>
  <si>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</si>
  <si>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</si>
  <si>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</si>
  <si>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</si>
  <si>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</si>
  <si>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</si>
  <si>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</si>
  <si>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</si>
  <si>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</si>
  <si>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</si>
  <si>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</si>
  <si>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</si>
  <si>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</si>
  <si>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</si>
  <si>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</si>
  <si>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</si>
  <si>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</si>
  <si>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</si>
  <si>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</si>
  <si>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</si>
  <si>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</si>
  <si>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</si>
  <si>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</si>
  <si>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</si>
  <si>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</si>
  <si>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</si>
  <si>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</si>
  <si>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</si>
  <si>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</si>
  <si>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</si>
  <si>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</si>
  <si>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</si>
  <si>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</si>
  <si>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</si>
  <si>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</si>
  <si>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</si>
  <si>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</si>
  <si>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</si>
  <si>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</si>
  <si>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</si>
  <si>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</si>
  <si>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</si>
  <si>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</si>
  <si>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</si>
  <si>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</si>
  <si>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</si>
  <si>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Y</t>
  </si>
  <si>
    <t>N</t>
  </si>
  <si>
    <t>NA</t>
  </si>
  <si>
    <t>Other - Liability for Employee Future Benefits</t>
  </si>
  <si>
    <t>Section 12(1)(m) income - customer deposits</t>
  </si>
  <si>
    <t xml:space="preserve">Actual Interest deducted on MoF filing  (Cell K36+K41) </t>
  </si>
  <si>
    <t>Deemed Interest</t>
  </si>
  <si>
    <t>PILs TAXES - EB-2011-0167</t>
  </si>
  <si>
    <t>Utility Name: Festival Hydro Inc</t>
  </si>
  <si>
    <t>check</t>
  </si>
  <si>
    <t xml:space="preserve">     Other Interest Expense (Customer Deposits/IESO LC) check</t>
  </si>
  <si>
    <t>Employee benefit plans-paid amounts check</t>
  </si>
  <si>
    <t>Section 12(1)(a) income - customer deposits check</t>
  </si>
  <si>
    <t>Ontario Specified Tax Credits</t>
  </si>
  <si>
    <t>Capital tax expensed</t>
  </si>
  <si>
    <t>Capital tx paid per CT23</t>
  </si>
  <si>
    <t xml:space="preserve">Non deductible meals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</si>
</sst>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4" fontId="9" fillId="43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3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43" borderId="55" xfId="0" applyFont="1" applyFill="1" applyBorder="1" applyAlignment="1" applyProtection="1">
      <alignment horizontal="center" vertical="center" wrapText="1"/>
      <protection locked="0"/>
    </xf>
    <xf numFmtId="3" fontId="0" fillId="44" borderId="0" xfId="0" applyNumberFormat="1" applyFill="1" applyAlignment="1">
      <alignment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0" fontId="0" fillId="0" borderId="0" xfId="63" applyFont="1" applyFill="1" applyAlignment="1" applyProtection="1">
      <alignment vertical="top"/>
      <protection locked="0"/>
    </xf>
    <xf numFmtId="0" fontId="5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3" fontId="0" fillId="39" borderId="14" xfId="0" applyNumberFormat="1" applyFont="1" applyFill="1" applyBorder="1" applyAlignment="1">
      <alignment horizontal="right" vertical="top"/>
    </xf>
    <xf numFmtId="0" fontId="57" fillId="0" borderId="0" xfId="0" applyFont="1" applyAlignment="1" quotePrefix="1">
      <alignment vertical="top"/>
    </xf>
    <xf numFmtId="0" fontId="57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10" fontId="0" fillId="0" borderId="0" xfId="63" applyFont="1" applyFill="1" applyBorder="1" applyAlignment="1" applyProtection="1">
      <alignment vertical="top"/>
      <protection locked="0"/>
    </xf>
    <xf numFmtId="10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498</v>
      </c>
      <c r="C1" s="8"/>
      <c r="E1" s="2" t="s">
        <v>457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499</v>
      </c>
      <c r="C3" s="8"/>
      <c r="D3" s="454" t="s">
        <v>444</v>
      </c>
      <c r="E3" s="8"/>
      <c r="F3" s="8"/>
      <c r="G3" s="8"/>
      <c r="H3" s="8"/>
    </row>
    <row r="4" spans="1:8" ht="12.75">
      <c r="A4" s="2" t="s">
        <v>480</v>
      </c>
      <c r="C4" s="8"/>
      <c r="D4" s="453" t="s">
        <v>439</v>
      </c>
      <c r="E4" s="427"/>
      <c r="H4" s="8"/>
    </row>
    <row r="5" spans="1:8" ht="12.75">
      <c r="A5" s="51"/>
      <c r="C5" s="8"/>
      <c r="D5" s="452" t="s">
        <v>440</v>
      </c>
      <c r="E5" s="397"/>
      <c r="H5" s="8"/>
    </row>
    <row r="6" spans="1:8" ht="12.75">
      <c r="A6" s="2" t="s">
        <v>125</v>
      </c>
      <c r="B6" s="387">
        <v>366</v>
      </c>
      <c r="C6" s="8" t="s">
        <v>126</v>
      </c>
      <c r="D6" s="21"/>
      <c r="H6" s="8"/>
    </row>
    <row r="7" spans="1:8" ht="13.5" thickBot="1">
      <c r="A7" s="51" t="s">
        <v>253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89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89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489" t="s">
        <v>492</v>
      </c>
    </row>
    <row r="18" spans="1:4" ht="15" customHeight="1">
      <c r="A18" s="388" t="s">
        <v>312</v>
      </c>
      <c r="C18" s="8"/>
      <c r="D18" s="8"/>
    </row>
    <row r="19" spans="1:4" ht="15" customHeight="1">
      <c r="A19" s="512" t="s">
        <v>313</v>
      </c>
      <c r="B19" s="8" t="s">
        <v>310</v>
      </c>
      <c r="C19" s="8" t="s">
        <v>63</v>
      </c>
      <c r="D19" s="490" t="s">
        <v>491</v>
      </c>
    </row>
    <row r="20" spans="1:4" ht="13.5" thickBot="1">
      <c r="A20" s="513"/>
      <c r="B20" s="8" t="s">
        <v>311</v>
      </c>
      <c r="C20" s="8" t="s">
        <v>63</v>
      </c>
      <c r="D20" s="489" t="s">
        <v>493</v>
      </c>
    </row>
    <row r="21" spans="1:4" ht="12.75">
      <c r="A21" s="512" t="s">
        <v>309</v>
      </c>
      <c r="B21" s="8" t="s">
        <v>310</v>
      </c>
      <c r="C21" s="8"/>
      <c r="D21" s="422">
        <v>1</v>
      </c>
    </row>
    <row r="22" spans="1:4" ht="12.75">
      <c r="A22" s="512"/>
      <c r="B22" s="8" t="s">
        <v>311</v>
      </c>
      <c r="C22" s="8"/>
      <c r="D22" s="422">
        <v>1</v>
      </c>
    </row>
    <row r="23" spans="1:4" ht="7.5" customHeight="1">
      <c r="A23" s="45"/>
      <c r="C23" s="8"/>
      <c r="D23" s="387"/>
    </row>
    <row r="24" spans="1:4" ht="12.75">
      <c r="A24" s="45" t="s">
        <v>210</v>
      </c>
      <c r="C24" s="8" t="s">
        <v>211</v>
      </c>
      <c r="D24" s="423" t="s">
        <v>481</v>
      </c>
    </row>
    <row r="25" ht="6.75" customHeight="1" thickBot="1">
      <c r="A25" s="12"/>
    </row>
    <row r="26" spans="1:5" ht="12.75">
      <c r="A26" s="254" t="s">
        <v>66</v>
      </c>
      <c r="C26" s="8"/>
      <c r="E26" s="442" t="s">
        <v>294</v>
      </c>
    </row>
    <row r="27" spans="1:5" ht="12.75">
      <c r="A27" s="255" t="s">
        <v>67</v>
      </c>
      <c r="C27" s="8"/>
      <c r="E27" s="443" t="s">
        <v>295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284</v>
      </c>
      <c r="D31" s="420">
        <v>31136775</v>
      </c>
      <c r="H31" s="5"/>
    </row>
    <row r="32" ht="6" customHeight="1"/>
    <row r="33" spans="1:8" ht="12.75">
      <c r="A33" t="s">
        <v>70</v>
      </c>
      <c r="D33" s="421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1">
        <v>0.0988</v>
      </c>
      <c r="H37" s="41"/>
    </row>
    <row r="38" ht="4.5" customHeight="1">
      <c r="H38" s="34"/>
    </row>
    <row r="39" spans="1:8" ht="12.75">
      <c r="A39" t="s">
        <v>73</v>
      </c>
      <c r="D39" s="421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4">
        <v>681997</v>
      </c>
      <c r="E43" s="386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1984867.77875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25">
        <v>661623</v>
      </c>
      <c r="E47" s="386">
        <f aca="true" t="shared" si="0" ref="E47:E53">D47</f>
        <v>661623</v>
      </c>
      <c r="H47" s="40"/>
      <c r="J47" s="5"/>
      <c r="K47" s="5"/>
    </row>
    <row r="48" spans="1:11" ht="12.75">
      <c r="A48" t="s">
        <v>287</v>
      </c>
      <c r="D48" s="425">
        <v>661623</v>
      </c>
      <c r="E48" s="386">
        <f>D48</f>
        <v>661623</v>
      </c>
      <c r="F48" s="22"/>
      <c r="H48" s="40"/>
      <c r="J48" s="5"/>
      <c r="K48" s="5"/>
    </row>
    <row r="49" spans="1:11" ht="12.75">
      <c r="A49" t="s">
        <v>288</v>
      </c>
      <c r="D49" s="426">
        <v>0</v>
      </c>
      <c r="E49" s="386">
        <v>0</v>
      </c>
      <c r="F49" s="22"/>
      <c r="H49" s="40"/>
      <c r="J49" s="5"/>
      <c r="K49" s="5"/>
    </row>
    <row r="50" spans="1:11" ht="12.75">
      <c r="A50" t="s">
        <v>289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436</v>
      </c>
      <c r="D51" s="427"/>
      <c r="E51" s="386">
        <f t="shared" si="0"/>
        <v>0</v>
      </c>
      <c r="H51" s="40"/>
      <c r="J51" s="5"/>
      <c r="K51" s="5"/>
    </row>
    <row r="52" spans="1:11" ht="12.75">
      <c r="A52" t="s">
        <v>458</v>
      </c>
      <c r="D52" s="427"/>
      <c r="E52" s="386">
        <f t="shared" si="0"/>
        <v>0</v>
      </c>
      <c r="H52" s="40"/>
      <c r="J52" s="5"/>
      <c r="K52" s="5"/>
    </row>
    <row r="53" spans="4:11" ht="12.75">
      <c r="D53" s="427"/>
      <c r="E53" s="386">
        <f t="shared" si="0"/>
        <v>0</v>
      </c>
      <c r="H53" s="40"/>
      <c r="J53" s="5"/>
      <c r="K53" s="5"/>
    </row>
    <row r="54" spans="1:11" ht="12.75">
      <c r="A54" s="2" t="s">
        <v>290</v>
      </c>
      <c r="E54" s="253">
        <f>SUM(E43:E53)</f>
        <v>2005243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1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2">
        <f>IF(D41&gt;0,(((D43+D47)/D41)*D62),0)</f>
        <v>568665.7910099241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2">
        <f>IF(D41&gt;0,(((D43+D47+D48)/D41)*D62),0)</f>
        <v>848687.2008172796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2">
        <f>IF(D41&gt;0,(((D43+D47+D48)/D41)*D62),0)</f>
        <v>848687.2008172796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2">
        <f>D62</f>
        <v>1128708.09375</v>
      </c>
      <c r="E70" s="504" t="s">
        <v>500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view="pageLayout" zoomScaleNormal="90" workbookViewId="0" topLeftCell="A1">
      <selection activeCell="C12" sqref="C12:H1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EB-2011-0167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460</v>
      </c>
      <c r="H1" s="209"/>
    </row>
    <row r="2" spans="1:8" ht="12.75">
      <c r="A2" s="210" t="s">
        <v>459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461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Festival Hydro Inc</v>
      </c>
      <c r="B6" s="114"/>
      <c r="D6" s="136"/>
      <c r="E6" s="114"/>
      <c r="G6" s="114"/>
      <c r="H6" s="464"/>
    </row>
    <row r="7" spans="1:8" ht="12.75">
      <c r="A7" s="210" t="str">
        <f>REGINFO!A4</f>
        <v>Reporting period:  2004</v>
      </c>
      <c r="B7" s="114"/>
      <c r="D7" s="136"/>
      <c r="E7" s="114"/>
      <c r="G7" s="114"/>
      <c r="H7" s="464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34"/>
      <c r="K8" s="34"/>
      <c r="L8" s="34"/>
    </row>
    <row r="9" spans="1:8" ht="12.75">
      <c r="A9" s="210" t="s">
        <v>125</v>
      </c>
      <c r="B9" s="428">
        <f>REGINFO!B6</f>
        <v>366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253</v>
      </c>
      <c r="B10" s="428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338</v>
      </c>
      <c r="B16" s="124">
        <v>1</v>
      </c>
      <c r="C16" s="257">
        <f>REGINFO!E54</f>
        <v>2005243</v>
      </c>
      <c r="D16" s="17"/>
      <c r="E16" s="265">
        <f>G16-C16</f>
        <v>898739</v>
      </c>
      <c r="F16" s="3"/>
      <c r="G16" s="265">
        <f>TAXREC!E50</f>
        <v>2903982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206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1951722</v>
      </c>
      <c r="D20" s="18"/>
      <c r="E20" s="265">
        <f>G20-C20</f>
        <v>225984</v>
      </c>
      <c r="F20" s="6"/>
      <c r="G20" s="265">
        <f>TAXREC!E61</f>
        <v>2177706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261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260</v>
      </c>
      <c r="B23" s="126">
        <v>4</v>
      </c>
      <c r="C23" s="259"/>
      <c r="D23" s="18"/>
      <c r="E23" s="265">
        <f>G23-C23</f>
        <v>1152145</v>
      </c>
      <c r="F23" s="6"/>
      <c r="G23" s="265">
        <f>TAXREC!E64</f>
        <v>1152145</v>
      </c>
      <c r="H23" s="150"/>
    </row>
    <row r="24" spans="1:8" ht="12.75">
      <c r="A24" s="157" t="s">
        <v>262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154</v>
      </c>
      <c r="B26" s="126">
        <v>6</v>
      </c>
      <c r="C26" s="259">
        <v>36651</v>
      </c>
      <c r="D26" s="18"/>
      <c r="E26" s="265">
        <f>G26-C26</f>
        <v>81619</v>
      </c>
      <c r="F26" s="6"/>
      <c r="G26" s="265">
        <f>TAXREC!E92</f>
        <v>118270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8379</v>
      </c>
      <c r="F28" s="6"/>
      <c r="G28" s="265">
        <f>TAXREC!E67</f>
        <v>8379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80" t="s">
        <v>392</v>
      </c>
      <c r="B30" s="126"/>
      <c r="C30" s="257"/>
      <c r="D30" s="18"/>
      <c r="E30" s="265">
        <f>G30-C30</f>
        <v>6969</v>
      </c>
      <c r="F30" s="6"/>
      <c r="G30" s="265">
        <f>TAXREC!E66</f>
        <v>6969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339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1358147</v>
      </c>
      <c r="D33" s="131"/>
      <c r="E33" s="265">
        <f aca="true" t="shared" si="0" ref="E33:E42">G33-C33</f>
        <v>208022</v>
      </c>
      <c r="F33" s="6"/>
      <c r="G33" s="265">
        <f>TAXREC!E97+TAXREC!E98</f>
        <v>1566169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263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REGINFO!D66</f>
        <v>848687.2008172796</v>
      </c>
      <c r="D37" s="131"/>
      <c r="E37" s="265">
        <f t="shared" si="0"/>
        <v>299498.79918272037</v>
      </c>
      <c r="F37" s="6"/>
      <c r="G37" s="265">
        <f>TAXREC!E51</f>
        <v>1148186</v>
      </c>
      <c r="H37" s="150"/>
    </row>
    <row r="38" spans="1:8" ht="12.75">
      <c r="A38" s="154" t="s">
        <v>259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258</v>
      </c>
      <c r="B39" s="124">
        <v>4</v>
      </c>
      <c r="C39" s="259"/>
      <c r="D39" s="131"/>
      <c r="E39" s="265">
        <f t="shared" si="0"/>
        <v>1109000</v>
      </c>
      <c r="F39" s="6"/>
      <c r="G39" s="265">
        <f>TAXREC!E105</f>
        <v>1109000</v>
      </c>
      <c r="H39" s="150"/>
    </row>
    <row r="40" spans="1:8" ht="12.75">
      <c r="A40" s="154" t="s">
        <v>11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12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115402</v>
      </c>
      <c r="F44" s="6"/>
      <c r="G44" s="250">
        <f>TAXREC!E130</f>
        <v>115402</v>
      </c>
      <c r="H44" s="150"/>
    </row>
    <row r="45" spans="1:8" ht="12.75">
      <c r="A45" s="157" t="s">
        <v>151</v>
      </c>
      <c r="B45" s="126">
        <v>12</v>
      </c>
      <c r="C45" s="259"/>
      <c r="D45" s="131"/>
      <c r="E45" s="265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152</v>
      </c>
      <c r="B47" s="126">
        <v>12</v>
      </c>
      <c r="C47" s="259"/>
      <c r="D47" s="131"/>
      <c r="E47" s="265">
        <f>G47-C47</f>
        <v>0</v>
      </c>
      <c r="F47" s="6"/>
      <c r="G47" s="250">
        <f>TAXREC!E111</f>
        <v>0</v>
      </c>
      <c r="H47" s="150"/>
    </row>
    <row r="48" spans="1:8" ht="15.75">
      <c r="A48" s="480" t="s">
        <v>392</v>
      </c>
      <c r="B48" s="126"/>
      <c r="C48" s="257"/>
      <c r="D48" s="131"/>
      <c r="E48" s="265">
        <f>G48-C48</f>
        <v>137067</v>
      </c>
      <c r="F48" s="6"/>
      <c r="G48" s="250">
        <f>TAXREC!E108</f>
        <v>137067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325</v>
      </c>
      <c r="B50" s="124"/>
      <c r="C50" s="261">
        <f>C16+SUM(C20:C30)-SUM(C33:C48)</f>
        <v>1786781.7991827205</v>
      </c>
      <c r="D50" s="101"/>
      <c r="E50" s="261">
        <f>E16+SUM(E20:E30)-SUM(E33:E48)</f>
        <v>504845.2008172795</v>
      </c>
      <c r="F50" s="430" t="s">
        <v>364</v>
      </c>
      <c r="G50" s="261">
        <f>G16+SUM(G20:G30)-SUM(G33:G48)</f>
        <v>2291627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333</v>
      </c>
      <c r="B52" s="126"/>
      <c r="C52" s="107"/>
      <c r="D52" s="131"/>
      <c r="E52" s="138"/>
      <c r="F52" s="6"/>
      <c r="G52" s="138"/>
      <c r="H52" s="150"/>
    </row>
    <row r="53" spans="1:8" ht="12.75">
      <c r="A53" s="157" t="s">
        <v>337</v>
      </c>
      <c r="B53" s="126">
        <v>13</v>
      </c>
      <c r="C53" s="260">
        <f>IF($C$50&gt;'Tax Rates'!$E$11,'Tax Rates'!$F$16,IF($C$50&gt;'Tax Rates'!$C$11,'Tax Rates'!$E$16,'Tax Rates'!$C$16))</f>
        <v>0.3862</v>
      </c>
      <c r="D53" s="101"/>
      <c r="E53" s="266">
        <f>+G53-C53</f>
        <v>-0.024999999999999967</v>
      </c>
      <c r="F53" s="113"/>
      <c r="G53" s="472">
        <f>TAXREC!E151</f>
        <v>0.3612</v>
      </c>
      <c r="H53" s="15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27</v>
      </c>
      <c r="B55" s="126"/>
      <c r="C55" s="262">
        <f>IF(C50&gt;0,C50*C53,0)</f>
        <v>690055.1308443666</v>
      </c>
      <c r="D55" s="101"/>
      <c r="E55" s="265">
        <f>G55-C55</f>
        <v>137679.6075556333</v>
      </c>
      <c r="F55" s="430" t="s">
        <v>365</v>
      </c>
      <c r="G55" s="262">
        <f>TAXREC!E144</f>
        <v>827734.7383999999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35</v>
      </c>
      <c r="B58" s="126">
        <v>14</v>
      </c>
      <c r="C58" s="263"/>
      <c r="D58" s="131"/>
      <c r="E58" s="265">
        <f>+G58-C58</f>
        <v>2555</v>
      </c>
      <c r="F58" s="430" t="s">
        <v>365</v>
      </c>
      <c r="G58" s="268">
        <f>TAXREC!E145</f>
        <v>2555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9" ht="13.5" thickBot="1">
      <c r="A60" s="149" t="s">
        <v>36</v>
      </c>
      <c r="B60" s="133"/>
      <c r="C60" s="264">
        <f>+C55-C58</f>
        <v>690055.1308443666</v>
      </c>
      <c r="D60" s="132"/>
      <c r="E60" s="267">
        <f>+E55-E58</f>
        <v>135124.6075556333</v>
      </c>
      <c r="F60" s="430" t="s">
        <v>365</v>
      </c>
      <c r="G60" s="267">
        <f>+G55-G58</f>
        <v>825179.7383999999</v>
      </c>
      <c r="H60" s="134"/>
      <c r="I60" s="509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30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28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16</v>
      </c>
      <c r="B66" s="124">
        <v>15</v>
      </c>
      <c r="C66" s="262">
        <f>Ratebase</f>
        <v>31136775</v>
      </c>
      <c r="D66" s="101"/>
      <c r="E66" s="265">
        <f>G66-C66</f>
        <v>12196925</v>
      </c>
      <c r="F66" s="6"/>
      <c r="G66" s="474">
        <v>43333700</v>
      </c>
      <c r="H66" s="150"/>
      <c r="I66" s="475" t="s">
        <v>470</v>
      </c>
    </row>
    <row r="67" spans="1:10" ht="12.75">
      <c r="A67" s="151" t="s">
        <v>357</v>
      </c>
      <c r="B67" s="124">
        <v>16</v>
      </c>
      <c r="C67" s="258">
        <f>IF(C66&gt;0,'Tax Rates'!C21,0)</f>
        <v>5000000</v>
      </c>
      <c r="D67" s="101"/>
      <c r="E67" s="265">
        <f>G67-C67</f>
        <v>-133636</v>
      </c>
      <c r="F67" s="6"/>
      <c r="G67" s="474">
        <v>4866364</v>
      </c>
      <c r="H67" s="150"/>
      <c r="I67" s="475" t="s">
        <v>470</v>
      </c>
      <c r="J67" s="509"/>
    </row>
    <row r="68" spans="1:8" ht="12.75">
      <c r="A68" s="151" t="s">
        <v>41</v>
      </c>
      <c r="B68" s="124"/>
      <c r="C68" s="262">
        <f>IF((C66-C67)&gt;0,C66-C67,0)</f>
        <v>26136775</v>
      </c>
      <c r="D68" s="101"/>
      <c r="E68" s="265">
        <f>SUM(E66:E67)</f>
        <v>12063289</v>
      </c>
      <c r="F68" s="113"/>
      <c r="G68" s="262">
        <f>G66-G67</f>
        <v>38467336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314</v>
      </c>
      <c r="B72" s="124"/>
      <c r="C72" s="262">
        <f>IF(C68&gt;0,C68*C70,0)*REGINFO!$B$6/REGINFO!$B$7</f>
        <v>78410.325</v>
      </c>
      <c r="D72" s="100"/>
      <c r="E72" s="265">
        <f>+G72-C72</f>
        <v>36991.683000000005</v>
      </c>
      <c r="F72" s="476"/>
      <c r="G72" s="262">
        <f>IF(G68&gt;0,G68*G70,0)*REGINFO!$B$6/REGINFO!$B$7</f>
        <v>115402.008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10" ht="12.75">
      <c r="A75" s="151" t="s">
        <v>16</v>
      </c>
      <c r="B75" s="124">
        <v>18</v>
      </c>
      <c r="C75" s="262">
        <f>Ratebase</f>
        <v>31136775</v>
      </c>
      <c r="D75" s="101"/>
      <c r="E75" s="265">
        <f>+G75-C75</f>
        <v>8066618</v>
      </c>
      <c r="F75" s="6"/>
      <c r="G75" s="474">
        <v>39203393</v>
      </c>
      <c r="H75" s="150"/>
      <c r="I75" s="475" t="s">
        <v>470</v>
      </c>
      <c r="J75" s="34"/>
    </row>
    <row r="76" spans="1:10" ht="12.75">
      <c r="A76" s="151" t="s">
        <v>357</v>
      </c>
      <c r="B76" s="124">
        <v>19</v>
      </c>
      <c r="C76" s="258">
        <f>IF(C75&gt;0,'Tax Rates'!C22,0)</f>
        <v>10000000</v>
      </c>
      <c r="D76" s="18"/>
      <c r="E76" s="265">
        <f>+G76-C76</f>
        <v>37000000</v>
      </c>
      <c r="F76" s="6"/>
      <c r="G76" s="474">
        <v>47000000</v>
      </c>
      <c r="H76" s="150"/>
      <c r="I76" s="475" t="s">
        <v>470</v>
      </c>
      <c r="J76" s="509"/>
    </row>
    <row r="77" spans="1:8" ht="12.75">
      <c r="A77" s="151" t="s">
        <v>41</v>
      </c>
      <c r="B77" s="124"/>
      <c r="C77" s="262">
        <f>IF((C75-C76)&gt;0,C75-C76,0)</f>
        <v>21136775</v>
      </c>
      <c r="D77" s="19"/>
      <c r="E77" s="265">
        <f>SUM(E75:E76)</f>
        <v>45066618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299">
        <f>'Tax Rates'!C19</f>
        <v>0.00225</v>
      </c>
      <c r="D79" s="101"/>
      <c r="E79" s="266">
        <f>G79-C79</f>
        <v>-0.0002499999999999998</v>
      </c>
      <c r="F79" s="6"/>
      <c r="G79" s="266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315</v>
      </c>
      <c r="B81" s="124"/>
      <c r="C81" s="262">
        <f>IF(C77&gt;0,C77*C79,0)*REGINFO!$B$6/REGINFO!$B$7</f>
        <v>47557.743749999994</v>
      </c>
      <c r="D81" s="101"/>
      <c r="E81" s="265">
        <f>+G81-C81</f>
        <v>-47557.743749999994</v>
      </c>
      <c r="F81" s="6"/>
      <c r="G81" s="262">
        <f>G77*G79*B9/B10</f>
        <v>0</v>
      </c>
      <c r="H81" s="150"/>
    </row>
    <row r="82" spans="1:8" ht="12.75">
      <c r="A82" s="151" t="s">
        <v>316</v>
      </c>
      <c r="B82" s="124">
        <v>21</v>
      </c>
      <c r="C82" s="298">
        <f>IF(C77&gt;0,IF(C60&gt;0,C50*'Tax Rates'!C20,0),0)</f>
        <v>20011.95615084647</v>
      </c>
      <c r="D82" s="101"/>
      <c r="E82" s="265">
        <f>+G82-C82</f>
        <v>-20011.95615084647</v>
      </c>
      <c r="F82" s="6"/>
      <c r="G82" s="298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31</v>
      </c>
      <c r="B84" s="124"/>
      <c r="C84" s="262">
        <f>C81-C82</f>
        <v>27545.787599153526</v>
      </c>
      <c r="D84" s="16"/>
      <c r="E84" s="265">
        <f>E81-E82</f>
        <v>-27545.787599153526</v>
      </c>
      <c r="F84" s="102"/>
      <c r="G84" s="262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225</v>
      </c>
      <c r="B88" s="124"/>
      <c r="C88" s="260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9" ht="12.75">
      <c r="A90" s="157" t="s">
        <v>366</v>
      </c>
      <c r="B90" s="126">
        <v>22</v>
      </c>
      <c r="C90" s="262">
        <f>C60/(1-C88)</f>
        <v>1104088.2093509866</v>
      </c>
      <c r="D90" s="20"/>
      <c r="E90" s="138"/>
      <c r="F90" s="429" t="s">
        <v>483</v>
      </c>
      <c r="G90" s="268">
        <v>869361</v>
      </c>
      <c r="H90" s="150"/>
      <c r="I90" s="509"/>
    </row>
    <row r="91" spans="1:9" ht="12.75">
      <c r="A91" s="157" t="s">
        <v>367</v>
      </c>
      <c r="B91" s="126">
        <v>23</v>
      </c>
      <c r="C91" s="262">
        <f>C84/(1-C88)</f>
        <v>44073.260158645644</v>
      </c>
      <c r="D91" s="20"/>
      <c r="E91" s="138"/>
      <c r="F91" s="429" t="s">
        <v>483</v>
      </c>
      <c r="G91" s="268">
        <f>TAXREC!E158</f>
        <v>0</v>
      </c>
      <c r="H91" s="150"/>
      <c r="I91" s="509"/>
    </row>
    <row r="92" spans="1:9" ht="12.75">
      <c r="A92" s="157" t="s">
        <v>345</v>
      </c>
      <c r="B92" s="126">
        <v>24</v>
      </c>
      <c r="C92" s="262">
        <f>C72</f>
        <v>78410.325</v>
      </c>
      <c r="D92" s="20"/>
      <c r="E92" s="138"/>
      <c r="F92" s="429" t="s">
        <v>483</v>
      </c>
      <c r="G92" s="268">
        <v>115402</v>
      </c>
      <c r="H92" s="150"/>
      <c r="I92" s="509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1226571.7945096323</v>
      </c>
      <c r="D95" s="6"/>
      <c r="E95" s="138"/>
      <c r="F95" s="429" t="s">
        <v>483</v>
      </c>
      <c r="G95" s="412">
        <f>SUM(G90:G94)</f>
        <v>984763</v>
      </c>
      <c r="H95" s="163"/>
    </row>
    <row r="96" spans="1:8" ht="12.75">
      <c r="A96" s="402" t="s">
        <v>305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302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55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99</v>
      </c>
      <c r="B104" s="126">
        <v>4</v>
      </c>
      <c r="C104" s="111"/>
      <c r="D104" s="3"/>
      <c r="E104" s="250">
        <f>E23</f>
        <v>1152145</v>
      </c>
      <c r="F104" s="37"/>
      <c r="G104" s="200"/>
      <c r="H104" s="163"/>
    </row>
    <row r="105" spans="1:8" ht="12.75">
      <c r="A105" s="157" t="s">
        <v>43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50">
        <f>E26</f>
        <v>81619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50">
        <f>E28</f>
        <v>8379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56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44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43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478</v>
      </c>
      <c r="B112" s="126">
        <v>11</v>
      </c>
      <c r="C112" s="111"/>
      <c r="D112" s="3"/>
      <c r="E112" s="471">
        <f>E206</f>
        <v>19477.90625</v>
      </c>
      <c r="F112" s="186"/>
      <c r="G112" s="200"/>
      <c r="H112" s="163"/>
    </row>
    <row r="113" spans="1:8" ht="12.75">
      <c r="A113" s="154" t="s">
        <v>14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100</v>
      </c>
      <c r="B114" s="124">
        <v>4</v>
      </c>
      <c r="C114" s="111"/>
      <c r="D114" s="3"/>
      <c r="E114" s="250">
        <f>E39</f>
        <v>1109000</v>
      </c>
      <c r="F114" s="37"/>
      <c r="G114" s="200"/>
      <c r="H114" s="163"/>
    </row>
    <row r="115" spans="1:8" ht="12.75">
      <c r="A115" s="154" t="s">
        <v>11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50">
        <f>E44</f>
        <v>115402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218</v>
      </c>
      <c r="B120" s="126">
        <v>26</v>
      </c>
      <c r="C120" s="111"/>
      <c r="D120" s="116" t="s">
        <v>187</v>
      </c>
      <c r="E120" s="262">
        <f>SUM(E102:E107)-SUM(E109:E118)</f>
        <v>-1736.90625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482</v>
      </c>
      <c r="B122" s="126"/>
      <c r="C122" s="111"/>
      <c r="D122" s="3" t="s">
        <v>229</v>
      </c>
      <c r="E122" s="468">
        <f>+'Tax Rates'!F52</f>
        <v>0.3612</v>
      </c>
      <c r="F122" s="469"/>
      <c r="G122" s="200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101</v>
      </c>
      <c r="H123" s="163"/>
    </row>
    <row r="124" spans="1:8" ht="12.75">
      <c r="A124" s="157" t="s">
        <v>244</v>
      </c>
      <c r="B124" s="126"/>
      <c r="C124" s="111"/>
      <c r="D124" s="3" t="s">
        <v>187</v>
      </c>
      <c r="E124" s="262">
        <f>E120*E122</f>
        <v>-627.3705375000001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2555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-3182.3705375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194</v>
      </c>
      <c r="B130" s="126"/>
      <c r="C130" s="111"/>
      <c r="D130" s="3"/>
      <c r="E130" s="310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484">
        <f>E128/(1-E130)</f>
        <v>-4895.954673076923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233</v>
      </c>
      <c r="B136" s="129"/>
      <c r="C136" s="111"/>
      <c r="D136" s="117" t="s">
        <v>187</v>
      </c>
      <c r="E136" s="300">
        <f>C50</f>
        <v>1786781.7991827205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235</v>
      </c>
      <c r="B138" s="129"/>
      <c r="C138" s="111"/>
      <c r="D138" s="118" t="s">
        <v>229</v>
      </c>
      <c r="E138" s="310">
        <f>IF((E120+E136)&gt;'Tax Rates'!E47,'Tax Rates'!F52,IF((E120+E136)&gt;'Tax Rates'!D47,'Tax Rates'!E52,IF((E120+E136)&gt;'Tax Rates'!C47,'Tax Rates'!D52,'Tax Rates'!C52)))</f>
        <v>0.3612</v>
      </c>
      <c r="F138" s="196" t="s">
        <v>101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227</v>
      </c>
      <c r="B140" s="129"/>
      <c r="C140" s="111"/>
      <c r="D140" s="117" t="s">
        <v>187</v>
      </c>
      <c r="E140" s="301">
        <f>IF(E136&gt;0,E136*E138,0)</f>
        <v>645385.5858647986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236</v>
      </c>
      <c r="B142" s="129"/>
      <c r="C142" s="111"/>
      <c r="D142" s="117" t="s">
        <v>186</v>
      </c>
      <c r="E142" s="302">
        <f>TAXREC!E145</f>
        <v>2555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228</v>
      </c>
      <c r="B144" s="129"/>
      <c r="C144" s="111"/>
      <c r="D144" s="118" t="s">
        <v>187</v>
      </c>
      <c r="E144" s="300">
        <f>E140-E142</f>
        <v>642830.5858647986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237</v>
      </c>
      <c r="B146" s="129"/>
      <c r="C146" s="111"/>
      <c r="D146" s="117" t="s">
        <v>186</v>
      </c>
      <c r="E146" s="300">
        <f>C60</f>
        <v>690055.1308443666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230</v>
      </c>
      <c r="B148" s="129"/>
      <c r="C148" s="111"/>
      <c r="D148" s="117" t="s">
        <v>187</v>
      </c>
      <c r="E148" s="300">
        <f>E144-E146</f>
        <v>-47224.54497956799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5" t="s">
        <v>19</v>
      </c>
      <c r="B150" s="129"/>
      <c r="C150" s="111"/>
      <c r="D150" s="118"/>
      <c r="E150" s="479"/>
      <c r="F150" s="37"/>
      <c r="G150" s="200"/>
      <c r="H150" s="163"/>
    </row>
    <row r="151" spans="1:8" ht="12.75">
      <c r="A151" s="170" t="s">
        <v>16</v>
      </c>
      <c r="B151" s="129"/>
      <c r="C151" s="111"/>
      <c r="D151" s="118" t="s">
        <v>187</v>
      </c>
      <c r="E151" s="300">
        <f>C66</f>
        <v>31136775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186</v>
      </c>
      <c r="E152" s="303">
        <f>IF(E151&gt;0,'Tax Rates'!C39,0)</f>
        <v>5000000</v>
      </c>
      <c r="F152" s="37"/>
      <c r="G152" s="200"/>
      <c r="H152" s="163"/>
    </row>
    <row r="153" spans="1:8" ht="12.75">
      <c r="A153" s="170" t="s">
        <v>231</v>
      </c>
      <c r="B153" s="129"/>
      <c r="C153" s="111"/>
      <c r="D153" s="117" t="s">
        <v>187</v>
      </c>
      <c r="E153" s="300">
        <f>E151-E152</f>
        <v>26136775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229</v>
      </c>
      <c r="E155" s="304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232</v>
      </c>
      <c r="B157" s="129"/>
      <c r="C157" s="111"/>
      <c r="D157" s="118" t="s">
        <v>187</v>
      </c>
      <c r="E157" s="300">
        <f>IF(E153&gt;0,E153*E155*B9/B10,0)</f>
        <v>78410.325</v>
      </c>
      <c r="F157" s="37"/>
      <c r="G157" s="200"/>
      <c r="H157" s="163"/>
    </row>
    <row r="158" spans="1:8" ht="25.5">
      <c r="A158" s="170" t="s">
        <v>306</v>
      </c>
      <c r="B158" s="129"/>
      <c r="C158" s="111"/>
      <c r="D158" s="117" t="s">
        <v>186</v>
      </c>
      <c r="E158" s="303">
        <f>C72</f>
        <v>78410.325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187</v>
      </c>
      <c r="E159" s="473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5" t="s">
        <v>234</v>
      </c>
      <c r="B161" s="129"/>
      <c r="C161" s="111"/>
      <c r="D161" s="118"/>
      <c r="E161" s="302"/>
      <c r="F161" s="37"/>
      <c r="G161" s="200"/>
      <c r="H161" s="163"/>
    </row>
    <row r="162" spans="1:8" ht="12.75">
      <c r="A162" s="170" t="s">
        <v>16</v>
      </c>
      <c r="B162" s="129"/>
      <c r="C162" s="111"/>
      <c r="D162" s="118"/>
      <c r="E162" s="300">
        <f>C75</f>
        <v>31136775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187</v>
      </c>
      <c r="E164" s="300">
        <f>E162-E163</f>
        <v>-18863225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307</v>
      </c>
      <c r="B166" s="129"/>
      <c r="C166" s="111"/>
      <c r="D166" s="118"/>
      <c r="E166" s="304">
        <f>'Tax Rates'!C55</f>
        <v>0.002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300">
        <f>IF(E164&gt;0,E164*E166*B9/B10,0)</f>
        <v>0</v>
      </c>
      <c r="F168" s="37"/>
      <c r="G168" s="200"/>
      <c r="H168" s="163"/>
    </row>
    <row r="169" spans="1:8" ht="12.75">
      <c r="A169" s="170" t="s">
        <v>317</v>
      </c>
      <c r="B169" s="129"/>
      <c r="C169" s="111"/>
      <c r="D169" s="117" t="s">
        <v>186</v>
      </c>
      <c r="E169" s="305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187</v>
      </c>
      <c r="E170" s="300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3" t="s">
        <v>344</v>
      </c>
      <c r="B172" s="129"/>
      <c r="C172" s="111"/>
      <c r="D172" s="117" t="s">
        <v>186</v>
      </c>
      <c r="E172" s="303">
        <f>C84</f>
        <v>27545.787599153526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187</v>
      </c>
      <c r="E173" s="473">
        <f>E170-E172</f>
        <v>-27545.787599153526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342</v>
      </c>
      <c r="B175" s="129"/>
      <c r="C175" s="111"/>
      <c r="D175" s="118"/>
      <c r="E175" s="468">
        <f>IF((E120+G50)&gt;'Tax Rates'!E47,'Tax Rates'!F52-1.12%,IF((E120+G50)&gt;'Tax Rates'!D47,'Tax Rates'!E52-1.12%,IF((E120+G50)&gt;'Tax Rates'!C47,'Tax Rates'!D52,'Tax Rates'!C52-1.12%)))</f>
        <v>0.35000000000000003</v>
      </c>
      <c r="F175" s="469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185</v>
      </c>
      <c r="E177" s="300">
        <f>E148/(1-E175)</f>
        <v>-72653.1461224123</v>
      </c>
      <c r="F177" s="37"/>
      <c r="G177" s="200"/>
      <c r="H177" s="163"/>
    </row>
    <row r="178" spans="1:8" ht="12.75">
      <c r="A178" s="167" t="s">
        <v>32</v>
      </c>
      <c r="B178" s="129"/>
      <c r="C178" s="111"/>
      <c r="D178" s="118" t="s">
        <v>185</v>
      </c>
      <c r="E178" s="300">
        <f>E173/(1-E175)</f>
        <v>-42378.13476792851</v>
      </c>
      <c r="F178" s="37"/>
      <c r="G178" s="200"/>
      <c r="H178" s="163"/>
    </row>
    <row r="179" spans="1:8" ht="12.75">
      <c r="A179" s="167" t="s">
        <v>19</v>
      </c>
      <c r="B179" s="129"/>
      <c r="C179" s="111"/>
      <c r="D179" s="118" t="s">
        <v>185</v>
      </c>
      <c r="E179" s="300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187</v>
      </c>
      <c r="E181" s="483">
        <f>SUM(E177:E179)</f>
        <v>-115031.28089034081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477</v>
      </c>
      <c r="B183" s="129"/>
      <c r="C183" s="111"/>
      <c r="D183" s="118" t="s">
        <v>185</v>
      </c>
      <c r="E183" s="483">
        <f>E132</f>
        <v>-4895.954673076923</v>
      </c>
      <c r="F183" s="37" t="s">
        <v>101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351</v>
      </c>
      <c r="B185" s="129"/>
      <c r="C185" s="111"/>
      <c r="D185" s="118" t="s">
        <v>187</v>
      </c>
      <c r="E185" s="483">
        <f>E181+E183</f>
        <v>-119927.23556341774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222</v>
      </c>
      <c r="B193" s="126"/>
      <c r="C193" s="111"/>
      <c r="D193" s="119"/>
      <c r="E193" s="306">
        <f>REGINFO!D62</f>
        <v>1128708.09375</v>
      </c>
      <c r="F193" s="3"/>
      <c r="G193" s="122"/>
      <c r="H193" s="163"/>
    </row>
    <row r="194" spans="1:8" ht="12.75">
      <c r="A194" s="154" t="s">
        <v>249</v>
      </c>
      <c r="B194" s="126"/>
      <c r="C194" s="111"/>
      <c r="D194" s="119"/>
      <c r="E194" s="306">
        <f>REGINFO!D66</f>
        <v>848687.2008172796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340</v>
      </c>
      <c r="B196" s="126"/>
      <c r="C196" s="111"/>
      <c r="D196" s="119"/>
      <c r="E196" s="306">
        <f>E193-E194</f>
        <v>280020.89293272037</v>
      </c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254</v>
      </c>
      <c r="B199" s="126"/>
      <c r="C199" s="111"/>
      <c r="D199" s="119"/>
      <c r="E199" s="146"/>
      <c r="F199" s="3"/>
      <c r="G199" s="488"/>
      <c r="H199" s="163"/>
    </row>
    <row r="200" spans="1:8" ht="12.75">
      <c r="A200" s="175" t="s">
        <v>84</v>
      </c>
      <c r="B200" s="126"/>
      <c r="C200" s="111"/>
      <c r="D200" s="119"/>
      <c r="E200" s="146"/>
      <c r="H200" s="163"/>
    </row>
    <row r="201" spans="1:8" ht="12.75">
      <c r="A201" s="499" t="s">
        <v>496</v>
      </c>
      <c r="B201" s="126"/>
      <c r="C201" s="111"/>
      <c r="D201" s="119"/>
      <c r="E201" s="306">
        <f>G37+G42</f>
        <v>1148186</v>
      </c>
      <c r="F201" s="3"/>
      <c r="G201" s="488"/>
      <c r="H201" s="163"/>
    </row>
    <row r="202" spans="1:8" ht="12.75">
      <c r="A202" s="499" t="s">
        <v>497</v>
      </c>
      <c r="B202" s="126"/>
      <c r="C202" s="111"/>
      <c r="D202" s="119"/>
      <c r="E202" s="306">
        <f>+E193</f>
        <v>1128708.09375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19477.90625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479</v>
      </c>
      <c r="B206" s="126"/>
      <c r="C206" s="111"/>
      <c r="D206" s="119"/>
      <c r="E206" s="470">
        <f>IF((E201-E202)&gt;0,E201-E202,0)</f>
        <v>19477.90625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223</v>
      </c>
      <c r="B208" s="177"/>
      <c r="C208" s="178"/>
      <c r="D208" s="179"/>
      <c r="E208" s="307">
        <f>+E196-E204</f>
        <v>260542.98668272037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63"/>
  <sheetViews>
    <sheetView view="pageLayout" workbookViewId="0" topLeftCell="A132">
      <selection activeCell="A96" sqref="A9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4.14062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EB-2011-0167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Festival Hydro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4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86">
        <v>0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63</v>
      </c>
      <c r="C17" s="505" t="s">
        <v>491</v>
      </c>
      <c r="E17" s="26"/>
      <c r="F17" s="8"/>
    </row>
    <row r="18" spans="1:6" ht="12.75">
      <c r="A18" s="54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323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256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221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321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322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271</v>
      </c>
      <c r="B31" s="23" t="s">
        <v>185</v>
      </c>
      <c r="C31" s="283">
        <v>42595265</v>
      </c>
      <c r="D31" s="284"/>
      <c r="E31" s="282">
        <f>C31-D31</f>
        <v>42595265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3">
        <v>7798380</v>
      </c>
      <c r="D32" s="284"/>
      <c r="E32" s="282">
        <f>C32-D32</f>
        <v>7798380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3">
        <v>431053</v>
      </c>
      <c r="D33" s="284"/>
      <c r="E33" s="282">
        <f>C33-D33</f>
        <v>431053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3">
        <v>147977</v>
      </c>
      <c r="D34" s="284">
        <v>122318</v>
      </c>
      <c r="E34" s="282">
        <f>C34-D34</f>
        <v>25659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3">
        <v>42595266</v>
      </c>
      <c r="D39" s="284"/>
      <c r="E39" s="282">
        <f>C39-D39</f>
        <v>42595266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3">
        <v>1085470</v>
      </c>
      <c r="D40" s="284"/>
      <c r="E40" s="282">
        <f aca="true" t="shared" si="0" ref="E40:E48">C40-D40</f>
        <v>1085470</v>
      </c>
      <c r="F40" s="11"/>
      <c r="G40" s="11"/>
      <c r="H40" s="6"/>
      <c r="I40" s="6"/>
    </row>
    <row r="41" spans="1:9" ht="12.75">
      <c r="A41" s="4" t="s">
        <v>272</v>
      </c>
      <c r="B41" s="23" t="s">
        <v>186</v>
      </c>
      <c r="C41" s="283">
        <v>925643</v>
      </c>
      <c r="D41" s="284"/>
      <c r="E41" s="282">
        <f t="shared" si="0"/>
        <v>925643</v>
      </c>
      <c r="F41" s="11"/>
      <c r="G41" s="11"/>
      <c r="H41" s="6"/>
      <c r="I41" s="6"/>
    </row>
    <row r="42" spans="1:9" ht="12.75">
      <c r="A42" s="4" t="s">
        <v>273</v>
      </c>
      <c r="B42" s="23" t="s">
        <v>186</v>
      </c>
      <c r="C42" s="506">
        <v>1044020</v>
      </c>
      <c r="D42" s="284"/>
      <c r="E42" s="282">
        <f t="shared" si="0"/>
        <v>1044020</v>
      </c>
      <c r="F42" s="11"/>
      <c r="G42" s="11"/>
      <c r="H42" s="6"/>
      <c r="I42" s="6"/>
    </row>
    <row r="43" spans="1:9" ht="12.75">
      <c r="A43" s="4" t="s">
        <v>274</v>
      </c>
      <c r="B43" s="23" t="s">
        <v>186</v>
      </c>
      <c r="C43" s="283">
        <v>2177706</v>
      </c>
      <c r="D43" s="284"/>
      <c r="E43" s="282">
        <f t="shared" si="0"/>
        <v>2177706</v>
      </c>
      <c r="F43" s="11"/>
      <c r="G43" s="11"/>
      <c r="H43" s="6"/>
      <c r="I43" s="6"/>
    </row>
    <row r="44" spans="1:9" ht="12.75">
      <c r="A44" s="4" t="s">
        <v>275</v>
      </c>
      <c r="B44" s="23" t="s">
        <v>186</v>
      </c>
      <c r="C44" s="283">
        <v>118270</v>
      </c>
      <c r="D44" s="284"/>
      <c r="E44" s="282">
        <f t="shared" si="0"/>
        <v>118270</v>
      </c>
      <c r="F44" s="11"/>
      <c r="G44" s="11"/>
      <c r="H44" s="6"/>
      <c r="I44" s="6"/>
    </row>
    <row r="45" spans="1:11" ht="12.75">
      <c r="A45" s="507" t="s">
        <v>501</v>
      </c>
      <c r="B45" s="23" t="s">
        <v>186</v>
      </c>
      <c r="C45" s="283">
        <v>0</v>
      </c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186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3026300</v>
      </c>
      <c r="D50" s="279">
        <f>SUM(D31:D36)-SUM(D39:D49)</f>
        <v>122318</v>
      </c>
      <c r="E50" s="279">
        <f>SUM(E31:E35)-SUM(E39:E48)</f>
        <v>2903982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283">
        <v>1148186</v>
      </c>
      <c r="D51" s="283"/>
      <c r="E51" s="280">
        <f>+C51-D51</f>
        <v>1148186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657000</v>
      </c>
      <c r="D52" s="283"/>
      <c r="E52" s="281">
        <f>+C52-D52</f>
        <v>657000</v>
      </c>
      <c r="F52" s="8"/>
      <c r="G52" s="491"/>
    </row>
    <row r="53" spans="1:6" ht="12.75">
      <c r="A53" s="2" t="s">
        <v>129</v>
      </c>
      <c r="B53" s="8" t="s">
        <v>187</v>
      </c>
      <c r="C53" s="279">
        <f>C50-C51-C52</f>
        <v>1221114</v>
      </c>
      <c r="D53" s="279">
        <f>D50-D51-D52</f>
        <v>122318</v>
      </c>
      <c r="E53" s="279">
        <f>E50-E51-E52</f>
        <v>1098796</v>
      </c>
      <c r="F53" s="8"/>
    </row>
    <row r="54" spans="1:6" ht="24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9" ht="12.75">
      <c r="A59" s="4" t="s">
        <v>97</v>
      </c>
      <c r="B59" s="8" t="s">
        <v>185</v>
      </c>
      <c r="C59" s="285">
        <f>C52</f>
        <v>657000</v>
      </c>
      <c r="D59" s="285">
        <f>D52</f>
        <v>0</v>
      </c>
      <c r="E59" s="270">
        <f>+C59-D59</f>
        <v>657000</v>
      </c>
      <c r="F59" s="8"/>
      <c r="G59" s="500"/>
      <c r="I59" s="492"/>
    </row>
    <row r="60" spans="1:6" ht="12.75">
      <c r="A60" s="4" t="s">
        <v>324</v>
      </c>
      <c r="B60" s="8" t="s">
        <v>185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</f>
        <v>2177706</v>
      </c>
      <c r="D61" s="285">
        <f>D43</f>
        <v>0</v>
      </c>
      <c r="E61" s="270">
        <f>+C61-D61</f>
        <v>2177706</v>
      </c>
      <c r="F61" s="8"/>
      <c r="G61" s="414"/>
    </row>
    <row r="62" spans="1:6" ht="12.75">
      <c r="A62" t="s">
        <v>6</v>
      </c>
      <c r="B62" s="8" t="s">
        <v>185</v>
      </c>
      <c r="C62" s="316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276</v>
      </c>
      <c r="B63" s="8" t="s">
        <v>185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4">
        <f>'Tax Reserves'!C63</f>
        <v>1152145</v>
      </c>
      <c r="D64" s="315">
        <f>'Tax Reserves'!D63</f>
        <v>0</v>
      </c>
      <c r="E64" s="270">
        <f>+C64-D64</f>
        <v>1152145</v>
      </c>
      <c r="F64" s="8"/>
    </row>
    <row r="65" spans="1:6" ht="12.75">
      <c r="A65" t="s">
        <v>441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66" t="s">
        <v>392</v>
      </c>
      <c r="B66" s="8"/>
      <c r="C66" s="445">
        <f>'TAXREC 3 No True-up'!C47</f>
        <v>6969</v>
      </c>
      <c r="D66" s="445">
        <f>'TAXREC 3 No True-up'!D47</f>
        <v>0</v>
      </c>
      <c r="E66" s="270">
        <f>+C66-D66</f>
        <v>6969</v>
      </c>
      <c r="F66" s="8"/>
    </row>
    <row r="67" spans="1:6" ht="12.75">
      <c r="A67" t="s">
        <v>158</v>
      </c>
      <c r="B67" s="8" t="s">
        <v>185</v>
      </c>
      <c r="C67" s="250">
        <f>'TAXREC 2'!C77</f>
        <v>8379</v>
      </c>
      <c r="D67" s="250">
        <f>'TAXREC 2'!D77</f>
        <v>0</v>
      </c>
      <c r="E67" s="270">
        <f>+C67-D67</f>
        <v>8379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4002199</v>
      </c>
      <c r="D70" s="270">
        <f>SUM(D59:D68)</f>
        <v>0</v>
      </c>
      <c r="E70" s="270">
        <f>SUM(E59:E68)</f>
        <v>4002199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146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2" t="s">
        <v>505</v>
      </c>
      <c r="B75" s="8" t="s">
        <v>185</v>
      </c>
      <c r="C75" s="292">
        <v>118270</v>
      </c>
      <c r="D75" s="292"/>
      <c r="E75" s="270">
        <f t="shared" si="1"/>
        <v>118270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81">
        <v>0</v>
      </c>
      <c r="D76" s="292"/>
      <c r="E76" s="477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50">
        <f>SUM(C73:C79)</f>
        <v>118270</v>
      </c>
      <c r="D80" s="250">
        <f>SUM(D73:D79)</f>
        <v>0</v>
      </c>
      <c r="E80" s="250">
        <f>SUM(E73:E79)</f>
        <v>118270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187</v>
      </c>
      <c r="C82" s="250">
        <f>C70+C80</f>
        <v>4120469</v>
      </c>
      <c r="D82" s="250">
        <f>D70+D80</f>
        <v>0</v>
      </c>
      <c r="E82" s="250">
        <f>E70+E80</f>
        <v>4120469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Capital tax expensed</v>
      </c>
      <c r="B87" s="271"/>
      <c r="C87" s="288">
        <f t="shared" si="3"/>
        <v>118270</v>
      </c>
      <c r="D87" s="288">
        <f t="shared" si="3"/>
        <v>0</v>
      </c>
      <c r="E87" s="288">
        <f t="shared" si="3"/>
        <v>118270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149</v>
      </c>
      <c r="B92" s="271"/>
      <c r="C92" s="277">
        <f>SUM(C85:C91)</f>
        <v>118270</v>
      </c>
      <c r="D92" s="277">
        <f>SUM(D85:D91)</f>
        <v>0</v>
      </c>
      <c r="E92" s="277">
        <f>SUM(E85:E91)</f>
        <v>118270</v>
      </c>
      <c r="F92" s="8"/>
      <c r="G92" s="45"/>
      <c r="H92" s="45"/>
      <c r="I92" s="45"/>
      <c r="J92" s="45"/>
      <c r="K92" s="45"/>
    </row>
    <row r="93" spans="1:11" ht="12.75">
      <c r="A93" s="271" t="s">
        <v>429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195</v>
      </c>
      <c r="B94" s="271"/>
      <c r="C94" s="250">
        <f>C92+C93</f>
        <v>118270</v>
      </c>
      <c r="D94" s="250">
        <f>D92+D93</f>
        <v>0</v>
      </c>
      <c r="E94" s="250">
        <f>E92+E93</f>
        <v>118270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2">
        <v>1553509</v>
      </c>
      <c r="D97" s="292"/>
      <c r="E97" s="270">
        <f>+C97-D97</f>
        <v>1553509</v>
      </c>
      <c r="F97" s="8"/>
      <c r="G97" s="45"/>
      <c r="H97" s="45"/>
      <c r="I97" s="45"/>
      <c r="J97" s="45"/>
      <c r="K97" s="45"/>
    </row>
    <row r="98" spans="1:11" ht="12.75">
      <c r="A98" t="s">
        <v>13</v>
      </c>
      <c r="B98" s="8" t="s">
        <v>186</v>
      </c>
      <c r="C98" s="292">
        <v>12660</v>
      </c>
      <c r="D98" s="292"/>
      <c r="E98" s="270">
        <f>+C98-D98</f>
        <v>12660</v>
      </c>
      <c r="F98" s="8"/>
      <c r="G98" s="45"/>
      <c r="H98" s="45"/>
      <c r="I98" s="45"/>
      <c r="J98" s="45"/>
      <c r="K98" s="45"/>
    </row>
    <row r="99" spans="1:11" ht="12.75">
      <c r="A99" s="504" t="s">
        <v>502</v>
      </c>
      <c r="B99" s="8" t="s">
        <v>186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186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186</v>
      </c>
      <c r="C105" s="317">
        <f>'Tax Reserves'!C50</f>
        <v>1109000</v>
      </c>
      <c r="D105" s="317">
        <f>'Tax Reserves'!D50</f>
        <v>0</v>
      </c>
      <c r="E105" s="280">
        <f t="shared" si="5"/>
        <v>1109000</v>
      </c>
      <c r="F105" s="8"/>
      <c r="G105" s="45"/>
      <c r="H105" s="45"/>
      <c r="I105" s="45"/>
      <c r="J105" s="45"/>
      <c r="K105" s="45"/>
    </row>
    <row r="106" spans="1:11" ht="12.75">
      <c r="A106" s="10" t="s">
        <v>11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12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392</v>
      </c>
      <c r="B108" s="8"/>
      <c r="C108" s="253">
        <f>'TAXREC 3 No True-up'!C73</f>
        <v>137067</v>
      </c>
      <c r="D108" s="253">
        <f>'TAXREC 3 No True-up'!D73</f>
        <v>0</v>
      </c>
      <c r="E108" s="270">
        <f t="shared" si="5"/>
        <v>137067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50">
        <f>SUM(C97:C111)</f>
        <v>2812236</v>
      </c>
      <c r="D113" s="250">
        <f>SUM(D97:D111)</f>
        <v>0</v>
      </c>
      <c r="E113" s="250">
        <f>SUM(E97:E111)</f>
        <v>2812236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15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>
        <v>12533</v>
      </c>
      <c r="J116" s="76"/>
      <c r="K116" s="76"/>
    </row>
    <row r="117" spans="1:11" ht="12.75">
      <c r="A117" s="67" t="s">
        <v>506</v>
      </c>
      <c r="B117" s="8" t="s">
        <v>186</v>
      </c>
      <c r="C117" s="292">
        <v>115402</v>
      </c>
      <c r="D117" s="292"/>
      <c r="E117" s="270">
        <f>+C117-D117</f>
        <v>115402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50">
        <f>SUM(C114:C119)</f>
        <v>115402</v>
      </c>
      <c r="D120" s="250">
        <f>SUM(D114:D119)</f>
        <v>0</v>
      </c>
      <c r="E120" s="250">
        <f>SUM(E114:E119)</f>
        <v>115402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187</v>
      </c>
      <c r="C122" s="250">
        <f>C113+C120</f>
        <v>2927638</v>
      </c>
      <c r="D122" s="250">
        <f>D113+D120</f>
        <v>0</v>
      </c>
      <c r="E122" s="250">
        <f>+E113+E120</f>
        <v>2927638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Capital tx paid per CT23</v>
      </c>
      <c r="B127" s="271"/>
      <c r="C127" s="288">
        <f t="shared" si="6"/>
        <v>115402</v>
      </c>
      <c r="D127" s="288">
        <f t="shared" si="6"/>
        <v>0</v>
      </c>
      <c r="E127" s="288">
        <f t="shared" si="6"/>
        <v>115402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197</v>
      </c>
      <c r="B130" s="271"/>
      <c r="C130" s="250">
        <f>SUM(C125:C129)</f>
        <v>115402</v>
      </c>
      <c r="D130" s="250">
        <f>SUM(D125:D129)</f>
        <v>0</v>
      </c>
      <c r="E130" s="250">
        <f>SUM(E125:E129)</f>
        <v>115402</v>
      </c>
      <c r="F130" s="8"/>
      <c r="G130" s="45"/>
      <c r="H130" s="45"/>
      <c r="I130" s="45"/>
      <c r="J130" s="45"/>
      <c r="K130" s="45"/>
    </row>
    <row r="131" spans="1:11" ht="12.75">
      <c r="A131" s="271" t="s">
        <v>198</v>
      </c>
      <c r="B131" s="271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196</v>
      </c>
      <c r="B132" s="271"/>
      <c r="C132" s="250">
        <f>C130+C131</f>
        <v>115402</v>
      </c>
      <c r="D132" s="250">
        <f>D130+D131</f>
        <v>0</v>
      </c>
      <c r="E132" s="250">
        <f>E130+E131</f>
        <v>115402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50">
        <f>+C53+C82-C122</f>
        <v>2413945</v>
      </c>
      <c r="D134" s="250">
        <f>D53+D82-D122</f>
        <v>122318</v>
      </c>
      <c r="E134" s="250">
        <f>E53+E82-E122</f>
        <v>2291627</v>
      </c>
      <c r="F134" s="8"/>
      <c r="G134" s="45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186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186</v>
      </c>
      <c r="C137" s="308"/>
      <c r="D137" s="308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1">
        <f>C134-C136-C137-C138</f>
        <v>2413945</v>
      </c>
      <c r="D139" s="251">
        <f>D134-D136-D137-D138</f>
        <v>122318</v>
      </c>
      <c r="E139" s="251">
        <f>E134-E136-E137-E138</f>
        <v>2291627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185</v>
      </c>
      <c r="C142" s="296">
        <v>533964</v>
      </c>
      <c r="D142" s="485">
        <f>D139*C149</f>
        <v>27056.7416</v>
      </c>
      <c r="E142" s="251">
        <f>C142-D142</f>
        <v>506907.2584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185</v>
      </c>
      <c r="C143" s="296">
        <f>335397+2555</f>
        <v>337952</v>
      </c>
      <c r="D143" s="485">
        <f>D139*C150</f>
        <v>17124.52</v>
      </c>
      <c r="E143" s="290">
        <f>C143-D143</f>
        <v>320827.48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871916</v>
      </c>
      <c r="D144" s="251">
        <f>D142+D143</f>
        <v>44181.2616</v>
      </c>
      <c r="E144" s="251">
        <f>E142+E143</f>
        <v>827734.7383999999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186</v>
      </c>
      <c r="C145" s="296">
        <v>2555</v>
      </c>
      <c r="D145" s="485"/>
      <c r="E145" s="291">
        <f>C145-D145</f>
        <v>2555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187</v>
      </c>
      <c r="C146" s="251">
        <f>C144-C145</f>
        <v>869361</v>
      </c>
      <c r="D146" s="251">
        <f>D144-D145</f>
        <v>44181.2616</v>
      </c>
      <c r="E146" s="251">
        <f>E144-E145</f>
        <v>825179.7383999999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3" ht="12.75">
      <c r="A148" s="318" t="s">
        <v>303</v>
      </c>
      <c r="B148" s="8"/>
      <c r="C148" s="5"/>
      <c r="D148" s="5"/>
      <c r="E148" s="5"/>
      <c r="F148" s="8"/>
      <c r="G148" s="45"/>
      <c r="H148" s="45"/>
      <c r="I148" s="45"/>
      <c r="J148" s="501"/>
      <c r="K148" s="45"/>
      <c r="L148" s="34"/>
      <c r="M148" s="502"/>
    </row>
    <row r="149" spans="1:13" ht="12.75">
      <c r="A149" s="46" t="s">
        <v>326</v>
      </c>
      <c r="B149" s="8"/>
      <c r="C149" s="403">
        <f>+'Tax Rates'!F50</f>
        <v>0.2212</v>
      </c>
      <c r="D149" s="5"/>
      <c r="E149" s="404">
        <f>C149</f>
        <v>0.2212</v>
      </c>
      <c r="F149" s="8"/>
      <c r="G149" s="482" t="s">
        <v>465</v>
      </c>
      <c r="H149" s="45"/>
      <c r="I149" s="45"/>
      <c r="J149" s="501"/>
      <c r="K149" s="45"/>
      <c r="L149" s="503"/>
      <c r="M149" s="34"/>
    </row>
    <row r="150" spans="1:13" ht="12.75">
      <c r="A150" s="46" t="s">
        <v>327</v>
      </c>
      <c r="B150" s="8"/>
      <c r="C150" s="403">
        <f>'Tax Rates'!F51</f>
        <v>0.14</v>
      </c>
      <c r="D150" s="5"/>
      <c r="E150" s="404">
        <f>C150</f>
        <v>0.14</v>
      </c>
      <c r="F150" s="8"/>
      <c r="G150" s="482" t="s">
        <v>466</v>
      </c>
      <c r="H150" s="45"/>
      <c r="I150" s="45"/>
      <c r="J150" s="501"/>
      <c r="K150" s="45"/>
      <c r="L150" s="503"/>
      <c r="M150" s="34"/>
    </row>
    <row r="151" spans="1:11" ht="12.75">
      <c r="A151" t="s">
        <v>328</v>
      </c>
      <c r="B151" s="8"/>
      <c r="C151" s="404">
        <f>SUM(C149:C150)</f>
        <v>0.3612</v>
      </c>
      <c r="D151" s="5"/>
      <c r="E151" s="404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217</v>
      </c>
      <c r="B156" s="85" t="s">
        <v>185</v>
      </c>
      <c r="C156" s="250">
        <f>C146</f>
        <v>869361</v>
      </c>
      <c r="D156" s="250">
        <f>D146</f>
        <v>44181.2616</v>
      </c>
      <c r="E156" s="250">
        <f>E146</f>
        <v>825179.7383999999</v>
      </c>
    </row>
    <row r="157" spans="1:5" ht="12.75">
      <c r="A157" t="s">
        <v>19</v>
      </c>
      <c r="B157" s="85" t="s">
        <v>185</v>
      </c>
      <c r="C157" s="478">
        <v>115402</v>
      </c>
      <c r="D157" s="250"/>
      <c r="E157" s="250">
        <f>C157+D157</f>
        <v>115402</v>
      </c>
    </row>
    <row r="158" spans="1:5" ht="12.75">
      <c r="A158" t="s">
        <v>216</v>
      </c>
      <c r="B158" s="85" t="s">
        <v>185</v>
      </c>
      <c r="C158" s="478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5" t="s">
        <v>187</v>
      </c>
      <c r="C160" s="250">
        <f>C156+C157+C158</f>
        <v>984763</v>
      </c>
      <c r="D160" s="250">
        <f>D156+D157+D158</f>
        <v>44181.2616</v>
      </c>
      <c r="E160" s="250">
        <f>E156+E157+E158</f>
        <v>940581.7383999999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Layout" workbookViewId="0" topLeftCell="A40">
      <selection activeCell="D5" sqref="D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EB-2011-0167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Hydro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270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50">
        <f>C13-D13</f>
        <v>0</v>
      </c>
    </row>
    <row r="14" spans="1:5" ht="12.75">
      <c r="A14" s="60" t="s">
        <v>278</v>
      </c>
      <c r="B14" s="60"/>
      <c r="C14" s="292"/>
      <c r="D14" s="292"/>
      <c r="E14" s="250">
        <f aca="true" t="shared" si="0" ref="E14:E21">C14-D14</f>
        <v>0</v>
      </c>
    </row>
    <row r="15" spans="1:5" ht="12.75">
      <c r="A15" s="60" t="s">
        <v>279</v>
      </c>
      <c r="B15" s="60"/>
      <c r="C15" s="292"/>
      <c r="D15" s="292"/>
      <c r="E15" s="250">
        <f t="shared" si="0"/>
        <v>0</v>
      </c>
    </row>
    <row r="16" spans="1:5" ht="12.75">
      <c r="A16" s="60" t="s">
        <v>280</v>
      </c>
      <c r="B16" s="60"/>
      <c r="C16" s="292"/>
      <c r="D16" s="292"/>
      <c r="E16" s="250">
        <f t="shared" si="0"/>
        <v>0</v>
      </c>
    </row>
    <row r="17" spans="1:5" ht="12.75">
      <c r="A17" s="60" t="s">
        <v>281</v>
      </c>
      <c r="B17" s="60"/>
      <c r="C17" s="292"/>
      <c r="D17" s="292"/>
      <c r="E17" s="250">
        <f t="shared" si="0"/>
        <v>0</v>
      </c>
    </row>
    <row r="18" spans="1:5" ht="12.75">
      <c r="A18" s="60" t="s">
        <v>446</v>
      </c>
      <c r="B18" s="60"/>
      <c r="C18" s="292"/>
      <c r="D18" s="292"/>
      <c r="E18" s="250">
        <f t="shared" si="0"/>
        <v>0</v>
      </c>
    </row>
    <row r="19" spans="1:5" ht="12.75">
      <c r="A19" s="60" t="s">
        <v>446</v>
      </c>
      <c r="B19" s="60"/>
      <c r="C19" s="292"/>
      <c r="D19" s="292"/>
      <c r="E19" s="250">
        <f t="shared" si="0"/>
        <v>0</v>
      </c>
    </row>
    <row r="20" spans="1:5" ht="12.75">
      <c r="A20" s="60"/>
      <c r="B20" s="60"/>
      <c r="C20" s="292"/>
      <c r="D20" s="292"/>
      <c r="E20" s="250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269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50">
        <f>C25-D25</f>
        <v>0</v>
      </c>
    </row>
    <row r="26" spans="1:5" ht="12.75">
      <c r="A26" s="60" t="s">
        <v>278</v>
      </c>
      <c r="B26" s="60"/>
      <c r="C26" s="292"/>
      <c r="D26" s="292"/>
      <c r="E26" s="250">
        <f aca="true" t="shared" si="1" ref="E26:E33">C26-D26</f>
        <v>0</v>
      </c>
    </row>
    <row r="27" spans="1:5" ht="12.75">
      <c r="A27" s="60" t="s">
        <v>279</v>
      </c>
      <c r="B27" s="60"/>
      <c r="C27" s="292"/>
      <c r="D27" s="292"/>
      <c r="E27" s="250">
        <f t="shared" si="1"/>
        <v>0</v>
      </c>
    </row>
    <row r="28" spans="1:5" ht="12.75">
      <c r="A28" s="60" t="s">
        <v>280</v>
      </c>
      <c r="B28" s="60"/>
      <c r="C28" s="292"/>
      <c r="D28" s="292"/>
      <c r="E28" s="250">
        <f t="shared" si="1"/>
        <v>0</v>
      </c>
    </row>
    <row r="29" spans="1:5" ht="12.75">
      <c r="A29" s="60" t="s">
        <v>281</v>
      </c>
      <c r="B29" s="60"/>
      <c r="C29" s="292"/>
      <c r="D29" s="292"/>
      <c r="E29" s="250">
        <f t="shared" si="1"/>
        <v>0</v>
      </c>
    </row>
    <row r="30" spans="1:5" ht="12.75">
      <c r="A30" s="60" t="s">
        <v>446</v>
      </c>
      <c r="B30" s="60"/>
      <c r="C30" s="292"/>
      <c r="D30" s="292"/>
      <c r="E30" s="250">
        <f t="shared" si="1"/>
        <v>0</v>
      </c>
    </row>
    <row r="31" spans="1:5" ht="12.75">
      <c r="A31" s="60" t="s">
        <v>446</v>
      </c>
      <c r="B31" s="60"/>
      <c r="C31" s="292"/>
      <c r="D31" s="292"/>
      <c r="E31" s="250">
        <f t="shared" si="1"/>
        <v>0</v>
      </c>
    </row>
    <row r="32" spans="1:5" ht="12.75">
      <c r="A32" s="60"/>
      <c r="B32" s="60"/>
      <c r="C32" s="292"/>
      <c r="D32" s="292"/>
      <c r="E32" s="250">
        <f t="shared" si="1"/>
        <v>0</v>
      </c>
    </row>
    <row r="33" spans="1:5" ht="13.5" thickBot="1">
      <c r="A33" s="61"/>
      <c r="B33" s="60"/>
      <c r="C33" s="292"/>
      <c r="D33" s="292"/>
      <c r="E33" s="250">
        <f t="shared" si="1"/>
        <v>0</v>
      </c>
    </row>
    <row r="34" spans="1:5" ht="12.75">
      <c r="A34" s="55" t="s">
        <v>130</v>
      </c>
      <c r="C34" s="22"/>
      <c r="D34" s="22"/>
      <c r="E34" s="277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270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50">
        <f>C41-D41</f>
        <v>0</v>
      </c>
    </row>
    <row r="42" spans="1:5" ht="12.75">
      <c r="A42" s="60"/>
      <c r="B42" s="60"/>
      <c r="C42" s="292"/>
      <c r="D42" s="292"/>
      <c r="E42" s="250">
        <f aca="true" t="shared" si="2" ref="E42:E49">C42-D42</f>
        <v>0</v>
      </c>
    </row>
    <row r="43" spans="1:5" ht="12.75">
      <c r="A43" s="60" t="s">
        <v>264</v>
      </c>
      <c r="B43" s="60"/>
      <c r="C43" s="292"/>
      <c r="D43" s="292"/>
      <c r="E43" s="250">
        <f t="shared" si="2"/>
        <v>0</v>
      </c>
    </row>
    <row r="44" spans="1:5" ht="12.75">
      <c r="A44" s="60" t="s">
        <v>265</v>
      </c>
      <c r="B44" s="60"/>
      <c r="C44" s="292"/>
      <c r="D44" s="292"/>
      <c r="E44" s="250">
        <f t="shared" si="2"/>
        <v>0</v>
      </c>
    </row>
    <row r="45" spans="1:5" ht="12.75">
      <c r="A45" s="60" t="s">
        <v>266</v>
      </c>
      <c r="B45" s="60"/>
      <c r="C45" s="292"/>
      <c r="D45" s="292"/>
      <c r="E45" s="250">
        <f t="shared" si="2"/>
        <v>0</v>
      </c>
    </row>
    <row r="46" spans="1:5" ht="12.75">
      <c r="A46" s="60" t="s">
        <v>267</v>
      </c>
      <c r="B46" s="60"/>
      <c r="C46" s="292"/>
      <c r="D46" s="292"/>
      <c r="E46" s="250">
        <f t="shared" si="2"/>
        <v>0</v>
      </c>
    </row>
    <row r="47" spans="1:5" ht="12.75">
      <c r="A47" s="493" t="s">
        <v>494</v>
      </c>
      <c r="B47" s="60"/>
      <c r="C47" s="292">
        <v>1109000</v>
      </c>
      <c r="D47" s="292"/>
      <c r="E47" s="250">
        <f t="shared" si="2"/>
        <v>1109000</v>
      </c>
    </row>
    <row r="48" spans="1:5" ht="12.75">
      <c r="A48" s="60" t="s">
        <v>446</v>
      </c>
      <c r="B48" s="60"/>
      <c r="C48" s="292"/>
      <c r="D48" s="292"/>
      <c r="E48" s="250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50">
        <f>SUM(C41:C49)</f>
        <v>1109000</v>
      </c>
      <c r="D50" s="250">
        <f>SUM(D41:D49)</f>
        <v>0</v>
      </c>
      <c r="E50" s="250">
        <f>SUM(E41:E49)</f>
        <v>1109000</v>
      </c>
    </row>
    <row r="51" spans="3:5" ht="12.75">
      <c r="C51" s="22"/>
      <c r="D51" s="22"/>
      <c r="E51" s="22"/>
    </row>
    <row r="52" spans="1:5" ht="12.75">
      <c r="A52" s="246" t="s">
        <v>269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50">
        <f>C53-D53</f>
        <v>0</v>
      </c>
    </row>
    <row r="54" spans="1:5" ht="12.75">
      <c r="A54" s="245"/>
      <c r="B54" s="60"/>
      <c r="C54" s="292"/>
      <c r="D54" s="292"/>
      <c r="E54" s="250">
        <f aca="true" t="shared" si="3" ref="E54:E61">C54-D54</f>
        <v>0</v>
      </c>
    </row>
    <row r="55" spans="1:5" ht="12.75">
      <c r="A55" s="245" t="s">
        <v>264</v>
      </c>
      <c r="B55" s="60"/>
      <c r="C55" s="292"/>
      <c r="D55" s="292"/>
      <c r="E55" s="250">
        <f t="shared" si="3"/>
        <v>0</v>
      </c>
    </row>
    <row r="56" spans="1:5" ht="12.75">
      <c r="A56" s="245" t="s">
        <v>265</v>
      </c>
      <c r="B56" s="60"/>
      <c r="C56" s="292"/>
      <c r="D56" s="292"/>
      <c r="E56" s="250">
        <f t="shared" si="3"/>
        <v>0</v>
      </c>
    </row>
    <row r="57" spans="1:5" ht="12.75">
      <c r="A57" s="245" t="s">
        <v>266</v>
      </c>
      <c r="B57" s="60"/>
      <c r="C57" s="292"/>
      <c r="D57" s="292"/>
      <c r="E57" s="250">
        <f t="shared" si="3"/>
        <v>0</v>
      </c>
    </row>
    <row r="58" spans="1:5" ht="12.75">
      <c r="A58" s="245" t="s">
        <v>267</v>
      </c>
      <c r="B58" s="60"/>
      <c r="C58" s="292"/>
      <c r="D58" s="292"/>
      <c r="E58" s="250">
        <f t="shared" si="3"/>
        <v>0</v>
      </c>
    </row>
    <row r="59" spans="1:5" ht="12.75">
      <c r="A59" s="493" t="s">
        <v>494</v>
      </c>
      <c r="B59" s="60"/>
      <c r="C59" s="292">
        <v>1152145</v>
      </c>
      <c r="D59" s="292"/>
      <c r="E59" s="250">
        <f t="shared" si="3"/>
        <v>1152145</v>
      </c>
    </row>
    <row r="60" spans="1:5" ht="12.75">
      <c r="A60" s="60" t="s">
        <v>446</v>
      </c>
      <c r="B60" s="60"/>
      <c r="C60" s="292"/>
      <c r="D60" s="292"/>
      <c r="E60" s="250">
        <f t="shared" si="3"/>
        <v>0</v>
      </c>
    </row>
    <row r="61" spans="1:5" ht="13.5" thickBot="1">
      <c r="A61" s="61"/>
      <c r="B61" s="60"/>
      <c r="C61" s="292"/>
      <c r="D61" s="292"/>
      <c r="E61" s="250">
        <f t="shared" si="3"/>
        <v>0</v>
      </c>
    </row>
    <row r="62" spans="1:5" ht="12.75">
      <c r="A62" s="55" t="s">
        <v>130</v>
      </c>
      <c r="C62" s="22"/>
      <c r="D62" s="22"/>
      <c r="E62" s="277"/>
    </row>
    <row r="63" spans="1:5" ht="12.75">
      <c r="A63" s="2" t="s">
        <v>178</v>
      </c>
      <c r="C63" s="250">
        <f>SUM(C53:C61)</f>
        <v>1152145</v>
      </c>
      <c r="D63" s="250">
        <f>SUM(D53:D61)</f>
        <v>0</v>
      </c>
      <c r="E63" s="250">
        <f>SUM(E53:E61)</f>
        <v>1152145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  <headerFooter alignWithMargins="0">
    <oddHeader>&amp;R&amp;9Festival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Layout" workbookViewId="0" topLeftCell="A1">
      <selection activeCell="C6" sqref="C5:C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EB-2011-0167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462</v>
      </c>
      <c r="B5" s="8"/>
      <c r="C5" s="8" t="s">
        <v>2</v>
      </c>
      <c r="D5" s="8"/>
      <c r="E5" s="8"/>
      <c r="F5" s="8"/>
    </row>
    <row r="6" spans="1:6" ht="12.75">
      <c r="A6" s="414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Hydro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366</v>
      </c>
      <c r="D10" s="59"/>
      <c r="E10" s="25"/>
      <c r="F10" s="20"/>
    </row>
    <row r="11" spans="1:6" ht="12.75">
      <c r="A11" s="2" t="s">
        <v>118</v>
      </c>
      <c r="B11" s="20"/>
      <c r="C11" s="487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1">
        <f>C17-D17</f>
        <v>0</v>
      </c>
    </row>
    <row r="18" spans="1:5" ht="12.75">
      <c r="A18" s="66" t="s">
        <v>250</v>
      </c>
      <c r="B18" t="s">
        <v>185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133</v>
      </c>
      <c r="B19" t="s">
        <v>185</v>
      </c>
      <c r="C19" s="293">
        <v>5350</v>
      </c>
      <c r="D19" s="293"/>
      <c r="E19" s="311">
        <f t="shared" si="0"/>
        <v>5350</v>
      </c>
    </row>
    <row r="20" spans="1:5" ht="12.75">
      <c r="A20" s="66" t="s">
        <v>447</v>
      </c>
      <c r="B20" t="s">
        <v>185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1">
        <f t="shared" si="0"/>
        <v>0</v>
      </c>
    </row>
    <row r="22" spans="1:5" ht="12.75">
      <c r="A22" s="494" t="s">
        <v>507</v>
      </c>
      <c r="B22" t="s">
        <v>185</v>
      </c>
      <c r="C22" s="293">
        <v>3029</v>
      </c>
      <c r="D22" s="293"/>
      <c r="E22" s="311">
        <f t="shared" si="0"/>
        <v>3029</v>
      </c>
    </row>
    <row r="23" spans="1:5" ht="12.75">
      <c r="A23" s="66" t="s">
        <v>135</v>
      </c>
      <c r="B23" t="s">
        <v>185</v>
      </c>
      <c r="C23" s="293"/>
      <c r="D23" s="293"/>
      <c r="E23" s="311">
        <f t="shared" si="0"/>
        <v>0</v>
      </c>
    </row>
    <row r="24" spans="1:5" ht="12.75">
      <c r="A24" s="66" t="s">
        <v>136</v>
      </c>
      <c r="B24" t="s">
        <v>185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1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1">
        <f t="shared" si="0"/>
        <v>0</v>
      </c>
    </row>
    <row r="29" spans="1:5" ht="12.75">
      <c r="A29" s="66" t="s">
        <v>137</v>
      </c>
      <c r="B29" t="s">
        <v>185</v>
      </c>
      <c r="C29" s="293"/>
      <c r="D29" s="293"/>
      <c r="E29" s="311">
        <f t="shared" si="0"/>
        <v>0</v>
      </c>
    </row>
    <row r="30" spans="1:5" ht="12.75">
      <c r="A30" s="66" t="s">
        <v>138</v>
      </c>
      <c r="B30" t="s">
        <v>185</v>
      </c>
      <c r="C30" s="293"/>
      <c r="D30" s="293"/>
      <c r="E30" s="311">
        <f t="shared" si="0"/>
        <v>0</v>
      </c>
    </row>
    <row r="31" spans="1:5" ht="12.75">
      <c r="A31" s="66" t="s">
        <v>251</v>
      </c>
      <c r="B31" t="s">
        <v>185</v>
      </c>
      <c r="C31" s="293"/>
      <c r="D31" s="293"/>
      <c r="E31" s="311">
        <f t="shared" si="0"/>
        <v>0</v>
      </c>
    </row>
    <row r="32" spans="1:5" ht="12.75">
      <c r="A32" s="66" t="s">
        <v>139</v>
      </c>
      <c r="B32" t="s">
        <v>185</v>
      </c>
      <c r="C32" s="293"/>
      <c r="D32" s="293"/>
      <c r="E32" s="311">
        <f t="shared" si="0"/>
        <v>0</v>
      </c>
    </row>
    <row r="33" spans="1:5" ht="12.75">
      <c r="A33" s="66" t="s">
        <v>140</v>
      </c>
      <c r="B33" t="s">
        <v>185</v>
      </c>
      <c r="C33" s="293"/>
      <c r="D33" s="293"/>
      <c r="E33" s="311">
        <f t="shared" si="0"/>
        <v>0</v>
      </c>
    </row>
    <row r="34" spans="1:5" ht="12.75">
      <c r="A34" s="66" t="s">
        <v>141</v>
      </c>
      <c r="B34" t="s">
        <v>185</v>
      </c>
      <c r="C34" s="293"/>
      <c r="D34" s="293"/>
      <c r="E34" s="311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1">
        <f t="shared" si="0"/>
        <v>0</v>
      </c>
    </row>
    <row r="36" spans="1:5" ht="12.75">
      <c r="A36" s="66" t="s">
        <v>471</v>
      </c>
      <c r="B36" t="s">
        <v>185</v>
      </c>
      <c r="C36" s="293"/>
      <c r="D36" s="293"/>
      <c r="E36" s="311">
        <f t="shared" si="0"/>
        <v>0</v>
      </c>
    </row>
    <row r="37" spans="1:5" ht="12.75">
      <c r="A37" s="508" t="s">
        <v>503</v>
      </c>
      <c r="B37" t="s">
        <v>185</v>
      </c>
      <c r="C37" s="293">
        <v>0</v>
      </c>
      <c r="D37" s="293"/>
      <c r="E37" s="311">
        <f t="shared" si="0"/>
        <v>0</v>
      </c>
    </row>
    <row r="38" spans="2:5" ht="12.75">
      <c r="B38" t="s">
        <v>185</v>
      </c>
      <c r="C38" s="293"/>
      <c r="D38" s="293"/>
      <c r="E38" s="250">
        <f t="shared" si="0"/>
        <v>0</v>
      </c>
    </row>
    <row r="39" spans="2:5" ht="12.75">
      <c r="B39" t="s">
        <v>185</v>
      </c>
      <c r="C39" s="292"/>
      <c r="D39" s="293"/>
      <c r="E39" s="250">
        <f t="shared" si="0"/>
        <v>0</v>
      </c>
    </row>
    <row r="40" spans="1:5" ht="12.75">
      <c r="A40" s="67" t="s">
        <v>202</v>
      </c>
      <c r="B40" t="s">
        <v>185</v>
      </c>
      <c r="C40" s="292"/>
      <c r="D40" s="292"/>
      <c r="E40" s="250">
        <f t="shared" si="0"/>
        <v>0</v>
      </c>
    </row>
    <row r="41" spans="1:5" ht="12.75">
      <c r="A41" s="66"/>
      <c r="B41" t="s">
        <v>185</v>
      </c>
      <c r="C41" s="292"/>
      <c r="D41" s="292"/>
      <c r="E41" s="250">
        <f t="shared" si="0"/>
        <v>0</v>
      </c>
    </row>
    <row r="42" spans="1:5" ht="12.75">
      <c r="A42" s="66"/>
      <c r="B42" t="s">
        <v>185</v>
      </c>
      <c r="C42" s="292"/>
      <c r="D42" s="292"/>
      <c r="E42" s="250">
        <f t="shared" si="0"/>
        <v>0</v>
      </c>
    </row>
    <row r="43" spans="1:5" ht="12.75">
      <c r="A43" s="66"/>
      <c r="B43" t="s">
        <v>185</v>
      </c>
      <c r="C43" s="292"/>
      <c r="D43" s="292"/>
      <c r="E43" s="250">
        <f t="shared" si="0"/>
        <v>0</v>
      </c>
    </row>
    <row r="44" spans="1:5" ht="12.75">
      <c r="A44" s="66"/>
      <c r="B44" t="s">
        <v>185</v>
      </c>
      <c r="C44" s="292"/>
      <c r="D44" s="292"/>
      <c r="E44" s="250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50">
        <f>SUM(C17:C45)</f>
        <v>8379</v>
      </c>
      <c r="D46" s="250">
        <f>SUM(D17:D45)</f>
        <v>0</v>
      </c>
      <c r="E46" s="250">
        <f>SUM(E17:E45)</f>
        <v>8379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e">
        <f>IF($E19&gt;$C$11,#REF!," ")</f>
        <v>#REF!</v>
      </c>
      <c r="B51" s="271"/>
      <c r="C51" s="250">
        <f t="shared" si="1"/>
        <v>5350</v>
      </c>
      <c r="D51" s="250">
        <f t="shared" si="1"/>
        <v>0</v>
      </c>
      <c r="E51" s="250">
        <f t="shared" si="1"/>
        <v>5350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Charitable donations (Only if it benefits ratepayers)</v>
      </c>
      <c r="B54" s="271"/>
      <c r="C54" s="250">
        <f t="shared" si="1"/>
        <v>3029</v>
      </c>
      <c r="D54" s="250">
        <f t="shared" si="1"/>
        <v>0</v>
      </c>
      <c r="E54" s="250">
        <f t="shared" si="1"/>
        <v>3029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3" t="str">
        <f>IF($E37&gt;$C$11,A37," ")</f>
        <v> </v>
      </c>
      <c r="B68" s="271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142</v>
      </c>
      <c r="B77" s="271"/>
      <c r="C77" s="250">
        <f>SUM(C49:C75)</f>
        <v>8379</v>
      </c>
      <c r="D77" s="250">
        <f>SUM(D49:D75)</f>
        <v>0</v>
      </c>
      <c r="E77" s="250">
        <f>SUM(E49:E75)</f>
        <v>8379</v>
      </c>
    </row>
    <row r="78" spans="1:5" ht="12.75">
      <c r="A78" s="274" t="s">
        <v>201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168</v>
      </c>
      <c r="B79" s="275"/>
      <c r="C79" s="313">
        <f>C77+C78</f>
        <v>8379</v>
      </c>
      <c r="D79" s="313">
        <f>D77+D78</f>
        <v>0</v>
      </c>
      <c r="E79" s="313">
        <f>E77+E78</f>
        <v>8379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186</v>
      </c>
      <c r="C82" s="292">
        <v>0</v>
      </c>
      <c r="D82" s="292"/>
      <c r="E82" s="250">
        <f>C82-D82</f>
        <v>0</v>
      </c>
    </row>
    <row r="83" spans="1:5" ht="12.75">
      <c r="A83" s="70" t="s">
        <v>150</v>
      </c>
      <c r="B83" s="8" t="s">
        <v>186</v>
      </c>
      <c r="C83" s="292"/>
      <c r="D83" s="292"/>
      <c r="E83" s="250">
        <f aca="true" t="shared" si="5" ref="E83:E98">C83-D83</f>
        <v>0</v>
      </c>
    </row>
    <row r="84" spans="1:5" ht="12.75">
      <c r="A84" s="70" t="s">
        <v>145</v>
      </c>
      <c r="B84" s="8" t="s">
        <v>186</v>
      </c>
      <c r="C84" s="292"/>
      <c r="D84" s="292"/>
      <c r="E84" s="250">
        <f t="shared" si="5"/>
        <v>0</v>
      </c>
    </row>
    <row r="85" spans="1:5" ht="12.75">
      <c r="A85" s="70" t="s">
        <v>252</v>
      </c>
      <c r="B85" s="8" t="s">
        <v>186</v>
      </c>
      <c r="C85" s="292"/>
      <c r="D85" s="292"/>
      <c r="E85" s="250">
        <f t="shared" si="5"/>
        <v>0</v>
      </c>
    </row>
    <row r="86" spans="1:5" ht="12.75">
      <c r="A86" s="66" t="s">
        <v>192</v>
      </c>
      <c r="B86" s="8" t="s">
        <v>186</v>
      </c>
      <c r="C86" s="292"/>
      <c r="D86" s="292"/>
      <c r="E86" s="250">
        <f t="shared" si="5"/>
        <v>0</v>
      </c>
    </row>
    <row r="87" spans="1:5" ht="12.75">
      <c r="A87" s="66" t="s">
        <v>374</v>
      </c>
      <c r="B87" s="8" t="s">
        <v>186</v>
      </c>
      <c r="C87" s="292"/>
      <c r="D87" s="292"/>
      <c r="E87" s="250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50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50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50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50">
        <f t="shared" si="5"/>
        <v>0</v>
      </c>
    </row>
    <row r="92" spans="2:5" ht="12.75">
      <c r="B92" s="8" t="s">
        <v>186</v>
      </c>
      <c r="C92" s="292"/>
      <c r="D92" s="292"/>
      <c r="E92" s="250"/>
    </row>
    <row r="93" spans="1:5" ht="12.75">
      <c r="A93" s="66"/>
      <c r="B93" s="8" t="s">
        <v>186</v>
      </c>
      <c r="C93" s="292"/>
      <c r="D93" s="292"/>
      <c r="E93" s="250">
        <f t="shared" si="5"/>
        <v>0</v>
      </c>
    </row>
    <row r="94" spans="1:5" ht="12.75">
      <c r="A94" s="66"/>
      <c r="B94" s="8" t="s">
        <v>186</v>
      </c>
      <c r="C94" s="292"/>
      <c r="D94" s="292"/>
      <c r="E94" s="250">
        <f t="shared" si="5"/>
        <v>0</v>
      </c>
    </row>
    <row r="95" spans="1:5" ht="12.75">
      <c r="A95" s="67" t="s">
        <v>203</v>
      </c>
      <c r="B95" s="8" t="s">
        <v>186</v>
      </c>
      <c r="C95" s="292"/>
      <c r="D95" s="292"/>
      <c r="E95" s="250">
        <f t="shared" si="5"/>
        <v>0</v>
      </c>
    </row>
    <row r="96" spans="1:5" ht="12.75">
      <c r="A96" s="66" t="s">
        <v>472</v>
      </c>
      <c r="B96" s="8" t="s">
        <v>186</v>
      </c>
      <c r="C96" s="292">
        <v>0</v>
      </c>
      <c r="D96" s="292"/>
      <c r="E96" s="250">
        <f t="shared" si="5"/>
        <v>0</v>
      </c>
    </row>
    <row r="97" spans="1:5" ht="12.75">
      <c r="A97" s="494" t="s">
        <v>495</v>
      </c>
      <c r="B97" s="8" t="s">
        <v>186</v>
      </c>
      <c r="C97" s="292">
        <v>0</v>
      </c>
      <c r="D97" s="292"/>
      <c r="E97" s="250">
        <f t="shared" si="5"/>
        <v>0</v>
      </c>
    </row>
    <row r="98" spans="1:5" ht="12.75">
      <c r="A98" s="66"/>
      <c r="B98" s="8" t="s">
        <v>186</v>
      </c>
      <c r="C98" s="292"/>
      <c r="D98" s="292"/>
      <c r="E98" s="250">
        <f t="shared" si="5"/>
        <v>0</v>
      </c>
    </row>
    <row r="99" spans="1:5" ht="12.75">
      <c r="A99" s="66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200</v>
      </c>
      <c r="B119" s="271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6" t="s">
        <v>199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169</v>
      </c>
      <c r="B121" s="271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EB-2011-0167</v>
      </c>
    </row>
    <row r="3" spans="1:5" ht="12.75">
      <c r="A3" s="2" t="s">
        <v>382</v>
      </c>
      <c r="E3" s="91"/>
    </row>
    <row r="4" spans="1:6" ht="15.75">
      <c r="A4" s="463" t="s">
        <v>443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5" t="s">
        <v>383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Hydro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366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185</v>
      </c>
      <c r="C19" s="293"/>
      <c r="D19" s="293"/>
      <c r="E19" s="311">
        <f aca="true" t="shared" si="0" ref="E19:E45">C19-D19</f>
        <v>0</v>
      </c>
    </row>
    <row r="20" spans="1:5" ht="12.75">
      <c r="A20" t="s">
        <v>385</v>
      </c>
      <c r="B20" t="s">
        <v>185</v>
      </c>
      <c r="C20" s="293"/>
      <c r="D20" s="293"/>
      <c r="E20" s="311">
        <f t="shared" si="0"/>
        <v>0</v>
      </c>
    </row>
    <row r="21" spans="1:5" ht="12.75">
      <c r="A21" t="s">
        <v>451</v>
      </c>
      <c r="B21" t="s">
        <v>185</v>
      </c>
      <c r="C21" s="293"/>
      <c r="D21" s="293"/>
      <c r="E21" s="311">
        <f t="shared" si="0"/>
        <v>0</v>
      </c>
    </row>
    <row r="22" spans="1:5" ht="12.75">
      <c r="A22" s="66" t="s">
        <v>388</v>
      </c>
      <c r="B22" t="s">
        <v>185</v>
      </c>
      <c r="C22" s="293"/>
      <c r="D22" s="312"/>
      <c r="E22" s="311">
        <f t="shared" si="0"/>
        <v>0</v>
      </c>
    </row>
    <row r="23" spans="1:5" ht="12.75">
      <c r="A23" s="66" t="s">
        <v>389</v>
      </c>
      <c r="B23" t="s">
        <v>185</v>
      </c>
      <c r="C23" s="293"/>
      <c r="D23" s="293"/>
      <c r="E23" s="311">
        <f t="shared" si="0"/>
        <v>0</v>
      </c>
    </row>
    <row r="24" spans="1:5" ht="12.75">
      <c r="A24" s="66" t="s">
        <v>452</v>
      </c>
      <c r="B24" t="s">
        <v>185</v>
      </c>
      <c r="C24" s="293">
        <v>4414</v>
      </c>
      <c r="D24" s="293"/>
      <c r="E24" s="311">
        <f t="shared" si="0"/>
        <v>4414</v>
      </c>
    </row>
    <row r="25" spans="1:5" ht="12.75">
      <c r="A25" s="66" t="s">
        <v>124</v>
      </c>
      <c r="B25" t="s">
        <v>185</v>
      </c>
      <c r="C25" s="293"/>
      <c r="D25" s="293"/>
      <c r="E25" s="311">
        <f t="shared" si="0"/>
        <v>0</v>
      </c>
    </row>
    <row r="26" spans="1:5" ht="12.75">
      <c r="A26" s="66" t="s">
        <v>132</v>
      </c>
      <c r="B26" t="s">
        <v>185</v>
      </c>
      <c r="C26" s="293"/>
      <c r="D26" s="293"/>
      <c r="E26" s="311">
        <f t="shared" si="0"/>
        <v>0</v>
      </c>
    </row>
    <row r="27" spans="1:5" ht="12.75">
      <c r="A27" s="66" t="s">
        <v>435</v>
      </c>
      <c r="B27" t="s">
        <v>185</v>
      </c>
      <c r="C27" s="293"/>
      <c r="D27" s="293"/>
      <c r="E27" s="311">
        <f t="shared" si="0"/>
        <v>0</v>
      </c>
    </row>
    <row r="28" spans="1:5" ht="12.75">
      <c r="A28" s="66" t="s">
        <v>387</v>
      </c>
      <c r="B28" t="s">
        <v>185</v>
      </c>
      <c r="C28" s="293"/>
      <c r="D28" s="293"/>
      <c r="E28" s="311">
        <f t="shared" si="0"/>
        <v>0</v>
      </c>
    </row>
    <row r="29" spans="1:5" ht="12.75">
      <c r="A29" s="66" t="s">
        <v>134</v>
      </c>
      <c r="B29" t="s">
        <v>185</v>
      </c>
      <c r="C29" s="293"/>
      <c r="D29" s="293"/>
      <c r="E29" s="311">
        <f t="shared" si="0"/>
        <v>0</v>
      </c>
    </row>
    <row r="30" spans="1:5" ht="12.75">
      <c r="A30" s="66" t="s">
        <v>386</v>
      </c>
      <c r="B30" t="s">
        <v>185</v>
      </c>
      <c r="C30" s="293"/>
      <c r="D30" s="293"/>
      <c r="E30" s="311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1">
        <f t="shared" si="0"/>
        <v>0</v>
      </c>
    </row>
    <row r="32" spans="1:5" ht="12.75">
      <c r="A32" s="66" t="s">
        <v>430</v>
      </c>
      <c r="B32" t="s">
        <v>185</v>
      </c>
      <c r="C32" s="293"/>
      <c r="D32" s="293"/>
      <c r="E32" s="311">
        <f t="shared" si="0"/>
        <v>0</v>
      </c>
    </row>
    <row r="33" spans="1:5" ht="12.75">
      <c r="A33" s="66" t="s">
        <v>431</v>
      </c>
      <c r="B33" t="s">
        <v>185</v>
      </c>
      <c r="C33" s="293"/>
      <c r="D33" s="293"/>
      <c r="E33" s="311">
        <f t="shared" si="0"/>
        <v>0</v>
      </c>
    </row>
    <row r="34" spans="1:5" ht="12.75">
      <c r="A34" s="66" t="s">
        <v>448</v>
      </c>
      <c r="B34" t="s">
        <v>185</v>
      </c>
      <c r="C34" s="293"/>
      <c r="D34" s="293"/>
      <c r="E34" s="311">
        <f t="shared" si="0"/>
        <v>0</v>
      </c>
    </row>
    <row r="35" spans="1:5" ht="12.75">
      <c r="A35" s="80" t="s">
        <v>449</v>
      </c>
      <c r="C35" s="293"/>
      <c r="D35" s="293"/>
      <c r="E35" s="311">
        <f t="shared" si="0"/>
        <v>0</v>
      </c>
    </row>
    <row r="36" spans="1:5" ht="12.75">
      <c r="A36" s="66" t="s">
        <v>432</v>
      </c>
      <c r="C36" s="293"/>
      <c r="D36" s="293"/>
      <c r="E36" s="311">
        <f t="shared" si="0"/>
        <v>0</v>
      </c>
    </row>
    <row r="37" spans="1:5" ht="12.75">
      <c r="A37" s="66" t="s">
        <v>433</v>
      </c>
      <c r="C37" s="293"/>
      <c r="D37" s="293"/>
      <c r="E37" s="311">
        <f t="shared" si="0"/>
        <v>0</v>
      </c>
    </row>
    <row r="38" spans="1:5" ht="12.75">
      <c r="A38" s="80" t="s">
        <v>390</v>
      </c>
      <c r="C38" s="293"/>
      <c r="D38" s="293"/>
      <c r="E38" s="311">
        <f t="shared" si="0"/>
        <v>0</v>
      </c>
    </row>
    <row r="39" spans="2:5" ht="12.75">
      <c r="B39" t="s">
        <v>185</v>
      </c>
      <c r="C39" s="293"/>
      <c r="D39" s="293"/>
      <c r="E39" s="311">
        <f t="shared" si="0"/>
        <v>0</v>
      </c>
    </row>
    <row r="40" spans="1:5" ht="12.75">
      <c r="A40" s="80" t="s">
        <v>384</v>
      </c>
      <c r="B40" t="s">
        <v>185</v>
      </c>
      <c r="C40" s="293"/>
      <c r="D40" s="293"/>
      <c r="E40" s="311">
        <f t="shared" si="0"/>
        <v>0</v>
      </c>
    </row>
    <row r="41" spans="1:5" ht="12.75">
      <c r="A41" s="66"/>
      <c r="B41" t="s">
        <v>185</v>
      </c>
      <c r="C41" s="293"/>
      <c r="D41" s="293"/>
      <c r="E41" s="311">
        <f t="shared" si="0"/>
        <v>0</v>
      </c>
    </row>
    <row r="42" spans="2:5" ht="12.75">
      <c r="B42" t="s">
        <v>185</v>
      </c>
      <c r="C42" s="293"/>
      <c r="D42" s="293"/>
      <c r="E42" s="311">
        <f t="shared" si="0"/>
        <v>0</v>
      </c>
    </row>
    <row r="43" spans="1:5" ht="12.75">
      <c r="A43" s="67" t="s">
        <v>202</v>
      </c>
      <c r="B43" t="s">
        <v>185</v>
      </c>
      <c r="C43" s="293"/>
      <c r="D43" s="293"/>
      <c r="E43" s="311">
        <f t="shared" si="0"/>
        <v>0</v>
      </c>
    </row>
    <row r="44" spans="1:5" ht="12.75">
      <c r="A44" s="492" t="s">
        <v>504</v>
      </c>
      <c r="B44" t="s">
        <v>185</v>
      </c>
      <c r="C44" s="292">
        <v>2555</v>
      </c>
      <c r="D44" s="292"/>
      <c r="E44" s="250">
        <f t="shared" si="0"/>
        <v>2555</v>
      </c>
    </row>
    <row r="45" spans="2:5" ht="12.75">
      <c r="B45" t="s">
        <v>185</v>
      </c>
      <c r="C45" s="292"/>
      <c r="D45" s="292"/>
      <c r="E45" s="250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48" t="s">
        <v>394</v>
      </c>
      <c r="B47" t="s">
        <v>187</v>
      </c>
      <c r="C47" s="250">
        <f>SUM(C19:C46)</f>
        <v>6969</v>
      </c>
      <c r="D47" s="250">
        <f>SUM(D19:D46)</f>
        <v>0</v>
      </c>
      <c r="E47" s="250">
        <f>SUM(E19:E46)</f>
        <v>6969</v>
      </c>
    </row>
    <row r="48" ht="12.75">
      <c r="A48" s="66"/>
    </row>
    <row r="49" ht="12.75">
      <c r="A49" s="80" t="s">
        <v>143</v>
      </c>
    </row>
    <row r="51" spans="1:5" ht="12.75">
      <c r="A51" s="70" t="s">
        <v>385</v>
      </c>
      <c r="B51" s="8" t="s">
        <v>186</v>
      </c>
      <c r="C51" s="292"/>
      <c r="D51" s="292"/>
      <c r="E51" s="250">
        <f aca="true" t="shared" si="1" ref="E51:E61">C51-D51</f>
        <v>0</v>
      </c>
    </row>
    <row r="52" spans="1:5" ht="12.75">
      <c r="A52" s="66" t="s">
        <v>451</v>
      </c>
      <c r="B52" s="8" t="s">
        <v>186</v>
      </c>
      <c r="C52" s="292"/>
      <c r="D52" s="292"/>
      <c r="E52" s="250">
        <f t="shared" si="1"/>
        <v>0</v>
      </c>
    </row>
    <row r="53" spans="1:5" ht="12.75">
      <c r="A53" t="s">
        <v>386</v>
      </c>
      <c r="B53" s="8" t="s">
        <v>186</v>
      </c>
      <c r="C53" s="292"/>
      <c r="D53" s="292"/>
      <c r="E53" s="250">
        <f t="shared" si="1"/>
        <v>0</v>
      </c>
    </row>
    <row r="54" spans="1:5" ht="12.75">
      <c r="A54" t="s">
        <v>434</v>
      </c>
      <c r="B54" s="8" t="s">
        <v>186</v>
      </c>
      <c r="C54" s="292"/>
      <c r="D54" s="292"/>
      <c r="E54" s="250">
        <f t="shared" si="1"/>
        <v>0</v>
      </c>
    </row>
    <row r="55" spans="1:5" ht="12.75">
      <c r="A55" s="66" t="s">
        <v>442</v>
      </c>
      <c r="B55" s="8" t="s">
        <v>186</v>
      </c>
      <c r="C55" s="292"/>
      <c r="D55" s="292"/>
      <c r="E55" s="250">
        <f t="shared" si="1"/>
        <v>0</v>
      </c>
    </row>
    <row r="56" spans="1:5" ht="12.75">
      <c r="A56" s="66" t="s">
        <v>454</v>
      </c>
      <c r="B56" s="8" t="s">
        <v>186</v>
      </c>
      <c r="C56" s="292">
        <v>137067</v>
      </c>
      <c r="D56" s="292"/>
      <c r="E56" s="250">
        <f t="shared" si="1"/>
        <v>137067</v>
      </c>
    </row>
    <row r="57" spans="1:5" ht="12.75">
      <c r="A57" s="2" t="s">
        <v>450</v>
      </c>
      <c r="B57" s="8" t="s">
        <v>186</v>
      </c>
      <c r="C57" s="292">
        <v>0</v>
      </c>
      <c r="D57" s="292"/>
      <c r="E57" s="250">
        <f t="shared" si="1"/>
        <v>0</v>
      </c>
    </row>
    <row r="58" spans="1:5" ht="12.75">
      <c r="A58" s="66" t="s">
        <v>453</v>
      </c>
      <c r="B58" s="8" t="s">
        <v>186</v>
      </c>
      <c r="C58" s="292"/>
      <c r="D58" s="292"/>
      <c r="E58" s="250">
        <f t="shared" si="1"/>
        <v>0</v>
      </c>
    </row>
    <row r="59" spans="1:5" ht="12.75">
      <c r="A59" s="66"/>
      <c r="B59" s="8" t="s">
        <v>186</v>
      </c>
      <c r="C59" s="292"/>
      <c r="D59" s="292"/>
      <c r="E59" s="250">
        <f t="shared" si="1"/>
        <v>0</v>
      </c>
    </row>
    <row r="60" spans="1:5" ht="12.75">
      <c r="A60" s="467" t="s">
        <v>391</v>
      </c>
      <c r="B60" s="8" t="s">
        <v>186</v>
      </c>
      <c r="C60" s="292"/>
      <c r="D60" s="292"/>
      <c r="E60" s="250">
        <f t="shared" si="1"/>
        <v>0</v>
      </c>
    </row>
    <row r="61" spans="2:5" ht="12.75">
      <c r="B61" s="8" t="s">
        <v>186</v>
      </c>
      <c r="C61" s="292"/>
      <c r="D61" s="292"/>
      <c r="E61" s="250">
        <f t="shared" si="1"/>
        <v>0</v>
      </c>
    </row>
    <row r="62" spans="1:5" ht="12.75">
      <c r="A62" s="467" t="s">
        <v>384</v>
      </c>
      <c r="B62" s="8" t="s">
        <v>186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186</v>
      </c>
      <c r="C63" s="292"/>
      <c r="D63" s="292"/>
      <c r="E63" s="250">
        <f t="shared" si="2"/>
        <v>0</v>
      </c>
    </row>
    <row r="64" spans="2:5" ht="12.75">
      <c r="B64" s="8" t="s">
        <v>186</v>
      </c>
      <c r="C64" s="292"/>
      <c r="D64" s="292"/>
      <c r="E64" s="250">
        <f t="shared" si="2"/>
        <v>0</v>
      </c>
    </row>
    <row r="65" spans="2:5" ht="12.75">
      <c r="B65" s="8" t="s">
        <v>186</v>
      </c>
      <c r="C65" s="292"/>
      <c r="D65" s="292"/>
      <c r="E65" s="250">
        <f t="shared" si="2"/>
        <v>0</v>
      </c>
    </row>
    <row r="66" spans="2:5" ht="12.75">
      <c r="B66" s="8" t="s">
        <v>186</v>
      </c>
      <c r="C66" s="292"/>
      <c r="D66" s="292"/>
      <c r="E66" s="250">
        <f t="shared" si="2"/>
        <v>0</v>
      </c>
    </row>
    <row r="67" spans="1:5" ht="12.75">
      <c r="A67" s="66"/>
      <c r="B67" s="8" t="s">
        <v>186</v>
      </c>
      <c r="C67" s="292"/>
      <c r="D67" s="292"/>
      <c r="E67" s="250">
        <f t="shared" si="2"/>
        <v>0</v>
      </c>
    </row>
    <row r="68" spans="1:5" ht="12.75">
      <c r="A68" s="67" t="s">
        <v>203</v>
      </c>
      <c r="B68" s="8" t="s">
        <v>186</v>
      </c>
      <c r="C68" s="292"/>
      <c r="D68" s="292"/>
      <c r="E68" s="250">
        <f t="shared" si="2"/>
        <v>0</v>
      </c>
    </row>
    <row r="69" spans="1:5" ht="12.75">
      <c r="A69" s="66"/>
      <c r="B69" s="8" t="s">
        <v>186</v>
      </c>
      <c r="C69" s="292"/>
      <c r="D69" s="292"/>
      <c r="E69" s="250">
        <f t="shared" si="2"/>
        <v>0</v>
      </c>
    </row>
    <row r="70" spans="1:5" ht="12.75">
      <c r="A70" s="66"/>
      <c r="B70" s="8" t="s">
        <v>186</v>
      </c>
      <c r="C70" s="292"/>
      <c r="D70" s="292"/>
      <c r="E70" s="250">
        <f t="shared" si="2"/>
        <v>0</v>
      </c>
    </row>
    <row r="71" spans="1:5" ht="12.75">
      <c r="A71" s="66"/>
      <c r="B71" s="8" t="s">
        <v>186</v>
      </c>
      <c r="C71" s="292"/>
      <c r="D71" s="292"/>
      <c r="E71" s="250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47" t="s">
        <v>393</v>
      </c>
      <c r="B73" s="8" t="s">
        <v>187</v>
      </c>
      <c r="C73" s="250">
        <f>SUM(C51:C72)</f>
        <v>137067</v>
      </c>
      <c r="D73" s="250">
        <f>SUM(D51:D72)</f>
        <v>0</v>
      </c>
      <c r="E73" s="250">
        <f>SUM(E51:E72)</f>
        <v>137067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Layout" workbookViewId="0" topLeftCell="A1">
      <selection activeCell="A1" sqref="A1:G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12.140625" style="0" customWidth="1"/>
    <col min="13" max="13" width="18.57421875" style="0" customWidth="1"/>
  </cols>
  <sheetData>
    <row r="1" spans="1:16" ht="12.75">
      <c r="A1" s="383" t="str">
        <f>REGINFO!A1</f>
        <v>PILs TAXES - EB-2011-0167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304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Festival Hydro Inc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9" t="s">
        <v>334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0" t="s">
        <v>475</v>
      </c>
      <c r="B8" s="521"/>
      <c r="C8" s="521"/>
      <c r="D8" s="521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464</v>
      </c>
      <c r="B10" s="325"/>
      <c r="C10" s="374" t="s">
        <v>110</v>
      </c>
      <c r="D10" s="374"/>
      <c r="E10" s="374" t="s">
        <v>110</v>
      </c>
      <c r="F10" s="375" t="s">
        <v>476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297</v>
      </c>
      <c r="B13" s="408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296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301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257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329</v>
      </c>
      <c r="B21" s="405" t="s">
        <v>468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330</v>
      </c>
      <c r="B22" s="406" t="s">
        <v>469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4" t="s">
        <v>490</v>
      </c>
      <c r="B23" s="515"/>
      <c r="C23" s="515"/>
      <c r="D23" s="515"/>
      <c r="E23" s="515"/>
      <c r="F23" s="515"/>
      <c r="G23" s="437"/>
      <c r="H23" s="419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0"/>
      <c r="B24" s="411"/>
      <c r="C24" s="411"/>
      <c r="D24" s="411"/>
      <c r="E24" s="411"/>
      <c r="F24" s="411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9" t="s">
        <v>335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0" t="s">
        <v>486</v>
      </c>
      <c r="B26" s="521"/>
      <c r="C26" s="521"/>
      <c r="D26" s="521"/>
      <c r="E26" s="521"/>
      <c r="F26" s="521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438</v>
      </c>
      <c r="B28" s="325"/>
      <c r="C28" s="368" t="s">
        <v>110</v>
      </c>
      <c r="D28" s="368" t="s">
        <v>110</v>
      </c>
      <c r="E28" s="368" t="s">
        <v>110</v>
      </c>
      <c r="F28" s="369" t="s">
        <v>489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8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296</v>
      </c>
      <c r="B32" s="408">
        <v>2004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8">
        <v>2004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257</v>
      </c>
      <c r="B34" s="408">
        <v>2004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8">
        <v>2004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8">
        <v>2004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8">
        <v>2004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487</v>
      </c>
      <c r="B39" s="405" t="s">
        <v>468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488</v>
      </c>
      <c r="B40" s="406" t="s">
        <v>485</v>
      </c>
      <c r="C40" s="361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6" t="s">
        <v>332</v>
      </c>
      <c r="B41" s="515"/>
      <c r="C41" s="515"/>
      <c r="D41" s="515"/>
      <c r="E41" s="515"/>
      <c r="F41" s="515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7"/>
      <c r="B42" s="517"/>
      <c r="C42" s="517"/>
      <c r="D42" s="517"/>
      <c r="E42" s="517"/>
      <c r="F42" s="517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9" t="s">
        <v>336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7" t="s">
        <v>484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6">
        <v>0</v>
      </c>
      <c r="D45" s="366">
        <v>250001</v>
      </c>
      <c r="E45" s="366">
        <v>400001</v>
      </c>
      <c r="F45" s="495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110</v>
      </c>
      <c r="D46" s="368" t="s">
        <v>110</v>
      </c>
      <c r="E46" s="368" t="s">
        <v>110</v>
      </c>
      <c r="F46" s="496" t="s">
        <v>489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70">
        <v>250000</v>
      </c>
      <c r="D47" s="370">
        <v>400000</v>
      </c>
      <c r="E47" s="370">
        <v>1128000</v>
      </c>
      <c r="F47" s="497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8">
        <v>2004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296</v>
      </c>
      <c r="B50" s="244"/>
      <c r="C50" s="350">
        <v>0.1312</v>
      </c>
      <c r="D50" s="350">
        <v>0.2212</v>
      </c>
      <c r="E50" s="351">
        <v>0.2229</v>
      </c>
      <c r="F50" s="351">
        <v>0.2212</v>
      </c>
      <c r="G50" s="193"/>
      <c r="H50" s="501"/>
      <c r="I50" s="45"/>
      <c r="J50" s="45"/>
      <c r="K50" s="45"/>
      <c r="N50" s="188"/>
      <c r="O50" s="188"/>
      <c r="P50" s="188"/>
    </row>
    <row r="51" spans="1:16" ht="13.5" thickBot="1">
      <c r="A51" s="322" t="s">
        <v>28</v>
      </c>
      <c r="B51" s="244"/>
      <c r="C51" s="352">
        <v>0.055</v>
      </c>
      <c r="D51" s="352">
        <v>0.055</v>
      </c>
      <c r="E51" s="353">
        <v>0.1377</v>
      </c>
      <c r="F51" s="353">
        <v>0.14</v>
      </c>
      <c r="G51" s="193"/>
      <c r="H51" s="501"/>
      <c r="I51" s="45"/>
      <c r="J51" s="510"/>
      <c r="K51" s="45"/>
      <c r="N51" s="188"/>
      <c r="O51" s="188"/>
      <c r="P51" s="188"/>
    </row>
    <row r="52" spans="1:16" ht="13.5" thickBot="1">
      <c r="A52" s="322" t="s">
        <v>257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0.3606</v>
      </c>
      <c r="F52" s="331">
        <f>SUM(F50:F51)</f>
        <v>0.3612</v>
      </c>
      <c r="G52" s="193"/>
      <c r="H52" s="501"/>
      <c r="I52" s="45"/>
      <c r="J52" s="510"/>
      <c r="K52" s="45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45"/>
      <c r="I53" s="45"/>
      <c r="J53" s="511"/>
      <c r="K53" s="45"/>
      <c r="N53" s="188"/>
      <c r="O53" s="188"/>
      <c r="P53" s="188"/>
    </row>
    <row r="54" spans="1:16" ht="13.5" thickBot="1">
      <c r="A54" s="321" t="s">
        <v>108</v>
      </c>
      <c r="B54" s="243"/>
      <c r="C54" s="354">
        <v>0.003</v>
      </c>
      <c r="D54" s="350"/>
      <c r="E54" s="351"/>
      <c r="F54" s="351"/>
      <c r="G54" s="193"/>
      <c r="H54" s="187"/>
      <c r="I54" s="188"/>
      <c r="J54" s="188"/>
      <c r="N54" s="188"/>
      <c r="O54" s="188"/>
      <c r="P54" s="188"/>
    </row>
    <row r="55" spans="1:16" ht="13.5" thickBot="1">
      <c r="A55" s="321" t="s">
        <v>109</v>
      </c>
      <c r="B55" s="237"/>
      <c r="C55" s="355">
        <v>0.002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346</v>
      </c>
      <c r="B57" s="405" t="s">
        <v>468</v>
      </c>
      <c r="C57" s="360">
        <v>4866364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347</v>
      </c>
      <c r="B58" s="406" t="s">
        <v>485</v>
      </c>
      <c r="C58" s="361">
        <v>47000000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4" t="s">
        <v>348</v>
      </c>
      <c r="B59" s="518"/>
      <c r="C59" s="518"/>
      <c r="D59" s="518"/>
      <c r="E59" s="518"/>
      <c r="F59" s="518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9"/>
      <c r="B60" s="519"/>
      <c r="C60" s="519"/>
      <c r="D60" s="519"/>
      <c r="E60" s="519"/>
      <c r="F60" s="519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4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">
      <selection activeCell="K11" sqref="K1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EB-2011-0167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Festival Hydro Inc</v>
      </c>
      <c r="O3" s="415" t="str">
        <f>REGINFO!E1</f>
        <v>Version 2009.1</v>
      </c>
    </row>
    <row r="4" spans="1:15" ht="12.75">
      <c r="A4" s="2" t="str">
        <f>REGINFO!A4</f>
        <v>Reporting period:  2004</v>
      </c>
      <c r="E4" s="416" t="s">
        <v>318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93">
        <v>0</v>
      </c>
      <c r="D11" s="389"/>
      <c r="E11" s="395">
        <f>C22</f>
        <v>370962</v>
      </c>
      <c r="F11" s="418"/>
      <c r="G11" s="395">
        <f>E22</f>
        <v>454242</v>
      </c>
      <c r="H11" s="418"/>
      <c r="I11" s="395">
        <f>G22</f>
        <v>467526</v>
      </c>
      <c r="J11" s="389"/>
      <c r="K11" s="395">
        <f>I22</f>
        <v>362249</v>
      </c>
      <c r="L11" s="389"/>
      <c r="M11" s="395">
        <f>K22</f>
        <v>242322</v>
      </c>
      <c r="N11" s="389"/>
      <c r="O11" s="395">
        <f>C11</f>
        <v>0</v>
      </c>
    </row>
    <row r="12" spans="1:15" ht="27" customHeight="1">
      <c r="A12" s="80" t="s">
        <v>395</v>
      </c>
      <c r="B12" s="65" t="s">
        <v>188</v>
      </c>
      <c r="C12" s="394">
        <v>370962</v>
      </c>
      <c r="D12" s="390"/>
      <c r="E12" s="394">
        <v>1226571</v>
      </c>
      <c r="F12" s="94"/>
      <c r="G12" s="417">
        <f>C12+E12</f>
        <v>1597533</v>
      </c>
      <c r="H12" s="94"/>
      <c r="I12" s="417">
        <v>1226571</v>
      </c>
      <c r="J12" s="390"/>
      <c r="K12" s="417"/>
      <c r="L12" s="390"/>
      <c r="M12" s="417">
        <f>K13/9*12/4</f>
        <v>0</v>
      </c>
      <c r="N12" s="390"/>
      <c r="O12" s="395">
        <f aca="true" t="shared" si="0" ref="O12:O20">SUM(C12:N12)</f>
        <v>4421637</v>
      </c>
    </row>
    <row r="13" spans="1:15" ht="27" customHeight="1">
      <c r="A13" s="80" t="s">
        <v>437</v>
      </c>
      <c r="B13" s="65"/>
      <c r="C13" s="417"/>
      <c r="D13" s="390"/>
      <c r="E13" s="417"/>
      <c r="F13" s="94"/>
      <c r="G13" s="417"/>
      <c r="H13" s="94"/>
      <c r="I13" s="417"/>
      <c r="J13" s="390"/>
      <c r="K13" s="394"/>
      <c r="L13" s="390"/>
      <c r="M13" s="394"/>
      <c r="N13" s="390"/>
      <c r="O13" s="395">
        <f t="shared" si="0"/>
        <v>0</v>
      </c>
    </row>
    <row r="14" spans="1:15" ht="25.5">
      <c r="A14" s="80" t="s">
        <v>396</v>
      </c>
      <c r="B14" s="65" t="s">
        <v>188</v>
      </c>
      <c r="C14" s="394"/>
      <c r="D14" s="390"/>
      <c r="E14" s="394"/>
      <c r="F14" s="94"/>
      <c r="G14" s="394"/>
      <c r="H14" s="94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397</v>
      </c>
      <c r="B15" s="65" t="s">
        <v>188</v>
      </c>
      <c r="C15" s="394"/>
      <c r="D15" s="390"/>
      <c r="E15" s="394"/>
      <c r="G15" s="394">
        <v>-9294</v>
      </c>
      <c r="H15" s="94"/>
      <c r="I15" s="394">
        <v>-11921</v>
      </c>
      <c r="J15" s="94"/>
      <c r="K15" s="394">
        <v>-4896</v>
      </c>
      <c r="L15" s="390"/>
      <c r="M15" s="394"/>
      <c r="N15" s="390"/>
      <c r="O15" s="395">
        <f t="shared" si="0"/>
        <v>-26111</v>
      </c>
    </row>
    <row r="16" spans="1:15" ht="27" customHeight="1">
      <c r="A16" s="80" t="s">
        <v>398</v>
      </c>
      <c r="B16" s="65"/>
      <c r="C16" s="394"/>
      <c r="D16" s="390"/>
      <c r="E16" s="394"/>
      <c r="G16" s="394"/>
      <c r="H16" s="94"/>
      <c r="I16" s="394"/>
      <c r="J16" s="94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0" t="s">
        <v>399</v>
      </c>
      <c r="B17" s="65" t="s">
        <v>188</v>
      </c>
      <c r="C17" s="394"/>
      <c r="D17" s="390"/>
      <c r="E17" s="394"/>
      <c r="G17" s="394"/>
      <c r="H17" s="94"/>
      <c r="I17" s="394">
        <v>-55404</v>
      </c>
      <c r="J17" s="94"/>
      <c r="K17" s="394">
        <v>-115031</v>
      </c>
      <c r="L17" s="390"/>
      <c r="M17" s="394"/>
      <c r="N17" s="390"/>
      <c r="O17" s="395">
        <f t="shared" si="0"/>
        <v>-170435</v>
      </c>
    </row>
    <row r="18" spans="1:15" ht="25.5">
      <c r="A18" s="80" t="s">
        <v>400</v>
      </c>
      <c r="B18" s="65" t="s">
        <v>188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31" t="s">
        <v>401</v>
      </c>
      <c r="B19" s="65" t="s">
        <v>188</v>
      </c>
      <c r="C19" s="394"/>
      <c r="D19" s="390"/>
      <c r="E19" s="498">
        <v>39005</v>
      </c>
      <c r="F19" s="94"/>
      <c r="G19" s="498">
        <v>28569</v>
      </c>
      <c r="H19" s="94"/>
      <c r="I19" s="498">
        <v>19554</v>
      </c>
      <c r="J19" s="390"/>
      <c r="K19" s="394"/>
      <c r="L19" s="390"/>
      <c r="M19" s="394"/>
      <c r="N19" s="390"/>
      <c r="O19" s="395">
        <f t="shared" si="0"/>
        <v>87128</v>
      </c>
    </row>
    <row r="20" spans="1:15" ht="24.75" customHeight="1">
      <c r="A20" s="80" t="s">
        <v>467</v>
      </c>
      <c r="B20" s="65" t="s">
        <v>186</v>
      </c>
      <c r="C20" s="417"/>
      <c r="D20" s="390"/>
      <c r="E20" s="394">
        <v>-1182296</v>
      </c>
      <c r="F20" s="94"/>
      <c r="G20" s="394">
        <v>-1603524</v>
      </c>
      <c r="H20" s="94"/>
      <c r="I20" s="394">
        <v>-1284077</v>
      </c>
      <c r="J20" s="390"/>
      <c r="K20" s="394"/>
      <c r="L20" s="390"/>
      <c r="M20" s="394"/>
      <c r="N20" s="390"/>
      <c r="O20" s="395">
        <f t="shared" si="0"/>
        <v>-4069897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8"/>
    </row>
    <row r="22" spans="1:15" ht="13.5" thickBot="1">
      <c r="A22" s="80" t="s">
        <v>371</v>
      </c>
      <c r="B22" s="34"/>
      <c r="C22" s="396">
        <f>SUM(C11:C20)</f>
        <v>370962</v>
      </c>
      <c r="D22" s="418"/>
      <c r="E22" s="396">
        <f>SUM(E11:E20)</f>
        <v>454242</v>
      </c>
      <c r="F22" s="418"/>
      <c r="G22" s="396">
        <f>SUM(G11:G20)</f>
        <v>467526</v>
      </c>
      <c r="H22" s="418"/>
      <c r="I22" s="396">
        <f>SUM(I11:I20)</f>
        <v>362249</v>
      </c>
      <c r="J22" s="389"/>
      <c r="K22" s="396">
        <f>SUM(K11:K20)</f>
        <v>242322</v>
      </c>
      <c r="L22" s="389"/>
      <c r="M22" s="396">
        <f>SUM(M11:M21)</f>
        <v>242322</v>
      </c>
      <c r="N22" s="389"/>
      <c r="O22" s="449">
        <f>SUM(O11:O20)</f>
        <v>242322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402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403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404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50" t="s">
        <v>405</v>
      </c>
      <c r="B31" s="79"/>
      <c r="C31" s="79"/>
      <c r="D31" s="79"/>
      <c r="E31" s="79"/>
      <c r="F31" s="79"/>
      <c r="G31" s="79"/>
      <c r="H31" s="79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23" t="s">
        <v>406</v>
      </c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419"/>
      <c r="Q33" s="419"/>
      <c r="R33" s="419"/>
      <c r="S33" s="419"/>
    </row>
    <row r="34" spans="1:19" ht="12.75">
      <c r="A34" s="522" t="s">
        <v>407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419"/>
      <c r="Q34" s="419"/>
      <c r="R34" s="419"/>
      <c r="S34" s="419"/>
    </row>
    <row r="35" spans="1:19" ht="12.75">
      <c r="A35" s="522" t="s">
        <v>428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419"/>
      <c r="Q35" s="419"/>
      <c r="R35" s="419"/>
      <c r="S35" s="419"/>
    </row>
    <row r="36" spans="1:19" ht="12.75">
      <c r="A36" s="522" t="s">
        <v>408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419"/>
      <c r="Q36" s="419"/>
      <c r="R36" s="419"/>
      <c r="S36" s="419"/>
    </row>
    <row r="37" spans="1:19" ht="12.75">
      <c r="A37" s="436" t="s">
        <v>368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369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409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410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411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412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413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414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415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416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417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414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418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419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420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421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422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378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423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424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380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379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381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425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426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427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22" t="s">
        <v>456</v>
      </c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</row>
    <row r="75" spans="1:15" ht="12.75">
      <c r="A75" s="433" t="s">
        <v>370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8" r:id="rId1"/>
  <headerFooter alignWithMargins="0">
    <oddHeader>&amp;R&amp;9Festival Hydro Inc.
EB-2011-0183
Deferred PILs Combined Proceeding
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mccannk</cp:lastModifiedBy>
  <cp:lastPrinted>2011-10-04T14:43:32Z</cp:lastPrinted>
  <dcterms:created xsi:type="dcterms:W3CDTF">2001-11-07T16:15:53Z</dcterms:created>
  <dcterms:modified xsi:type="dcterms:W3CDTF">2011-10-04T14:43:55Z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