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46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<sst xmlns="http://schemas.openxmlformats.org/spreadsheetml/2006/main" count="864" uniqueCount="495">
  <si>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</si>
  <si>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</si>
  <si>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</si>
  <si>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</si>
  <si>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</si>
  <si>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</si>
  <si>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</si>
  <si>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</si>
  <si>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</si>
  <si>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</si>
  <si>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</si>
  <si>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</si>
  <si>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</si>
  <si>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</si>
  <si>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</si>
  <si>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</si>
  <si>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</si>
  <si>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</si>
  <si>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</si>
  <si>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</si>
  <si>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</si>
  <si>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</si>
  <si>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</si>
  <si>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</si>
  <si>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</si>
  <si>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</si>
  <si>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</si>
  <si>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</si>
  <si>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</si>
  <si>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</si>
  <si>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</si>
  <si>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</si>
  <si>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</si>
  <si>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</si>
  <si>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</si>
  <si>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</si>
  <si>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</si>
  <si>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</si>
  <si>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</si>
  <si>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</si>
  <si>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</si>
  <si>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</si>
  <si>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</si>
  <si>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</si>
  <si>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</si>
  <si>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</si>
  <si>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</si>
  <si>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</si>
  <si>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</si>
  <si>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</si>
  <si>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</si>
  <si>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</si>
  <si>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</si>
  <si>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</si>
  <si>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</si>
  <si>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</si>
  <si>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</si>
  <si>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</si>
  <si>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</si>
  <si>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</si>
  <si>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</si>
  <si>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</si>
  <si>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</si>
  <si>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</si>
  <si>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</si>
  <si>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</si>
  <si>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</si>
  <si>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</si>
  <si>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</si>
  <si>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</si>
  <si>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</si>
  <si>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</si>
  <si>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</si>
  <si>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</si>
  <si>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</si>
  <si>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</si>
  <si>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</si>
  <si>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</si>
  <si>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</si>
  <si>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</si>
  <si>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</si>
  <si>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</si>
  <si>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</si>
  <si>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</si>
  <si>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</si>
  <si>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</si>
  <si>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</si>
  <si>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</si>
  <si>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</si>
  <si>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</si>
  <si>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</si>
  <si>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</si>
  <si>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</si>
  <si>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</si>
  <si>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</si>
  <si>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</si>
  <si>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</si>
  <si>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</si>
  <si>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</si>
  <si>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</si>
  <si>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</si>
  <si>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</si>
  <si>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</si>
  <si>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</si>
  <si>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</si>
  <si>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</si>
  <si>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</si>
  <si>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</si>
  <si>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</si>
  <si>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</si>
  <si>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</si>
  <si>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</si>
  <si>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</si>
  <si>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</si>
  <si>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</si>
  <si>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</si>
  <si>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</si>
  <si>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</si>
  <si>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</si>
  <si>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</si>
  <si>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</si>
  <si>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</si>
  <si>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</si>
  <si>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</si>
  <si>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</si>
  <si>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</si>
  <si>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</si>
  <si>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</si>
  <si>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</si>
  <si>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</si>
  <si>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</si>
  <si>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</si>
  <si>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</si>
  <si>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</si>
  <si>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</si>
  <si>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</si>
  <si>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</si>
  <si>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</si>
  <si>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</si>
  <si>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</si>
  <si>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</si>
  <si>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</si>
  <si>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</si>
  <si>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</si>
  <si>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</si>
  <si>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</si>
  <si>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</si>
  <si>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</si>
  <si>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</si>
  <si>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</si>
  <si>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</si>
  <si>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</si>
  <si>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</si>
  <si>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</si>
  <si>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</si>
  <si>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</si>
  <si>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</si>
  <si>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</si>
  <si>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</si>
  <si>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</si>
  <si>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</si>
  <si>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</si>
  <si>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</si>
  <si>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</si>
  <si>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</si>
  <si>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</si>
  <si>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</si>
  <si>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</si>
  <si>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</si>
  <si>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</si>
  <si>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</si>
  <si>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</si>
  <si>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</si>
  <si>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</si>
  <si>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</si>
  <si>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</si>
  <si>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</si>
  <si>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</si>
  <si>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</si>
  <si>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</si>
  <si>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</si>
  <si>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</si>
  <si>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</si>
  <si>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</si>
  <si>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</si>
  <si>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</si>
  <si>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</si>
  <si>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</si>
  <si>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</si>
  <si>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</si>
  <si>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</si>
  <si>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</si>
  <si>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</si>
  <si>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</si>
  <si>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</si>
  <si>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</si>
  <si>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</si>
  <si>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</si>
  <si>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</si>
  <si>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</si>
  <si>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</si>
  <si>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</si>
  <si>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</si>
  <si>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</si>
  <si>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</si>
  <si>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</si>
  <si>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</si>
  <si>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</si>
  <si>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</si>
  <si>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</si>
  <si>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</si>
  <si>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</si>
  <si>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</si>
  <si>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</si>
  <si>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</si>
  <si>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</si>
  <si>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</si>
  <si>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</si>
  <si>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</si>
  <si>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</si>
  <si>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</si>
  <si>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</si>
  <si>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</si>
  <si>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</si>
  <si>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</si>
  <si>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</si>
  <si>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</si>
  <si>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</si>
  <si>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</si>
  <si>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</si>
  <si>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</si>
  <si>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</si>
  <si>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</si>
  <si>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</si>
  <si>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</si>
  <si>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</si>
  <si>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</si>
  <si>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</si>
  <si>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</si>
  <si>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</si>
  <si>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</si>
  <si>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</si>
  <si>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</si>
  <si>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</si>
  <si>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</si>
  <si>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</si>
  <si>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</si>
  <si>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</si>
  <si>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</si>
  <si>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</si>
  <si>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</si>
  <si>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</si>
  <si>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</si>
  <si>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</si>
  <si>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</si>
  <si>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</si>
  <si>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</si>
  <si>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</si>
  <si>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</si>
  <si>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</si>
  <si>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</si>
  <si>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</si>
  <si>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</si>
  <si>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</si>
  <si>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</si>
  <si>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</si>
  <si>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</si>
  <si>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</si>
  <si>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</si>
  <si>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</si>
  <si>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</si>
  <si>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</si>
  <si>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</si>
  <si>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</si>
  <si>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</si>
  <si>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</si>
  <si>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</si>
  <si>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</si>
  <si>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</si>
  <si>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</si>
  <si>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</si>
  <si>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</si>
  <si>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</si>
  <si>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</si>
  <si>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</si>
  <si>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</si>
  <si>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</si>
  <si>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</si>
  <si>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</si>
  <si>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</si>
  <si>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</si>
  <si>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</si>
  <si>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</si>
  <si>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</si>
  <si>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</si>
  <si>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</si>
  <si>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</si>
  <si>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</si>
  <si>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</si>
  <si>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</si>
  <si>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</si>
  <si>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</si>
  <si>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</si>
  <si>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</si>
  <si>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</si>
  <si>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</si>
  <si>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</si>
  <si>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</si>
  <si>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</si>
  <si>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</si>
  <si>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</si>
  <si>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</si>
  <si>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</si>
  <si>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</si>
  <si>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</si>
  <si>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</si>
  <si>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</si>
  <si>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</si>
  <si>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</si>
  <si>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</si>
  <si>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</si>
  <si>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</si>
  <si>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</si>
  <si>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</si>
  <si>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</si>
  <si>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</si>
  <si>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</si>
  <si>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</si>
  <si>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</si>
  <si>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</si>
  <si>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</si>
  <si>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</si>
  <si>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</si>
  <si>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</si>
  <si>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</si>
  <si>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</si>
  <si>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</si>
  <si>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</si>
  <si>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</si>
  <si>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</si>
  <si>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</si>
  <si>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</si>
  <si>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</si>
  <si>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</si>
  <si>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</si>
  <si>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</si>
  <si>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</si>
  <si>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</si>
  <si>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</si>
  <si>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</si>
  <si>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</si>
  <si>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</si>
  <si>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</si>
  <si>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</si>
  <si>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</si>
  <si>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</si>
  <si>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</si>
  <si>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</si>
  <si>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</si>
  <si>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</si>
  <si>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</si>
  <si>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</si>
  <si>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</si>
  <si>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</si>
  <si>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</si>
  <si>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</si>
  <si>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</si>
  <si>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</si>
  <si>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</si>
  <si>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</si>
  <si>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</si>
  <si>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</si>
  <si>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</si>
  <si>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</si>
  <si>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</si>
  <si>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</si>
  <si>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</si>
  <si>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</si>
  <si>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</si>
  <si>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</si>
  <si>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</si>
  <si>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</si>
  <si>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</si>
  <si>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</si>
  <si>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</si>
  <si>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</si>
  <si>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</si>
  <si>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</si>
  <si>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</si>
  <si>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</si>
  <si>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</si>
  <si>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</si>
  <si>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</si>
  <si>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</si>
  <si>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</si>
  <si>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</si>
  <si>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</si>
  <si>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</si>
  <si>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</si>
  <si>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</si>
  <si>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</si>
  <si>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</si>
  <si>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</si>
  <si>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</si>
  <si>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</si>
  <si>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</si>
  <si>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</si>
  <si>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</si>
  <si>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</si>
  <si>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</si>
  <si>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</si>
  <si>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</si>
  <si>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</si>
  <si>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</si>
  <si>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</si>
  <si>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</si>
  <si>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</si>
  <si>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</si>
  <si>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</si>
  <si>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</si>
  <si>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</si>
  <si>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</si>
  <si>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</si>
  <si>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</si>
  <si>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</si>
  <si>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</si>
  <si>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</si>
  <si>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</si>
  <si>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</si>
  <si>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</si>
  <si>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</si>
  <si>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</si>
  <si>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</si>
  <si>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</si>
  <si>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</si>
  <si>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</si>
  <si>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</si>
  <si>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</si>
  <si>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</si>
  <si>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</si>
  <si>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</si>
  <si>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</si>
  <si>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</si>
  <si>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</si>
  <si>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</si>
  <si>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</si>
  <si>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</si>
  <si>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</si>
  <si>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</si>
  <si>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</si>
  <si>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</si>
  <si>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</si>
  <si>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</si>
  <si>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</si>
  <si>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</si>
  <si>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</si>
  <si>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</si>
  <si>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</si>
  <si>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</si>
  <si>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</si>
  <si>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</si>
  <si>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</si>
  <si>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</si>
  <si>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</si>
  <si>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</si>
  <si>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</si>
  <si>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</si>
  <si>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</si>
  <si>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</si>
  <si>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</si>
  <si>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</si>
  <si>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</si>
  <si>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</si>
  <si>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</si>
  <si>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</si>
  <si>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</si>
  <si>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</si>
  <si>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</si>
  <si>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</si>
  <si>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</si>
  <si>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PILs TAXES - EB-2011-0153</t>
  </si>
  <si>
    <t>Utility Name: Bluewater Power Distribution Corporation</t>
  </si>
  <si>
    <t>Y</t>
  </si>
  <si>
    <t>N</t>
  </si>
  <si>
    <t>Method 1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</si>
  <si>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</si>
  <si>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</si>
  <si>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</si>
  <si>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</si>
  <si>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write down of capital property (water heaters)</t>
  </si>
  <si>
    <t>Disposition of deferral account</t>
  </si>
  <si>
    <t>Regulatory Net Income  - from REGINFO</t>
  </si>
  <si>
    <t>Write down of assets (RFP costs re SAP system part of transition costs)</t>
  </si>
  <si>
    <t>Deferred transition costs expensed for tax</t>
  </si>
  <si>
    <t xml:space="preserve">   CCA re 2002 additions from SAP transition costs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</si>
</sst>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9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10" fontId="0" fillId="36" borderId="14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480</v>
      </c>
      <c r="C1" s="8"/>
      <c r="E1" s="2" t="s">
        <v>454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481</v>
      </c>
      <c r="C3" s="8"/>
      <c r="D3" s="450" t="s">
        <v>440</v>
      </c>
      <c r="E3" s="8"/>
      <c r="F3" s="8"/>
      <c r="G3" s="8"/>
      <c r="H3" s="8"/>
    </row>
    <row r="4" spans="1:8" ht="12.75">
      <c r="A4" s="2" t="s">
        <v>466</v>
      </c>
      <c r="C4" s="8"/>
      <c r="D4" s="449" t="s">
        <v>435</v>
      </c>
      <c r="E4" s="424"/>
      <c r="H4" s="8"/>
    </row>
    <row r="5" spans="1:8" ht="12.75">
      <c r="A5" s="51"/>
      <c r="C5" s="8"/>
      <c r="D5" s="448" t="s">
        <v>436</v>
      </c>
      <c r="E5" s="394"/>
      <c r="H5" s="8"/>
    </row>
    <row r="6" spans="1:8" ht="12.75">
      <c r="A6" s="2" t="s">
        <v>124</v>
      </c>
      <c r="B6" s="384">
        <v>365</v>
      </c>
      <c r="C6" s="8" t="s">
        <v>125</v>
      </c>
      <c r="D6" s="21"/>
      <c r="H6" s="8"/>
    </row>
    <row r="7" spans="1:8" ht="13.5" thickBot="1">
      <c r="A7" s="51" t="s">
        <v>248</v>
      </c>
      <c r="B7" s="245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73" t="s">
        <v>482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73" t="s">
        <v>483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63</v>
      </c>
      <c r="D17" s="473" t="s">
        <v>483</v>
      </c>
    </row>
    <row r="18" spans="1:4" ht="26.25" customHeight="1">
      <c r="A18" s="385" t="s">
        <v>307</v>
      </c>
      <c r="C18" s="8"/>
      <c r="D18" s="8"/>
    </row>
    <row r="19" spans="1:4" ht="15" customHeight="1">
      <c r="A19" s="483" t="s">
        <v>308</v>
      </c>
      <c r="B19" s="8" t="s">
        <v>305</v>
      </c>
      <c r="C19" s="8" t="s">
        <v>63</v>
      </c>
      <c r="D19" s="474" t="s">
        <v>483</v>
      </c>
    </row>
    <row r="20" spans="1:4" ht="13.5" thickBot="1">
      <c r="A20" s="484"/>
      <c r="B20" s="8" t="s">
        <v>306</v>
      </c>
      <c r="C20" s="8" t="s">
        <v>63</v>
      </c>
      <c r="D20" s="473" t="s">
        <v>483</v>
      </c>
    </row>
    <row r="21" spans="1:4" ht="12.75">
      <c r="A21" s="483" t="s">
        <v>304</v>
      </c>
      <c r="B21" s="8" t="s">
        <v>305</v>
      </c>
      <c r="C21" s="8"/>
      <c r="D21" s="419">
        <v>1</v>
      </c>
    </row>
    <row r="22" spans="1:4" ht="12.75">
      <c r="A22" s="483"/>
      <c r="B22" s="8" t="s">
        <v>306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208</v>
      </c>
      <c r="C24" s="8" t="s">
        <v>209</v>
      </c>
      <c r="D24" s="420" t="s">
        <v>467</v>
      </c>
    </row>
    <row r="25" ht="6.75" customHeight="1" thickBot="1">
      <c r="A25" s="12"/>
    </row>
    <row r="26" spans="1:5" ht="12.75">
      <c r="A26" s="251" t="s">
        <v>66</v>
      </c>
      <c r="C26" s="8"/>
      <c r="E26" s="438" t="s">
        <v>289</v>
      </c>
    </row>
    <row r="27" spans="1:5" ht="12.75">
      <c r="A27" s="252" t="s">
        <v>67</v>
      </c>
      <c r="C27" s="8"/>
      <c r="E27" s="439" t="s">
        <v>290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279</v>
      </c>
      <c r="D31" s="417">
        <v>42469525</v>
      </c>
      <c r="H31" s="5"/>
    </row>
    <row r="32" ht="6" customHeight="1"/>
    <row r="33" spans="1:8" ht="12.75">
      <c r="A33" t="s">
        <v>70</v>
      </c>
      <c r="D33" s="41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8">
        <v>0.0988</v>
      </c>
      <c r="H37" s="41"/>
    </row>
    <row r="38" ht="4.5" customHeight="1">
      <c r="H38" s="34"/>
    </row>
    <row r="39" spans="1:8" ht="12.75">
      <c r="A39" t="s">
        <v>73</v>
      </c>
      <c r="D39" s="418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3637514.81625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1">
        <v>1666235</v>
      </c>
      <c r="E43" s="383">
        <f>D43</f>
        <v>1666235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1971279.8162500001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22">
        <v>657093</v>
      </c>
      <c r="E47" s="383">
        <f aca="true" t="shared" si="0" ref="E47:E53">D47</f>
        <v>657093</v>
      </c>
      <c r="H47" s="40"/>
      <c r="J47" s="5"/>
      <c r="K47" s="5"/>
    </row>
    <row r="48" spans="1:11" ht="12.75">
      <c r="A48" t="s">
        <v>282</v>
      </c>
      <c r="D48" s="422">
        <v>657093</v>
      </c>
      <c r="E48" s="383">
        <f>D48</f>
        <v>657093</v>
      </c>
      <c r="F48" s="22"/>
      <c r="H48" s="40"/>
      <c r="J48" s="5"/>
      <c r="K48" s="5"/>
    </row>
    <row r="49" spans="1:11" ht="12.75">
      <c r="A49" t="s">
        <v>283</v>
      </c>
      <c r="D49" s="423">
        <v>0</v>
      </c>
      <c r="E49" s="383">
        <v>0</v>
      </c>
      <c r="F49" s="22"/>
      <c r="H49" s="40"/>
      <c r="J49" s="5"/>
      <c r="K49" s="5"/>
    </row>
    <row r="50" spans="1:11" ht="12.75">
      <c r="A50" t="s">
        <v>284</v>
      </c>
      <c r="D50" s="424"/>
      <c r="E50" s="383">
        <f t="shared" si="0"/>
        <v>0</v>
      </c>
      <c r="H50" s="40"/>
      <c r="J50" s="5"/>
      <c r="K50" s="5"/>
    </row>
    <row r="51" spans="1:11" ht="12.75">
      <c r="A51" t="s">
        <v>432</v>
      </c>
      <c r="D51" s="424"/>
      <c r="E51" s="383">
        <f t="shared" si="0"/>
        <v>0</v>
      </c>
      <c r="H51" s="40"/>
      <c r="J51" s="5"/>
      <c r="K51" s="5"/>
    </row>
    <row r="52" spans="1:11" ht="12.75">
      <c r="A52" t="s">
        <v>455</v>
      </c>
      <c r="D52" s="424"/>
      <c r="E52" s="383">
        <f t="shared" si="0"/>
        <v>0</v>
      </c>
      <c r="H52" s="40"/>
      <c r="J52" s="5"/>
      <c r="K52" s="5"/>
    </row>
    <row r="53" spans="4:11" ht="12.75">
      <c r="D53" s="424"/>
      <c r="E53" s="383">
        <f t="shared" si="0"/>
        <v>0</v>
      </c>
      <c r="H53" s="40"/>
      <c r="J53" s="5"/>
      <c r="K53" s="5"/>
    </row>
    <row r="54" spans="1:11" ht="12.75">
      <c r="A54" s="2" t="s">
        <v>285</v>
      </c>
      <c r="E54" s="250">
        <f>SUM(E43:E53)</f>
        <v>2980421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21234762.5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2097994.535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21234762.5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48">
        <f>D60*D39</f>
        <v>1539520.28125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49">
        <f>IF(D41&gt;0,(((D43+D47)/D41)*D62),0)</f>
        <v>983311.6170461179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49">
        <f>IF(D41&gt;0,(((D43+D47+D48)/D41)*D62),0)</f>
        <v>1261415.776415645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49">
        <f>IF(D41&gt;0,(((D43+D47+D48)/D41)*D62),0)</f>
        <v>1261415.776415645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49">
        <f>D62</f>
        <v>1539520.28125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50"/>
  <sheetViews>
    <sheetView zoomScale="80" zoomScaleNormal="80" zoomScaleSheetLayoutView="80" workbookViewId="0" topLeftCell="A1">
      <pane ySplit="12" topLeftCell="A163" activePane="bottomLeft" state="frozen"/>
      <selection pane="topLeft" activeCell="A1" sqref="A1"/>
      <selection pane="bottomLeft" activeCell="E175" sqref="E175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6.14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126</v>
      </c>
      <c r="C1" s="201" t="s">
        <v>33</v>
      </c>
      <c r="D1" s="202"/>
      <c r="E1" s="203" t="s">
        <v>22</v>
      </c>
      <c r="F1" s="204" t="s">
        <v>22</v>
      </c>
      <c r="G1" s="205" t="s">
        <v>457</v>
      </c>
      <c r="H1" s="206"/>
      <c r="I1" s="216"/>
    </row>
    <row r="2" spans="1:9" ht="12.75">
      <c r="A2" s="207" t="s">
        <v>456</v>
      </c>
      <c r="B2" s="208"/>
      <c r="C2" s="209" t="s">
        <v>34</v>
      </c>
      <c r="D2" s="210"/>
      <c r="E2" s="211" t="s">
        <v>23</v>
      </c>
      <c r="F2" s="212" t="s">
        <v>23</v>
      </c>
      <c r="G2" s="179" t="s">
        <v>458</v>
      </c>
      <c r="H2" s="213"/>
      <c r="I2" s="216"/>
    </row>
    <row r="3" spans="1:9" ht="12.75">
      <c r="A3" s="207" t="s">
        <v>48</v>
      </c>
      <c r="B3" s="214"/>
      <c r="C3" s="215"/>
      <c r="D3" s="210"/>
      <c r="E3" s="133" t="s">
        <v>20</v>
      </c>
      <c r="F3" s="216" t="s">
        <v>20</v>
      </c>
      <c r="G3" s="133"/>
      <c r="H3" s="213"/>
      <c r="I3" s="216"/>
    </row>
    <row r="4" spans="1:9" ht="12.75">
      <c r="A4" s="217" t="s">
        <v>40</v>
      </c>
      <c r="B4" s="218"/>
      <c r="C4" s="215"/>
      <c r="D4" s="210"/>
      <c r="E4" s="133" t="s">
        <v>242</v>
      </c>
      <c r="F4" s="216" t="s">
        <v>21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Bluewater Power Distribution Corporation</v>
      </c>
      <c r="B6" s="111"/>
      <c r="D6" s="133"/>
      <c r="E6" s="111"/>
      <c r="G6" s="111"/>
      <c r="H6" s="460"/>
      <c r="I6" s="3"/>
    </row>
    <row r="7" spans="1:9" ht="12.75">
      <c r="A7" s="207" t="str">
        <f>REGINFO!A4</f>
        <v>Reporting period:  2002</v>
      </c>
      <c r="B7" s="111"/>
      <c r="D7" s="133"/>
      <c r="E7" s="111"/>
      <c r="G7" s="111"/>
      <c r="H7" s="460"/>
      <c r="I7" s="3"/>
    </row>
    <row r="8" spans="2:9" ht="12.75">
      <c r="B8" s="218"/>
      <c r="C8" s="226"/>
      <c r="D8" s="210"/>
      <c r="E8" s="133"/>
      <c r="F8" s="216"/>
      <c r="G8" s="179" t="s">
        <v>86</v>
      </c>
      <c r="H8" s="213"/>
      <c r="I8" s="216"/>
    </row>
    <row r="9" spans="1:9" ht="12.75">
      <c r="A9" s="207" t="s">
        <v>124</v>
      </c>
      <c r="B9" s="425">
        <f>REGINFO!B6</f>
        <v>365</v>
      </c>
      <c r="C9" s="227" t="s">
        <v>125</v>
      </c>
      <c r="D9" s="210"/>
      <c r="E9" s="133"/>
      <c r="F9" s="216"/>
      <c r="G9" s="179" t="s">
        <v>89</v>
      </c>
      <c r="H9" s="213"/>
      <c r="I9" s="216"/>
    </row>
    <row r="10" spans="1:9" ht="12.75">
      <c r="A10" s="207" t="s">
        <v>248</v>
      </c>
      <c r="B10" s="425">
        <f>REGINFO!B7</f>
        <v>365</v>
      </c>
      <c r="C10" s="227" t="s">
        <v>125</v>
      </c>
      <c r="D10" s="210"/>
      <c r="E10" s="228"/>
      <c r="F10" s="216"/>
      <c r="G10" s="229" t="s">
        <v>87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88</v>
      </c>
      <c r="H11" s="147"/>
      <c r="I11" s="20"/>
    </row>
    <row r="12" spans="1:9" ht="13.5" thickBot="1">
      <c r="A12" s="149"/>
      <c r="B12" s="218"/>
      <c r="C12" s="215" t="s">
        <v>24</v>
      </c>
      <c r="D12" s="210"/>
      <c r="E12" s="215" t="s">
        <v>24</v>
      </c>
      <c r="F12" s="216"/>
      <c r="G12" s="215" t="s">
        <v>24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29</v>
      </c>
      <c r="B14" s="117" t="s">
        <v>100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481" t="s">
        <v>491</v>
      </c>
      <c r="B16" s="121">
        <v>1</v>
      </c>
      <c r="C16" s="255">
        <f>REGINFO!E54</f>
        <v>2980421</v>
      </c>
      <c r="D16" s="17"/>
      <c r="E16" s="263">
        <f>G16-C16</f>
        <v>556429</v>
      </c>
      <c r="F16" s="3"/>
      <c r="G16" s="263">
        <f>TAXREC!E50</f>
        <v>3536850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25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204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v>2390859</v>
      </c>
      <c r="D20" s="18"/>
      <c r="E20" s="263">
        <f>G20-C20</f>
        <v>482645</v>
      </c>
      <c r="F20" s="6"/>
      <c r="G20" s="263">
        <f>TAXREC!E61</f>
        <v>2873504</v>
      </c>
      <c r="H20" s="147"/>
      <c r="I20" s="20"/>
    </row>
    <row r="21" spans="1:9" ht="12.75">
      <c r="A21" s="154" t="s">
        <v>55</v>
      </c>
      <c r="B21" s="123">
        <v>3</v>
      </c>
      <c r="C21" s="257">
        <v>167376</v>
      </c>
      <c r="D21" s="18"/>
      <c r="E21" s="263">
        <f>G21-C21</f>
        <v>161624</v>
      </c>
      <c r="F21" s="6"/>
      <c r="G21" s="263">
        <f>TAXREC!E62</f>
        <v>329000</v>
      </c>
      <c r="H21" s="147"/>
      <c r="I21" s="20"/>
    </row>
    <row r="22" spans="1:9" ht="12.75">
      <c r="A22" s="154" t="s">
        <v>256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I22" s="20"/>
    </row>
    <row r="23" spans="1:9" ht="12.75">
      <c r="A23" s="154" t="s">
        <v>255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257</v>
      </c>
      <c r="B24" s="123">
        <v>5</v>
      </c>
      <c r="C24" s="257">
        <v>180158</v>
      </c>
      <c r="D24" s="18"/>
      <c r="E24" s="263">
        <f>G24-C24</f>
        <v>-180158</v>
      </c>
      <c r="F24" s="6"/>
      <c r="G24" s="263">
        <f>TAXREC!E65</f>
        <v>0</v>
      </c>
      <c r="H24" s="147"/>
      <c r="I24" s="20"/>
    </row>
    <row r="25" spans="1:9" ht="12.75">
      <c r="A25" s="154" t="s">
        <v>52</v>
      </c>
      <c r="B25" s="123"/>
      <c r="C25" s="101" t="s">
        <v>100</v>
      </c>
      <c r="D25" s="18"/>
      <c r="E25" s="182"/>
      <c r="F25" s="33"/>
      <c r="G25" s="182"/>
      <c r="H25" s="147"/>
      <c r="I25" s="20"/>
    </row>
    <row r="26" spans="1:9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I28" s="20"/>
    </row>
    <row r="29" spans="1:9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I29" s="20"/>
    </row>
    <row r="30" spans="1:9" ht="15.75">
      <c r="A30" s="470" t="s">
        <v>388</v>
      </c>
      <c r="B30" s="123"/>
      <c r="C30" s="255"/>
      <c r="D30" s="18"/>
      <c r="E30" s="263">
        <f>G30-C30</f>
        <v>627289</v>
      </c>
      <c r="F30" s="6"/>
      <c r="G30" s="263">
        <f>TAXREC!E66</f>
        <v>627289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335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101</v>
      </c>
      <c r="B33" s="123">
        <v>7</v>
      </c>
      <c r="C33" s="257">
        <v>2405881</v>
      </c>
      <c r="D33" s="128"/>
      <c r="E33" s="263">
        <f aca="true" t="shared" si="0" ref="E33:E42">G33-C33</f>
        <v>3174700</v>
      </c>
      <c r="F33" s="6"/>
      <c r="G33" s="263">
        <f>TAXREC!E97+TAXREC!E98</f>
        <v>5580581</v>
      </c>
      <c r="H33" s="147"/>
      <c r="I33" s="20"/>
    </row>
    <row r="34" spans="1:9" ht="12.75">
      <c r="A34" s="154" t="s">
        <v>56</v>
      </c>
      <c r="B34" s="123">
        <v>8</v>
      </c>
      <c r="C34" s="257"/>
      <c r="D34" s="128"/>
      <c r="E34" s="263">
        <f t="shared" si="0"/>
        <v>165000</v>
      </c>
      <c r="F34" s="6"/>
      <c r="G34" s="263">
        <f>TAXREC!E99</f>
        <v>165000</v>
      </c>
      <c r="H34" s="147"/>
      <c r="I34" s="20"/>
    </row>
    <row r="35" spans="1:9" ht="12.75">
      <c r="A35" s="154" t="s">
        <v>44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258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85</v>
      </c>
      <c r="B37" s="121">
        <v>11</v>
      </c>
      <c r="C37" s="256">
        <f>REGINFO!D66</f>
        <v>1261415.776415645</v>
      </c>
      <c r="D37" s="128"/>
      <c r="E37" s="263">
        <f t="shared" si="0"/>
        <v>387927.2235843551</v>
      </c>
      <c r="F37" s="6"/>
      <c r="G37" s="263">
        <f>TAXREC!E51</f>
        <v>1649343</v>
      </c>
      <c r="H37" s="147"/>
      <c r="I37" s="20"/>
    </row>
    <row r="38" spans="1:9" ht="12.75">
      <c r="A38" s="151" t="s">
        <v>254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0"/>
    </row>
    <row r="39" spans="1:9" ht="12.75">
      <c r="A39" s="151" t="s">
        <v>253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53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482"/>
      <c r="G44" s="247">
        <f>TAXREC!E130</f>
        <v>0</v>
      </c>
      <c r="H44" s="147"/>
      <c r="I44" s="20"/>
    </row>
    <row r="45" spans="1:9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I46" s="20"/>
    </row>
    <row r="47" spans="1:9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I47" s="20"/>
    </row>
    <row r="48" spans="1:9" ht="15.75">
      <c r="A48" s="470" t="s">
        <v>388</v>
      </c>
      <c r="B48" s="123"/>
      <c r="C48" s="255"/>
      <c r="D48" s="128"/>
      <c r="E48" s="263">
        <f>G48-C48</f>
        <v>467490</v>
      </c>
      <c r="F48" s="6"/>
      <c r="G48" s="247">
        <f>TAXREC!E108</f>
        <v>467490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322</v>
      </c>
      <c r="B50" s="121"/>
      <c r="C50" s="259">
        <f>C16+SUM(C20:C30)-SUM(C33:C48)</f>
        <v>2051517.2235843549</v>
      </c>
      <c r="D50" s="98"/>
      <c r="E50" s="259">
        <f>E16+SUM(E20:E30)-SUM(E33:E48)</f>
        <v>-2547288.223584355</v>
      </c>
      <c r="F50" s="426"/>
      <c r="G50" s="259">
        <f>G16+SUM(G20:G30)-SUM(G33:G48)</f>
        <v>-495771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330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334</v>
      </c>
      <c r="B53" s="123">
        <v>13</v>
      </c>
      <c r="C53" s="258">
        <f>IF($C$50&gt;'Tax Rates'!$E$11,'Tax Rates'!$F$16,IF($C$50&gt;'Tax Rates'!$C$11,'Tax Rates'!$E$16,'Tax Rates'!$C$16))</f>
        <v>0.3862</v>
      </c>
      <c r="D53" s="98"/>
      <c r="E53" s="264">
        <f>+G53-C53</f>
        <v>0</v>
      </c>
      <c r="F53" s="110"/>
      <c r="G53" s="258">
        <f>TAXREC!E151</f>
        <v>0.3862</v>
      </c>
      <c r="H53" s="147"/>
      <c r="I53" s="20"/>
      <c r="J53" s="464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27</v>
      </c>
      <c r="B55" s="123"/>
      <c r="C55" s="260">
        <f>IF(C50&gt;0,C50*C53,0)</f>
        <v>792295.9517482779</v>
      </c>
      <c r="D55" s="98"/>
      <c r="E55" s="263">
        <f>G55-C55</f>
        <v>-792295.9517482779</v>
      </c>
      <c r="F55" s="426"/>
      <c r="G55" s="260">
        <f>TAXREC!E144</f>
        <v>0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35</v>
      </c>
      <c r="B58" s="123">
        <v>14</v>
      </c>
      <c r="C58" s="261"/>
      <c r="D58" s="128"/>
      <c r="E58" s="263">
        <f>+G58-C58</f>
        <v>0</v>
      </c>
      <c r="F58" s="426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36</v>
      </c>
      <c r="B60" s="130"/>
      <c r="C60" s="262">
        <f>+C55-C58</f>
        <v>792295.9517482779</v>
      </c>
      <c r="D60" s="129"/>
      <c r="E60" s="265">
        <f>+E55-E58</f>
        <v>-792295.9517482779</v>
      </c>
      <c r="F60" s="426"/>
      <c r="G60" s="265">
        <f>+G55-G58</f>
        <v>0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30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28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16</v>
      </c>
      <c r="B66" s="121">
        <v>15</v>
      </c>
      <c r="C66" s="260">
        <f>Ratebase</f>
        <v>42469525</v>
      </c>
      <c r="D66" s="98"/>
      <c r="E66" s="263">
        <f>G66-C66</f>
        <v>8200581</v>
      </c>
      <c r="F66" s="6"/>
      <c r="G66" s="465">
        <v>50670106</v>
      </c>
      <c r="H66" s="147"/>
      <c r="I66" s="20"/>
      <c r="J66" s="466" t="s">
        <v>465</v>
      </c>
    </row>
    <row r="67" spans="1:10" ht="12.75">
      <c r="A67" s="148" t="s">
        <v>355</v>
      </c>
      <c r="B67" s="121">
        <v>16</v>
      </c>
      <c r="C67" s="256">
        <f>IF(C66&gt;0,'Tax Rates'!C21,0)</f>
        <v>5000000</v>
      </c>
      <c r="D67" s="98"/>
      <c r="E67" s="263">
        <f>G67-C67</f>
        <v>-5845</v>
      </c>
      <c r="F67" s="6"/>
      <c r="G67" s="465">
        <v>4994155</v>
      </c>
      <c r="H67" s="147"/>
      <c r="I67" s="20"/>
      <c r="J67" s="466" t="s">
        <v>465</v>
      </c>
    </row>
    <row r="68" spans="1:9" ht="12.75">
      <c r="A68" s="148" t="s">
        <v>41</v>
      </c>
      <c r="B68" s="121"/>
      <c r="C68" s="260">
        <f>IF((C66-C67)&gt;0,C66-C67,0)</f>
        <v>37469525</v>
      </c>
      <c r="D68" s="98"/>
      <c r="E68" s="263">
        <f>SUM(E66:E67)</f>
        <v>8194736</v>
      </c>
      <c r="F68" s="110"/>
      <c r="G68" s="260">
        <f>G66-G67</f>
        <v>45675951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356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309</v>
      </c>
      <c r="B72" s="121"/>
      <c r="C72" s="260">
        <f>IF(C68&gt;0,C68*C70,0)*REGINFO!$B$6/REGINFO!$B$7</f>
        <v>112408.575</v>
      </c>
      <c r="D72" s="97"/>
      <c r="E72" s="263">
        <f>+G72-C72</f>
        <v>24619.278000000006</v>
      </c>
      <c r="F72" s="467"/>
      <c r="G72" s="260">
        <f>IF(G68&gt;0,G68*G70,0)*REGINFO!$B$6/REGINFO!$B$7</f>
        <v>137027.853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214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16</v>
      </c>
      <c r="B75" s="121">
        <v>18</v>
      </c>
      <c r="C75" s="260">
        <f>Ratebase</f>
        <v>42469525</v>
      </c>
      <c r="D75" s="98"/>
      <c r="E75" s="263">
        <f>+G75-C75</f>
        <v>8545150</v>
      </c>
      <c r="F75" s="6"/>
      <c r="G75" s="465">
        <v>51014675</v>
      </c>
      <c r="H75" s="147"/>
      <c r="I75" s="20"/>
      <c r="J75" s="466" t="s">
        <v>465</v>
      </c>
    </row>
    <row r="76" spans="1:10" ht="12.75">
      <c r="A76" s="148" t="s">
        <v>355</v>
      </c>
      <c r="B76" s="121">
        <v>19</v>
      </c>
      <c r="C76" s="256">
        <f>IF(C75&gt;0,'Tax Rates'!C22,0)</f>
        <v>10000000</v>
      </c>
      <c r="D76" s="18"/>
      <c r="E76" s="263">
        <f>+G76-C76</f>
        <v>-9500</v>
      </c>
      <c r="F76" s="6"/>
      <c r="G76" s="465">
        <v>9990500</v>
      </c>
      <c r="H76" s="147"/>
      <c r="I76" s="20"/>
      <c r="J76" s="466" t="s">
        <v>465</v>
      </c>
    </row>
    <row r="77" spans="1:9" ht="12.75">
      <c r="A77" s="148" t="s">
        <v>41</v>
      </c>
      <c r="B77" s="121"/>
      <c r="C77" s="260">
        <f>IF((C75-C76)&gt;0,C75-C76,0)</f>
        <v>32469525</v>
      </c>
      <c r="D77" s="19"/>
      <c r="E77" s="263">
        <f>SUM(E75:E76)</f>
        <v>8535650</v>
      </c>
      <c r="F77" s="110"/>
      <c r="G77" s="260">
        <f>G75-G76</f>
        <v>41024175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356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310</v>
      </c>
      <c r="B81" s="121"/>
      <c r="C81" s="260">
        <f>IF(C77&gt;0,C77*C79,0)*REGINFO!$B$6/REGINFO!$B$7</f>
        <v>73056.43125</v>
      </c>
      <c r="D81" s="98"/>
      <c r="E81" s="263">
        <f>+G81-C81</f>
        <v>19247.96249999998</v>
      </c>
      <c r="F81" s="6"/>
      <c r="G81" s="260">
        <f>G77*G79*B9/B10</f>
        <v>92304.39374999997</v>
      </c>
      <c r="H81" s="147"/>
      <c r="I81" s="20"/>
    </row>
    <row r="82" spans="1:9" ht="12.75">
      <c r="A82" s="148" t="s">
        <v>311</v>
      </c>
      <c r="B82" s="121">
        <v>21</v>
      </c>
      <c r="C82" s="296">
        <f>IF(C77&gt;0,IF(C60&gt;0,C50*'Tax Rates'!C20,0),0)</f>
        <v>22976.992904144776</v>
      </c>
      <c r="D82" s="98"/>
      <c r="E82" s="263">
        <f>+G82-C82</f>
        <v>-22976.992904144776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31</v>
      </c>
      <c r="B84" s="121"/>
      <c r="C84" s="260">
        <f>C81-C82</f>
        <v>50079.43834585522</v>
      </c>
      <c r="D84" s="16"/>
      <c r="E84" s="263">
        <f>E81-E82</f>
        <v>42224.955404144755</v>
      </c>
      <c r="F84" s="99"/>
      <c r="G84" s="260">
        <f>G81-G82</f>
        <v>92304.39374999997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116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223</v>
      </c>
      <c r="B88" s="121"/>
      <c r="C88" s="258">
        <f>IF($C$50&gt;'Tax Rates'!$E$11,'Tax Rates'!$F$16,IF(AND($C$50&gt;='Tax Rates'!$C$11,$C$50&lt;='Tax Rates'!E11),'Tax Rates'!$E$16,'Tax Rates'!$C$16))-1.12%</f>
        <v>0.375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362</v>
      </c>
      <c r="B90" s="123">
        <v>22</v>
      </c>
      <c r="C90" s="260">
        <f>C60/(1-C88)</f>
        <v>1267673.5227972446</v>
      </c>
      <c r="D90" s="20"/>
      <c r="E90" s="135"/>
      <c r="F90" s="6"/>
      <c r="G90" s="266">
        <f>TAXREC!E156</f>
        <v>0</v>
      </c>
      <c r="H90" s="147"/>
      <c r="I90" s="20"/>
    </row>
    <row r="91" spans="1:9" ht="12.75">
      <c r="A91" s="154" t="s">
        <v>363</v>
      </c>
      <c r="B91" s="123">
        <v>23</v>
      </c>
      <c r="C91" s="260">
        <f>C84/(1-C88)</f>
        <v>80127.10135336834</v>
      </c>
      <c r="D91" s="20"/>
      <c r="E91" s="135"/>
      <c r="F91" s="6"/>
      <c r="G91" s="266">
        <f>TAXREC!E158</f>
        <v>92304</v>
      </c>
      <c r="H91" s="147"/>
      <c r="I91" s="20"/>
    </row>
    <row r="92" spans="1:9" ht="12.75">
      <c r="A92" s="154" t="s">
        <v>343</v>
      </c>
      <c r="B92" s="123">
        <v>24</v>
      </c>
      <c r="C92" s="260">
        <f>C72</f>
        <v>112408.575</v>
      </c>
      <c r="D92" s="20"/>
      <c r="E92" s="135"/>
      <c r="F92" s="6"/>
      <c r="G92" s="266">
        <f>TAXREC!E157</f>
        <v>137028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474</v>
      </c>
      <c r="B95" s="121">
        <v>25</v>
      </c>
      <c r="C95" s="265">
        <f>SUM(C90:C93)</f>
        <v>1460209.1991506128</v>
      </c>
      <c r="D95" s="6"/>
      <c r="E95" s="135"/>
      <c r="F95" s="6"/>
      <c r="G95" s="409">
        <f>SUM(G90:G94)</f>
        <v>229332</v>
      </c>
      <c r="H95" s="160"/>
      <c r="I95" s="3"/>
    </row>
    <row r="96" spans="1:9" ht="12.75">
      <c r="A96" s="399" t="s">
        <v>300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297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239</v>
      </c>
      <c r="B100" s="119"/>
      <c r="C100" s="108"/>
      <c r="D100" s="3"/>
      <c r="E100" s="139" t="s">
        <v>241</v>
      </c>
      <c r="F100" s="37"/>
      <c r="G100" s="196"/>
      <c r="H100" s="160"/>
      <c r="I100" s="3"/>
    </row>
    <row r="101" spans="1:9" ht="12.75">
      <c r="A101" s="152" t="s">
        <v>341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55</v>
      </c>
      <c r="B102" s="123">
        <v>3</v>
      </c>
      <c r="C102" s="108"/>
      <c r="D102" s="3"/>
      <c r="E102" s="247">
        <f>E21</f>
        <v>161624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I103" s="3"/>
    </row>
    <row r="104" spans="1:9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43</v>
      </c>
      <c r="B105" s="123">
        <v>5</v>
      </c>
      <c r="C105" s="108"/>
      <c r="D105" s="3"/>
      <c r="E105" s="247">
        <f>E24</f>
        <v>-180158</v>
      </c>
      <c r="F105" s="37"/>
      <c r="G105" s="197"/>
      <c r="H105" s="160"/>
      <c r="I105" s="3"/>
    </row>
    <row r="106" spans="1:9" ht="12.75">
      <c r="A106" s="154" t="s">
        <v>358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359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I107" s="3"/>
    </row>
    <row r="108" spans="1:9" ht="12.75">
      <c r="A108" s="152" t="s">
        <v>357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56</v>
      </c>
      <c r="B109" s="123">
        <v>8</v>
      </c>
      <c r="C109" s="108"/>
      <c r="D109" s="3"/>
      <c r="E109" s="247">
        <f>E34</f>
        <v>165000</v>
      </c>
      <c r="F109" s="37"/>
      <c r="G109" s="197"/>
      <c r="H109" s="160"/>
      <c r="I109" s="3"/>
    </row>
    <row r="110" spans="1:9" ht="12.75">
      <c r="A110" s="154" t="s">
        <v>44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43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314</v>
      </c>
      <c r="B112" s="123">
        <v>11</v>
      </c>
      <c r="C112" s="108"/>
      <c r="D112" s="3"/>
      <c r="E112" s="247">
        <f>E206</f>
        <v>109822.71875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I113" s="3"/>
    </row>
    <row r="114" spans="1:9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360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I117" s="3"/>
    </row>
    <row r="118" spans="1:9" ht="12.75">
      <c r="A118" s="154" t="s">
        <v>361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216</v>
      </c>
      <c r="B120" s="123">
        <v>26</v>
      </c>
      <c r="C120" s="108"/>
      <c r="D120" s="113" t="s">
        <v>185</v>
      </c>
      <c r="E120" s="260">
        <f>SUM(E102:E107)-SUM(E109:E118)</f>
        <v>-293356.71875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153" t="s">
        <v>475</v>
      </c>
      <c r="B122" s="123"/>
      <c r="C122" s="108"/>
      <c r="D122" s="3" t="s">
        <v>225</v>
      </c>
      <c r="E122" s="258">
        <f>IF((E120+C50)&gt;'Tax Rates'!$E$47,'Tax Rates'!$F$52,IF((E120+C50)&gt;'Tax Rates'!$C$47,'Tax Rates'!$E$52,'Tax Rates'!$C$52))</f>
        <v>0.3862</v>
      </c>
      <c r="F122" s="464"/>
      <c r="G122" s="197" t="s">
        <v>100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100</v>
      </c>
      <c r="H123" s="160"/>
      <c r="I123" s="3"/>
    </row>
    <row r="124" spans="1:9" ht="12.75">
      <c r="A124" s="154" t="s">
        <v>238</v>
      </c>
      <c r="B124" s="123"/>
      <c r="C124" s="108"/>
      <c r="D124" s="3" t="s">
        <v>185</v>
      </c>
      <c r="E124" s="260">
        <f>E120*E122</f>
        <v>-113294.36478125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112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115</v>
      </c>
      <c r="B128" s="123"/>
      <c r="C128" s="108"/>
      <c r="D128" s="3"/>
      <c r="E128" s="260">
        <f>E124-E126</f>
        <v>-113294.36478125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192</v>
      </c>
      <c r="B130" s="123"/>
      <c r="C130" s="108"/>
      <c r="D130" s="3"/>
      <c r="E130" s="258">
        <f>IF((E120+C50)&gt;'Tax Rates'!$E$47,'Tax Rates'!$F$52-1.12%,IF((E120+C50)&gt;'Tax Rates'!$C$47,'Tax Rates'!$E$52-1.12%,'Tax Rates'!$C$52-1.12%))</f>
        <v>0.375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347</v>
      </c>
      <c r="B132" s="126"/>
      <c r="C132" s="108"/>
      <c r="D132" s="3"/>
      <c r="E132" s="259">
        <f>E128/(1-E130)</f>
        <v>-181270.98365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350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229</v>
      </c>
      <c r="B136" s="126"/>
      <c r="C136" s="108"/>
      <c r="D136" s="114" t="s">
        <v>185</v>
      </c>
      <c r="E136" s="298">
        <f>C50</f>
        <v>2051517.2235843549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80" t="s">
        <v>485</v>
      </c>
      <c r="B138" s="126"/>
      <c r="C138" s="108"/>
      <c r="D138" s="115" t="s">
        <v>225</v>
      </c>
      <c r="E138" s="258">
        <f>IF((E120+E136)&gt;'Tax Rates'!E47,'Tax Rates'!F52,IF((E120+E136)&gt;'Tax Rates'!C47,'Tax Rates'!E52,'Tax Rates'!C52))</f>
        <v>0.3862</v>
      </c>
      <c r="F138" s="193" t="s">
        <v>100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80" t="s">
        <v>27</v>
      </c>
      <c r="B140" s="126"/>
      <c r="C140" s="108"/>
      <c r="D140" s="114" t="s">
        <v>185</v>
      </c>
      <c r="E140" s="299">
        <f>IF(E136&gt;0,E136*E138,0)</f>
        <v>792295.9517482779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80" t="s">
        <v>486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80" t="s">
        <v>487</v>
      </c>
      <c r="B144" s="126"/>
      <c r="C144" s="108"/>
      <c r="D144" s="115" t="s">
        <v>185</v>
      </c>
      <c r="E144" s="298">
        <f>E140-E142</f>
        <v>792295.9517482779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231</v>
      </c>
      <c r="B146" s="126"/>
      <c r="C146" s="108"/>
      <c r="D146" s="114" t="s">
        <v>184</v>
      </c>
      <c r="E146" s="298">
        <f>C60</f>
        <v>792295.9517482779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226</v>
      </c>
      <c r="B148" s="126"/>
      <c r="C148" s="108"/>
      <c r="D148" s="114" t="s">
        <v>185</v>
      </c>
      <c r="E148" s="298">
        <f>E144-E146</f>
        <v>0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19</v>
      </c>
      <c r="B150" s="126"/>
      <c r="C150" s="108"/>
      <c r="D150" s="115"/>
      <c r="E150" s="469"/>
      <c r="F150" s="37"/>
      <c r="G150" s="197"/>
      <c r="H150" s="160"/>
      <c r="I150" s="3"/>
    </row>
    <row r="151" spans="1:9" ht="12.75">
      <c r="A151" s="167" t="s">
        <v>16</v>
      </c>
      <c r="B151" s="126"/>
      <c r="C151" s="108"/>
      <c r="D151" s="115" t="s">
        <v>185</v>
      </c>
      <c r="E151" s="298">
        <f>C66</f>
        <v>42469525</v>
      </c>
      <c r="F151" s="37"/>
      <c r="G151" s="197"/>
      <c r="H151" s="160"/>
      <c r="I151" s="3"/>
    </row>
    <row r="152" spans="1:9" ht="12.75">
      <c r="A152" s="167" t="s">
        <v>353</v>
      </c>
      <c r="B152" s="126"/>
      <c r="C152" s="108"/>
      <c r="D152" s="114" t="s">
        <v>184</v>
      </c>
      <c r="E152" s="301">
        <f>IF(E151&gt;0,'Tax Rates'!C39,0)</f>
        <v>5000000</v>
      </c>
      <c r="F152" s="37"/>
      <c r="G152" s="197"/>
      <c r="H152" s="160"/>
      <c r="I152" s="3"/>
    </row>
    <row r="153" spans="1:9" ht="12.75">
      <c r="A153" s="167" t="s">
        <v>227</v>
      </c>
      <c r="B153" s="126"/>
      <c r="C153" s="108"/>
      <c r="D153" s="114" t="s">
        <v>185</v>
      </c>
      <c r="E153" s="298">
        <f>E151-E152</f>
        <v>37469525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354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228</v>
      </c>
      <c r="B157" s="126"/>
      <c r="C157" s="108"/>
      <c r="D157" s="115" t="s">
        <v>185</v>
      </c>
      <c r="E157" s="298">
        <f>IF(E153&gt;0,E153*E155*B9/B10,0)</f>
        <v>112408.575</v>
      </c>
      <c r="F157" s="37"/>
      <c r="G157" s="197"/>
      <c r="H157" s="160"/>
      <c r="I157" s="3"/>
    </row>
    <row r="158" spans="1:9" ht="12.75">
      <c r="A158" s="167" t="s">
        <v>301</v>
      </c>
      <c r="B158" s="126"/>
      <c r="C158" s="108"/>
      <c r="D158" s="114" t="s">
        <v>184</v>
      </c>
      <c r="E158" s="301">
        <f>C72</f>
        <v>112408.575</v>
      </c>
      <c r="F158" s="37"/>
      <c r="G158" s="197"/>
      <c r="H158" s="160"/>
      <c r="I158" s="3"/>
    </row>
    <row r="159" spans="1:9" ht="12.75" customHeight="1">
      <c r="A159" s="168" t="s">
        <v>236</v>
      </c>
      <c r="B159" s="126"/>
      <c r="C159" s="108"/>
      <c r="D159" s="114" t="s">
        <v>185</v>
      </c>
      <c r="E159" s="298">
        <f>E157-E158</f>
        <v>0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230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16</v>
      </c>
      <c r="B162" s="126"/>
      <c r="C162" s="108"/>
      <c r="D162" s="115"/>
      <c r="E162" s="298">
        <f>C75</f>
        <v>42469525</v>
      </c>
      <c r="F162" s="37"/>
      <c r="G162" s="197"/>
      <c r="H162" s="160"/>
      <c r="I162" s="3"/>
    </row>
    <row r="163" spans="1:9" ht="12.75">
      <c r="A163" s="167" t="s">
        <v>352</v>
      </c>
      <c r="B163" s="126"/>
      <c r="C163" s="108"/>
      <c r="D163" s="114" t="s">
        <v>184</v>
      </c>
      <c r="E163" s="301">
        <f>IF(E162&gt;0,'Tax Rates'!C40,0)</f>
        <v>10000000</v>
      </c>
      <c r="F163" s="37"/>
      <c r="G163" s="197"/>
      <c r="H163" s="160"/>
      <c r="I163" s="3"/>
    </row>
    <row r="164" spans="1:9" ht="12.75">
      <c r="A164" s="167" t="s">
        <v>232</v>
      </c>
      <c r="B164" s="126"/>
      <c r="C164" s="108"/>
      <c r="D164" s="115" t="s">
        <v>185</v>
      </c>
      <c r="E164" s="298">
        <f>E162-E163</f>
        <v>32469525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302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233</v>
      </c>
      <c r="B168" s="126"/>
      <c r="C168" s="108"/>
      <c r="D168" s="115"/>
      <c r="E168" s="298">
        <f>IF(E164&gt;0,E164*E166*B9/B10,0)</f>
        <v>73056.43125</v>
      </c>
      <c r="F168" s="37"/>
      <c r="G168" s="197"/>
      <c r="H168" s="160"/>
      <c r="I168" s="3"/>
    </row>
    <row r="169" spans="1:9" ht="12.75">
      <c r="A169" s="167" t="s">
        <v>312</v>
      </c>
      <c r="B169" s="126"/>
      <c r="C169" s="108"/>
      <c r="D169" s="114" t="s">
        <v>184</v>
      </c>
      <c r="E169" s="303">
        <f>IF(E164&gt;0,IF(E144&gt;0,E136*'Tax Rates'!C56,0),0)</f>
        <v>22976.992904144776</v>
      </c>
      <c r="F169" s="37"/>
      <c r="G169" s="197"/>
      <c r="H169" s="160"/>
      <c r="I169" s="3"/>
    </row>
    <row r="170" spans="1:9" ht="12.75">
      <c r="A170" s="167" t="s">
        <v>234</v>
      </c>
      <c r="B170" s="126"/>
      <c r="C170" s="108"/>
      <c r="D170" s="115" t="s">
        <v>185</v>
      </c>
      <c r="E170" s="298">
        <f>E168-E169</f>
        <v>50079.43834585522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10" t="s">
        <v>342</v>
      </c>
      <c r="B172" s="126"/>
      <c r="C172" s="108"/>
      <c r="D172" s="114" t="s">
        <v>184</v>
      </c>
      <c r="E172" s="301">
        <f>C84</f>
        <v>50079.43834585522</v>
      </c>
      <c r="F172" s="37"/>
      <c r="G172" s="197"/>
      <c r="H172" s="160"/>
      <c r="I172" s="3"/>
    </row>
    <row r="173" spans="1:9" ht="12.75">
      <c r="A173" s="151" t="s">
        <v>237</v>
      </c>
      <c r="B173" s="126"/>
      <c r="C173" s="108"/>
      <c r="D173" s="115" t="s">
        <v>185</v>
      </c>
      <c r="E173" s="298">
        <f>E170-E172</f>
        <v>0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339</v>
      </c>
      <c r="B175" s="126"/>
      <c r="C175" s="108"/>
      <c r="D175" s="115"/>
      <c r="E175" s="479">
        <f>IF((E120+G50)&gt;'Tax Rates'!E47,'Tax Rates'!F52-1.12%,IF((E120+G50)&gt;'Tax Rates'!C47,'Tax Rates'!E52,'Tax Rates'!C52-1.12%))</f>
        <v>0.18</v>
      </c>
      <c r="F175" s="464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235</v>
      </c>
      <c r="B177" s="126"/>
      <c r="C177" s="108"/>
      <c r="D177" s="115" t="s">
        <v>183</v>
      </c>
      <c r="E177" s="298">
        <f>E148/(1-E175)</f>
        <v>0</v>
      </c>
      <c r="F177" s="37"/>
      <c r="G177" s="197"/>
      <c r="H177" s="160"/>
      <c r="I177" s="3"/>
    </row>
    <row r="178" spans="1:9" ht="12.75">
      <c r="A178" s="164" t="s">
        <v>32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  <c r="I178" s="3"/>
    </row>
    <row r="179" spans="1:9" ht="12.75">
      <c r="A179" s="164" t="s">
        <v>19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348</v>
      </c>
      <c r="B181" s="126"/>
      <c r="C181" s="108"/>
      <c r="D181" s="115" t="s">
        <v>185</v>
      </c>
      <c r="E181" s="298">
        <f>SUM(E177:E179)</f>
        <v>0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340</v>
      </c>
      <c r="B183" s="126"/>
      <c r="C183" s="108"/>
      <c r="D183" s="115" t="s">
        <v>183</v>
      </c>
      <c r="E183" s="298">
        <f>E132</f>
        <v>-181270.98365</v>
      </c>
      <c r="F183" s="37" t="s">
        <v>100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349</v>
      </c>
      <c r="B185" s="126"/>
      <c r="C185" s="108"/>
      <c r="D185" s="115" t="s">
        <v>185</v>
      </c>
      <c r="E185" s="298">
        <f>E181+E183</f>
        <v>-181270.98365</v>
      </c>
      <c r="F185" s="37"/>
      <c r="G185" s="197"/>
      <c r="H185" s="160"/>
      <c r="I185" s="3"/>
    </row>
    <row r="186" spans="1:9" ht="12.75">
      <c r="A186" s="158" t="s">
        <v>240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57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82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220</v>
      </c>
      <c r="B193" s="123"/>
      <c r="C193" s="108"/>
      <c r="D193" s="116"/>
      <c r="E193" s="304">
        <f>REGINFO!D62</f>
        <v>1539520.28125</v>
      </c>
      <c r="F193" s="3"/>
      <c r="G193" s="119"/>
      <c r="H193" s="160"/>
      <c r="I193" s="3"/>
    </row>
    <row r="194" spans="1:9" ht="12.75">
      <c r="A194" s="151" t="s">
        <v>243</v>
      </c>
      <c r="B194" s="123"/>
      <c r="C194" s="108"/>
      <c r="D194" s="116"/>
      <c r="E194" s="304">
        <f>REGINFO!D66</f>
        <v>1261415.776415645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336</v>
      </c>
      <c r="B196" s="123"/>
      <c r="C196" s="108"/>
      <c r="D196" s="116"/>
      <c r="E196" s="304">
        <f>E193-E194</f>
        <v>278104.5048343551</v>
      </c>
      <c r="F196" s="3"/>
      <c r="G196" s="119"/>
      <c r="H196" s="160"/>
      <c r="I196" s="3"/>
    </row>
    <row r="197" spans="1:9" ht="12.75">
      <c r="A197" s="151" t="s">
        <v>337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249</v>
      </c>
      <c r="B199" s="123"/>
      <c r="C199" s="108"/>
      <c r="D199" s="116"/>
      <c r="E199" s="143"/>
      <c r="F199" s="3"/>
      <c r="G199" s="472"/>
      <c r="H199" s="160"/>
      <c r="I199" s="3"/>
    </row>
    <row r="200" spans="1:9" ht="12.75">
      <c r="A200" s="172" t="s">
        <v>84</v>
      </c>
      <c r="B200" s="123"/>
      <c r="C200" s="108"/>
      <c r="D200" s="116"/>
      <c r="E200" s="143"/>
      <c r="F200" s="3"/>
      <c r="G200" s="472"/>
      <c r="H200" s="160"/>
      <c r="I200" s="3"/>
    </row>
    <row r="201" spans="1:9" ht="12.75">
      <c r="A201" s="151" t="s">
        <v>244</v>
      </c>
      <c r="B201" s="123"/>
      <c r="C201" s="108"/>
      <c r="D201" s="116"/>
      <c r="E201" s="304">
        <f>G37+G42</f>
        <v>1649343</v>
      </c>
      <c r="F201" s="3"/>
      <c r="G201" s="472"/>
      <c r="H201" s="160"/>
      <c r="I201" s="3"/>
    </row>
    <row r="202" spans="1:9" ht="12.75">
      <c r="A202" s="151" t="s">
        <v>338</v>
      </c>
      <c r="B202" s="123"/>
      <c r="C202" s="108"/>
      <c r="D202" s="116"/>
      <c r="E202" s="304">
        <f>REGINFO!D62</f>
        <v>1539520.28125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83</v>
      </c>
      <c r="B204" s="123"/>
      <c r="C204" s="108"/>
      <c r="D204" s="116"/>
      <c r="E204" s="299">
        <f>IF((E201-E202)&gt;0,E201-E202,0)</f>
        <v>109822.71875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313</v>
      </c>
      <c r="B206" s="123"/>
      <c r="C206" s="108"/>
      <c r="D206" s="116"/>
      <c r="E206" s="299">
        <f>IF((E201-E202)&gt;0,E201-E202,0)</f>
        <v>109822.71875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221</v>
      </c>
      <c r="B208" s="174"/>
      <c r="C208" s="175"/>
      <c r="D208" s="176"/>
      <c r="E208" s="305">
        <f>+E196-E204</f>
        <v>168281.7860843551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100</v>
      </c>
      <c r="D221" s="81"/>
      <c r="E221" s="71"/>
    </row>
    <row r="222" spans="3:5" ht="12.75">
      <c r="C222" t="s">
        <v>100</v>
      </c>
      <c r="D222" s="81"/>
      <c r="E222" s="71"/>
    </row>
    <row r="223" spans="3:5" ht="12.75">
      <c r="C223" t="s">
        <v>100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="80" zoomScaleNormal="80" zoomScalePageLayoutView="80" workbookViewId="0" topLeftCell="A1">
      <pane ySplit="5" topLeftCell="A150" activePane="bottomLeft" state="frozen"/>
      <selection pane="topLeft" activeCell="A1" sqref="A1"/>
      <selection pane="bottomLeft" activeCell="A137" sqref="A13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21"/>
      <c r="H2" s="8"/>
      <c r="I2" s="8"/>
    </row>
    <row r="3" spans="1:9" ht="12.75">
      <c r="A3" s="4" t="s">
        <v>39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174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2002</v>
      </c>
      <c r="B8" s="20"/>
      <c r="C8" s="25"/>
      <c r="D8" s="25"/>
      <c r="E8" s="25"/>
      <c r="F8" s="20"/>
      <c r="G8" s="3"/>
    </row>
    <row r="9" spans="1:7" ht="12.75">
      <c r="A9" s="2" t="s">
        <v>211</v>
      </c>
      <c r="B9" s="20"/>
      <c r="C9" s="25"/>
      <c r="D9" s="25"/>
      <c r="E9" s="25"/>
      <c r="F9" s="20"/>
      <c r="G9" s="3"/>
    </row>
    <row r="10" spans="1:7" ht="12.75">
      <c r="A10" s="2" t="s">
        <v>212</v>
      </c>
      <c r="B10" s="20"/>
      <c r="C10" s="25"/>
      <c r="D10" s="25"/>
      <c r="E10" s="25"/>
      <c r="F10" s="20"/>
      <c r="G10" s="3"/>
    </row>
    <row r="11" spans="1:7" ht="13.5" thickBot="1">
      <c r="A11" s="2" t="s">
        <v>120</v>
      </c>
      <c r="B11" s="20"/>
      <c r="C11" s="440">
        <f>REGINFO!B6</f>
        <v>365</v>
      </c>
      <c r="D11" s="37" t="s">
        <v>125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213</v>
      </c>
      <c r="C13" s="254">
        <f>Ratebase*REGINFO!D33*0.0025</f>
        <v>53086.90625</v>
      </c>
      <c r="D13" s="80" t="s">
        <v>182</v>
      </c>
      <c r="E13" s="25"/>
      <c r="F13" s="20"/>
      <c r="G13" s="3"/>
    </row>
    <row r="14" spans="1:7" ht="12.75">
      <c r="A14" s="2" t="s">
        <v>118</v>
      </c>
      <c r="B14" s="20" t="s">
        <v>63</v>
      </c>
      <c r="C14" s="477" t="s">
        <v>482</v>
      </c>
      <c r="D14" s="25"/>
      <c r="E14" s="478"/>
      <c r="F14" s="20"/>
      <c r="G14" s="3"/>
    </row>
    <row r="15" spans="1:7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"/>
    </row>
    <row r="16" spans="1:7" ht="12.75">
      <c r="A16" s="295" t="s">
        <v>224</v>
      </c>
      <c r="B16" s="20" t="s">
        <v>63</v>
      </c>
      <c r="C16" s="8"/>
      <c r="D16" s="25"/>
      <c r="E16" s="25"/>
      <c r="F16" s="20"/>
      <c r="G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146</v>
      </c>
      <c r="B22" s="23"/>
      <c r="C22" s="27"/>
      <c r="D22" s="28"/>
      <c r="E22" s="28"/>
      <c r="F22" s="11"/>
      <c r="G22" s="6"/>
    </row>
    <row r="23" spans="1:7" ht="12.75">
      <c r="A23" s="395" t="s">
        <v>320</v>
      </c>
      <c r="B23" s="396"/>
      <c r="C23" s="397"/>
      <c r="D23" s="398"/>
      <c r="E23" s="28"/>
      <c r="F23" s="11"/>
      <c r="G23" s="6"/>
    </row>
    <row r="24" spans="1:7" ht="12.75">
      <c r="A24" s="395" t="s">
        <v>251</v>
      </c>
      <c r="B24" s="396"/>
      <c r="C24" s="397"/>
      <c r="D24" s="398"/>
      <c r="E24" s="28"/>
      <c r="F24" s="11"/>
      <c r="G24" s="6"/>
    </row>
    <row r="25" spans="1:7" ht="12.75">
      <c r="A25" s="395" t="s">
        <v>219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318</v>
      </c>
      <c r="B27" s="396"/>
      <c r="C27" s="397"/>
      <c r="D27" s="398"/>
      <c r="E27" s="28"/>
      <c r="F27" s="11"/>
      <c r="G27" s="6"/>
    </row>
    <row r="28" spans="1:7" ht="12.75">
      <c r="A28" s="395" t="s">
        <v>319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175</v>
      </c>
      <c r="B30" s="23"/>
      <c r="C30" s="27"/>
      <c r="D30" s="28"/>
      <c r="E30" s="28"/>
      <c r="F30" s="11"/>
      <c r="G30" s="6"/>
    </row>
    <row r="31" spans="1:7" ht="12.75">
      <c r="A31" s="244" t="s">
        <v>266</v>
      </c>
      <c r="B31" s="23" t="s">
        <v>183</v>
      </c>
      <c r="C31" s="281">
        <v>88494626</v>
      </c>
      <c r="D31" s="282"/>
      <c r="E31" s="280">
        <f>C31-D31</f>
        <v>88494626</v>
      </c>
      <c r="F31" s="11"/>
      <c r="G31" s="6"/>
    </row>
    <row r="32" spans="1:7" ht="12.75">
      <c r="A32" s="4" t="s">
        <v>217</v>
      </c>
      <c r="B32" s="23" t="s">
        <v>183</v>
      </c>
      <c r="C32" s="281"/>
      <c r="D32" s="282"/>
      <c r="E32" s="280">
        <f>C32-D32</f>
        <v>0</v>
      </c>
      <c r="F32" s="11"/>
      <c r="G32" s="6"/>
    </row>
    <row r="33" spans="1:7" ht="12.75">
      <c r="A33" s="4" t="s">
        <v>207</v>
      </c>
      <c r="B33" s="23" t="s">
        <v>183</v>
      </c>
      <c r="C33" s="281">
        <v>1265690</v>
      </c>
      <c r="D33" s="282"/>
      <c r="E33" s="280">
        <f>C33-D33</f>
        <v>1265690</v>
      </c>
      <c r="F33" s="11"/>
      <c r="G33" s="6"/>
    </row>
    <row r="34" spans="1:7" ht="12.75">
      <c r="A34" s="4" t="s">
        <v>222</v>
      </c>
      <c r="B34" s="23" t="s">
        <v>183</v>
      </c>
      <c r="C34" s="281"/>
      <c r="D34" s="282"/>
      <c r="E34" s="280">
        <f>C34-D34</f>
        <v>0</v>
      </c>
      <c r="F34" s="11"/>
      <c r="G34" s="6"/>
    </row>
    <row r="35" spans="1:7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177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278</v>
      </c>
      <c r="B38" s="23"/>
      <c r="C38" s="42"/>
      <c r="D38" s="42"/>
      <c r="E38" s="86"/>
      <c r="F38" s="11"/>
      <c r="G38" s="6"/>
    </row>
    <row r="39" spans="1:7" ht="12.75">
      <c r="A39" s="46" t="s">
        <v>205</v>
      </c>
      <c r="B39" s="23" t="s">
        <v>184</v>
      </c>
      <c r="C39" s="281">
        <v>74709667</v>
      </c>
      <c r="D39" s="282"/>
      <c r="E39" s="280">
        <f>C39-D39</f>
        <v>74709667</v>
      </c>
      <c r="F39" s="11"/>
      <c r="G39" s="6"/>
    </row>
    <row r="40" spans="1:7" ht="12.75">
      <c r="A40" s="46" t="s">
        <v>206</v>
      </c>
      <c r="B40" s="23" t="s">
        <v>184</v>
      </c>
      <c r="C40" s="281">
        <v>8503295</v>
      </c>
      <c r="D40" s="282"/>
      <c r="E40" s="280">
        <f aca="true" t="shared" si="0" ref="E40:E48">C40-D40</f>
        <v>8503295</v>
      </c>
      <c r="F40" s="11"/>
      <c r="G40" s="6"/>
    </row>
    <row r="41" spans="1:7" ht="12.75">
      <c r="A41" s="4" t="s">
        <v>267</v>
      </c>
      <c r="B41" s="23" t="s">
        <v>184</v>
      </c>
      <c r="C41" s="281"/>
      <c r="D41" s="282"/>
      <c r="E41" s="280">
        <f t="shared" si="0"/>
        <v>0</v>
      </c>
      <c r="F41" s="11"/>
      <c r="G41" s="6"/>
    </row>
    <row r="42" spans="1:7" ht="12.75">
      <c r="A42" s="4" t="s">
        <v>268</v>
      </c>
      <c r="B42" s="23" t="s">
        <v>184</v>
      </c>
      <c r="C42" s="281"/>
      <c r="D42" s="282"/>
      <c r="E42" s="280">
        <f t="shared" si="0"/>
        <v>0</v>
      </c>
      <c r="F42" s="11"/>
      <c r="G42" s="6"/>
    </row>
    <row r="43" spans="1:7" ht="12.75">
      <c r="A43" s="4" t="s">
        <v>269</v>
      </c>
      <c r="B43" s="23" t="s">
        <v>184</v>
      </c>
      <c r="C43" s="281">
        <v>2873504</v>
      </c>
      <c r="D43" s="282"/>
      <c r="E43" s="280">
        <f t="shared" si="0"/>
        <v>2873504</v>
      </c>
      <c r="F43" s="11"/>
      <c r="G43" s="6"/>
    </row>
    <row r="44" spans="1:7" ht="12.75">
      <c r="A44" s="4" t="s">
        <v>270</v>
      </c>
      <c r="B44" s="23" t="s">
        <v>184</v>
      </c>
      <c r="C44" s="281">
        <v>137000</v>
      </c>
      <c r="D44" s="282"/>
      <c r="E44" s="280">
        <f t="shared" si="0"/>
        <v>137000</v>
      </c>
      <c r="F44" s="11"/>
      <c r="G44" s="6"/>
    </row>
    <row r="45" spans="1:9" ht="12.75">
      <c r="A45" s="4" t="s">
        <v>479</v>
      </c>
      <c r="B45" s="23" t="s">
        <v>184</v>
      </c>
      <c r="C45" s="281"/>
      <c r="D45" s="282"/>
      <c r="E45" s="280">
        <f t="shared" si="0"/>
        <v>0</v>
      </c>
      <c r="F45" s="11"/>
      <c r="G45" s="33"/>
      <c r="H45" s="32"/>
      <c r="I45" s="32"/>
    </row>
    <row r="46" spans="2:9" ht="12.75">
      <c r="B46" s="23" t="s">
        <v>184</v>
      </c>
      <c r="C46" s="281"/>
      <c r="D46" s="282"/>
      <c r="E46" s="280">
        <f t="shared" si="0"/>
        <v>0</v>
      </c>
      <c r="F46" s="11"/>
      <c r="G46" s="33"/>
      <c r="H46" s="32"/>
      <c r="I46" s="32"/>
    </row>
    <row r="47" spans="1:9" ht="12.75">
      <c r="A47" s="47"/>
      <c r="B47" s="23" t="s">
        <v>184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184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81</v>
      </c>
      <c r="B50" s="23" t="s">
        <v>185</v>
      </c>
      <c r="C50" s="277">
        <f>SUM(C31:C36)-SUM(C39:C49)</f>
        <v>3536850</v>
      </c>
      <c r="D50" s="277">
        <f>SUM(D31:D36)-SUM(D39:D49)</f>
        <v>0</v>
      </c>
      <c r="E50" s="277">
        <f>SUM(E31:E35)-SUM(E39:E48)</f>
        <v>3536850</v>
      </c>
      <c r="F50" s="11"/>
      <c r="G50" s="6"/>
    </row>
    <row r="51" spans="1:7" ht="12.75">
      <c r="A51" s="4" t="s">
        <v>90</v>
      </c>
      <c r="B51" s="23" t="s">
        <v>184</v>
      </c>
      <c r="C51" s="281">
        <v>1649343</v>
      </c>
      <c r="D51" s="281"/>
      <c r="E51" s="278">
        <f>+C51-D51</f>
        <v>1649343</v>
      </c>
      <c r="F51" s="11"/>
      <c r="G51" s="6"/>
    </row>
    <row r="52" spans="1:6" ht="12.75">
      <c r="A52" t="s">
        <v>178</v>
      </c>
      <c r="B52" s="8" t="s">
        <v>184</v>
      </c>
      <c r="C52" s="281">
        <f>987000-137000</f>
        <v>850000</v>
      </c>
      <c r="D52" s="281"/>
      <c r="E52" s="279">
        <f>+C52-D52</f>
        <v>850000</v>
      </c>
      <c r="F52" s="8"/>
    </row>
    <row r="53" spans="1:6" ht="12.75">
      <c r="A53" s="2" t="s">
        <v>128</v>
      </c>
      <c r="B53" s="8" t="s">
        <v>185</v>
      </c>
      <c r="C53" s="277">
        <f>C50-C51-C52</f>
        <v>1037507</v>
      </c>
      <c r="D53" s="277">
        <f>D50-D51-D52</f>
        <v>0</v>
      </c>
      <c r="E53" s="277">
        <f>E50-E51-E52</f>
        <v>1037507</v>
      </c>
      <c r="F53" s="8"/>
    </row>
    <row r="54" spans="1:6" ht="24">
      <c r="A54" s="83" t="s">
        <v>210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183</v>
      </c>
      <c r="C59" s="283">
        <f>C52</f>
        <v>850000</v>
      </c>
      <c r="D59" s="283">
        <f>D52</f>
        <v>0</v>
      </c>
      <c r="E59" s="268">
        <f>+C59-D59</f>
        <v>850000</v>
      </c>
      <c r="F59" s="8"/>
    </row>
    <row r="60" spans="1:6" ht="12.75">
      <c r="A60" s="4" t="s">
        <v>321</v>
      </c>
      <c r="B60" s="8" t="s">
        <v>183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183</v>
      </c>
      <c r="C61" s="283">
        <f>C43</f>
        <v>2873504</v>
      </c>
      <c r="D61" s="283">
        <f>D43</f>
        <v>0</v>
      </c>
      <c r="E61" s="268">
        <f>+C61-D61</f>
        <v>2873504</v>
      </c>
      <c r="F61" s="8"/>
    </row>
    <row r="62" spans="1:6" ht="12.75">
      <c r="A62" t="s">
        <v>6</v>
      </c>
      <c r="B62" s="8" t="s">
        <v>183</v>
      </c>
      <c r="C62" s="313">
        <v>329000</v>
      </c>
      <c r="D62" s="283">
        <v>0</v>
      </c>
      <c r="E62" s="268">
        <f>+C62-D62</f>
        <v>329000</v>
      </c>
      <c r="F62" s="8"/>
    </row>
    <row r="63" spans="1:6" ht="12.75">
      <c r="A63" s="31" t="s">
        <v>271</v>
      </c>
      <c r="B63" s="8" t="s">
        <v>183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51</v>
      </c>
      <c r="B64" s="8" t="s">
        <v>183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437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62" t="s">
        <v>388</v>
      </c>
      <c r="B66" s="8"/>
      <c r="C66" s="441">
        <f>'TAXREC 3 No True-up'!C47</f>
        <v>627289</v>
      </c>
      <c r="D66" s="441">
        <f>'TAXREC 3 No True-up'!D47</f>
        <v>0</v>
      </c>
      <c r="E66" s="268">
        <f>+C66-D66</f>
        <v>627289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9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104</v>
      </c>
      <c r="B70" s="8"/>
      <c r="C70" s="268">
        <f>SUM(C59:C68)</f>
        <v>4679793</v>
      </c>
      <c r="D70" s="268">
        <f>SUM(D59:D68)</f>
        <v>0</v>
      </c>
      <c r="E70" s="268">
        <f>SUM(E59:E68)</f>
        <v>4679793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203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2:9" ht="12.75">
      <c r="B74" s="8" t="s">
        <v>183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2:9" ht="12.75">
      <c r="B75" s="8" t="s">
        <v>183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64"/>
      <c r="B76" s="8" t="s">
        <v>183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67"/>
      <c r="B77" s="8" t="s">
        <v>183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183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183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49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17</v>
      </c>
      <c r="B82" s="8" t="s">
        <v>185</v>
      </c>
      <c r="C82" s="247">
        <f>C70+C80</f>
        <v>4679793</v>
      </c>
      <c r="D82" s="247">
        <f>D70+D80</f>
        <v>0</v>
      </c>
      <c r="E82" s="247">
        <f>E70+E80</f>
        <v>4679793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425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193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26</v>
      </c>
      <c r="B97" s="8" t="s">
        <v>184</v>
      </c>
      <c r="C97" s="290">
        <v>5363628</v>
      </c>
      <c r="D97" s="290"/>
      <c r="E97" s="268">
        <f>+C97-D97</f>
        <v>5363628</v>
      </c>
      <c r="F97" s="8"/>
      <c r="G97" s="45"/>
      <c r="H97" s="45"/>
      <c r="I97" s="45"/>
    </row>
    <row r="98" spans="1:9" ht="12.75">
      <c r="A98" t="s">
        <v>488</v>
      </c>
      <c r="B98" s="8" t="s">
        <v>184</v>
      </c>
      <c r="C98" s="290">
        <v>216953</v>
      </c>
      <c r="D98" s="290"/>
      <c r="E98" s="268">
        <f>+C98-D98</f>
        <v>216953</v>
      </c>
      <c r="F98" s="8"/>
      <c r="G98" s="45"/>
      <c r="H98" s="45"/>
      <c r="I98" s="45"/>
    </row>
    <row r="99" spans="1:9" ht="12.75">
      <c r="A99" t="s">
        <v>11</v>
      </c>
      <c r="B99" s="8" t="s">
        <v>184</v>
      </c>
      <c r="C99" s="290">
        <v>165000</v>
      </c>
      <c r="D99" s="290"/>
      <c r="E99" s="268">
        <f>+C99-D99</f>
        <v>165000</v>
      </c>
      <c r="F99" s="8"/>
      <c r="G99" s="45"/>
      <c r="H99" s="45"/>
      <c r="I99" s="45"/>
    </row>
    <row r="100" spans="1:9" ht="12.75">
      <c r="A100" t="s">
        <v>37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91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494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92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254</v>
      </c>
      <c r="B104" s="8" t="s">
        <v>184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</row>
    <row r="105" spans="1:9" ht="12.75">
      <c r="A105" s="10" t="s">
        <v>272</v>
      </c>
      <c r="B105" s="8" t="s">
        <v>184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2" t="s">
        <v>388</v>
      </c>
      <c r="B108" s="8"/>
      <c r="C108" s="250">
        <f>'TAXREC 3 No True-up'!C73</f>
        <v>467490</v>
      </c>
      <c r="D108" s="250">
        <f>'TAXREC 3 No True-up'!D73</f>
        <v>0</v>
      </c>
      <c r="E108" s="268">
        <f t="shared" si="5"/>
        <v>467490</v>
      </c>
      <c r="F108" s="8"/>
      <c r="G108" s="45"/>
      <c r="H108" s="45"/>
      <c r="I108" s="45"/>
    </row>
    <row r="109" spans="1:9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</row>
    <row r="111" spans="1:9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160</v>
      </c>
      <c r="B113" s="8" t="s">
        <v>185</v>
      </c>
      <c r="C113" s="247">
        <f>SUM(C97:C111)</f>
        <v>6213071</v>
      </c>
      <c r="D113" s="247">
        <f>SUM(D97:D111)</f>
        <v>0</v>
      </c>
      <c r="E113" s="247">
        <f>SUM(E97:E111)</f>
        <v>6213071</v>
      </c>
      <c r="F113" s="8"/>
      <c r="G113" s="23"/>
      <c r="H113" s="45"/>
      <c r="I113" s="23"/>
    </row>
    <row r="114" spans="1:9" ht="12.75">
      <c r="A114" s="10" t="s">
        <v>202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2" t="s">
        <v>15</v>
      </c>
      <c r="B115" s="8" t="s">
        <v>184</v>
      </c>
      <c r="C115" s="290"/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 t="s">
        <v>218</v>
      </c>
      <c r="B116" s="8" t="s">
        <v>184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184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184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50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18</v>
      </c>
      <c r="B122" s="8" t="s">
        <v>185</v>
      </c>
      <c r="C122" s="247">
        <f>C113+C120</f>
        <v>6213071</v>
      </c>
      <c r="D122" s="247">
        <f>D113+D120</f>
        <v>0</v>
      </c>
      <c r="E122" s="247">
        <f>+E113+E120</f>
        <v>6213071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172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195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196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194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80</v>
      </c>
      <c r="B134" s="8" t="s">
        <v>185</v>
      </c>
      <c r="C134" s="247">
        <f>+C53+C82-C122</f>
        <v>-495771</v>
      </c>
      <c r="D134" s="247">
        <f>D53+D82-D122</f>
        <v>0</v>
      </c>
      <c r="E134" s="247">
        <f>E53+E82-E122</f>
        <v>-495771</v>
      </c>
      <c r="F134" s="8"/>
      <c r="G134" s="45"/>
      <c r="H134" s="45"/>
      <c r="I134" s="45"/>
    </row>
    <row r="135" spans="1:9" ht="12.75">
      <c r="A135" s="12" t="s">
        <v>45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368</v>
      </c>
      <c r="B136" s="8" t="s">
        <v>184</v>
      </c>
      <c r="C136" s="290"/>
      <c r="D136" s="290"/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369</v>
      </c>
      <c r="B137" s="8" t="s">
        <v>184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6"/>
      <c r="B138" s="8"/>
      <c r="C138" s="306"/>
      <c r="D138" s="306"/>
      <c r="E138" s="389">
        <f>C138-D138</f>
        <v>0</v>
      </c>
      <c r="F138" s="8"/>
      <c r="G138" s="45"/>
      <c r="H138" s="45"/>
      <c r="I138" s="45"/>
    </row>
    <row r="139" spans="1:9" ht="12.75">
      <c r="A139" s="46" t="s">
        <v>95</v>
      </c>
      <c r="B139" s="8" t="s">
        <v>185</v>
      </c>
      <c r="C139" s="248">
        <f>C134-C136-C137-C138</f>
        <v>-495771</v>
      </c>
      <c r="D139" s="248">
        <f>D134-D136-D137-D138</f>
        <v>0</v>
      </c>
      <c r="E139" s="248">
        <f>E134-E136-E137-E138</f>
        <v>-495771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298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317</v>
      </c>
      <c r="B142" s="8" t="s">
        <v>183</v>
      </c>
      <c r="C142" s="294">
        <v>0</v>
      </c>
      <c r="D142" s="294"/>
      <c r="E142" s="248">
        <f>C142-D142</f>
        <v>0</v>
      </c>
      <c r="F142" s="8"/>
      <c r="G142" s="45"/>
      <c r="H142" s="45"/>
      <c r="I142" s="45"/>
    </row>
    <row r="143" spans="1:9" ht="12.75">
      <c r="A143" s="46" t="s">
        <v>316</v>
      </c>
      <c r="B143" s="8" t="s">
        <v>183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</row>
    <row r="144" spans="1:9" ht="12.75">
      <c r="A144" s="46" t="s">
        <v>169</v>
      </c>
      <c r="B144" s="8" t="s">
        <v>185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</row>
    <row r="145" spans="1:9" ht="12.75">
      <c r="A145" s="46" t="s">
        <v>328</v>
      </c>
      <c r="B145" s="8" t="s">
        <v>184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97</v>
      </c>
      <c r="B146" s="8" t="s">
        <v>185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298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323</v>
      </c>
      <c r="B149" s="8"/>
      <c r="C149" s="400">
        <f>+'Tax Rates'!F50</f>
        <v>0.2612</v>
      </c>
      <c r="D149" s="5"/>
      <c r="E149" s="401">
        <f>C149</f>
        <v>0.2612</v>
      </c>
      <c r="F149" s="8"/>
      <c r="G149" s="45"/>
      <c r="H149" s="45"/>
      <c r="I149" s="45"/>
    </row>
    <row r="150" spans="1:9" ht="12.75">
      <c r="A150" s="46" t="s">
        <v>324</v>
      </c>
      <c r="B150" s="8"/>
      <c r="C150" s="400">
        <f>+'Tax Rates'!F51</f>
        <v>0.125</v>
      </c>
      <c r="D150" s="5"/>
      <c r="E150" s="401">
        <f>C150</f>
        <v>0.125</v>
      </c>
      <c r="F150" s="8"/>
      <c r="G150" s="45"/>
      <c r="H150" s="45"/>
      <c r="I150" s="45"/>
    </row>
    <row r="151" spans="1:9" ht="12.75">
      <c r="A151" t="s">
        <v>325</v>
      </c>
      <c r="B151" s="8"/>
      <c r="C151" s="401">
        <f>SUM(C149:C150)</f>
        <v>0.3862</v>
      </c>
      <c r="D151" s="471"/>
      <c r="E151" s="401">
        <f>SUM(E149:E150)</f>
        <v>0.3862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215</v>
      </c>
      <c r="B156" s="82" t="s">
        <v>183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19</v>
      </c>
      <c r="B157" s="82" t="s">
        <v>183</v>
      </c>
      <c r="C157" s="468">
        <v>137028</v>
      </c>
      <c r="D157" s="247"/>
      <c r="E157" s="247">
        <f>C157+D157</f>
        <v>137028</v>
      </c>
    </row>
    <row r="158" spans="1:5" ht="12.75">
      <c r="A158" t="s">
        <v>214</v>
      </c>
      <c r="B158" s="82" t="s">
        <v>183</v>
      </c>
      <c r="C158" s="468">
        <v>92304</v>
      </c>
      <c r="D158" s="247"/>
      <c r="E158" s="247">
        <f>C158+D158</f>
        <v>92304</v>
      </c>
    </row>
    <row r="159" ht="12.75">
      <c r="B159" s="8"/>
    </row>
    <row r="160" spans="1:5" ht="12.75">
      <c r="A160" s="2" t="s">
        <v>295</v>
      </c>
      <c r="B160" s="65" t="s">
        <v>185</v>
      </c>
      <c r="C160" s="247">
        <f>C156+C157+C158</f>
        <v>229332</v>
      </c>
      <c r="D160" s="247">
        <f>D156+D157+D158</f>
        <v>0</v>
      </c>
      <c r="E160" s="247">
        <f>E156+E157+E158</f>
        <v>229332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127</v>
      </c>
    </row>
    <row r="11" ht="12.75">
      <c r="A11" s="2"/>
    </row>
    <row r="12" spans="1:5" ht="12.75">
      <c r="A12" s="243" t="s">
        <v>265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273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274</v>
      </c>
      <c r="B15" s="60"/>
      <c r="C15" s="290"/>
      <c r="D15" s="290"/>
      <c r="E15" s="247">
        <f t="shared" si="0"/>
        <v>0</v>
      </c>
    </row>
    <row r="16" spans="1:5" ht="12.75">
      <c r="A16" s="60" t="s">
        <v>275</v>
      </c>
      <c r="B16" s="60"/>
      <c r="C16" s="290"/>
      <c r="D16" s="290"/>
      <c r="E16" s="247">
        <f t="shared" si="0"/>
        <v>0</v>
      </c>
    </row>
    <row r="17" spans="1:5" ht="12.75">
      <c r="A17" s="60" t="s">
        <v>276</v>
      </c>
      <c r="B17" s="60"/>
      <c r="C17" s="290"/>
      <c r="D17" s="290"/>
      <c r="E17" s="247">
        <f t="shared" si="0"/>
        <v>0</v>
      </c>
    </row>
    <row r="18" spans="1:5" ht="12.75">
      <c r="A18" s="60" t="s">
        <v>442</v>
      </c>
      <c r="B18" s="60"/>
      <c r="C18" s="290"/>
      <c r="D18" s="290"/>
      <c r="E18" s="247">
        <f t="shared" si="0"/>
        <v>0</v>
      </c>
    </row>
    <row r="19" spans="1:5" ht="12.75">
      <c r="A19" s="60" t="s">
        <v>442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264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273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274</v>
      </c>
      <c r="B27" s="60"/>
      <c r="C27" s="290"/>
      <c r="D27" s="290"/>
      <c r="E27" s="247">
        <f t="shared" si="1"/>
        <v>0</v>
      </c>
    </row>
    <row r="28" spans="1:5" ht="12.75">
      <c r="A28" s="60" t="s">
        <v>275</v>
      </c>
      <c r="B28" s="60"/>
      <c r="C28" s="290"/>
      <c r="D28" s="290"/>
      <c r="E28" s="247">
        <f t="shared" si="1"/>
        <v>0</v>
      </c>
    </row>
    <row r="29" spans="1:5" ht="12.75">
      <c r="A29" s="60" t="s">
        <v>276</v>
      </c>
      <c r="B29" s="60"/>
      <c r="C29" s="290"/>
      <c r="D29" s="290"/>
      <c r="E29" s="247">
        <f t="shared" si="1"/>
        <v>0</v>
      </c>
    </row>
    <row r="30" spans="1:5" ht="12.75">
      <c r="A30" s="60" t="s">
        <v>442</v>
      </c>
      <c r="B30" s="60"/>
      <c r="C30" s="290"/>
      <c r="D30" s="290"/>
      <c r="E30" s="247">
        <f t="shared" si="1"/>
        <v>0</v>
      </c>
    </row>
    <row r="31" spans="1:5" ht="12.75">
      <c r="A31" s="60" t="s">
        <v>442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129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265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259</v>
      </c>
      <c r="B43" s="60"/>
      <c r="C43" s="290"/>
      <c r="D43" s="290"/>
      <c r="E43" s="247">
        <f t="shared" si="2"/>
        <v>0</v>
      </c>
    </row>
    <row r="44" spans="1:5" ht="12.75">
      <c r="A44" s="60" t="s">
        <v>260</v>
      </c>
      <c r="B44" s="60"/>
      <c r="C44" s="290"/>
      <c r="D44" s="290"/>
      <c r="E44" s="247">
        <f t="shared" si="2"/>
        <v>0</v>
      </c>
    </row>
    <row r="45" spans="1:5" ht="12.75">
      <c r="A45" s="60" t="s">
        <v>261</v>
      </c>
      <c r="B45" s="60"/>
      <c r="C45" s="290"/>
      <c r="D45" s="290"/>
      <c r="E45" s="247">
        <f t="shared" si="2"/>
        <v>0</v>
      </c>
    </row>
    <row r="46" spans="1:5" ht="12.75">
      <c r="A46" s="60" t="s">
        <v>262</v>
      </c>
      <c r="B46" s="60"/>
      <c r="C46" s="290"/>
      <c r="D46" s="290"/>
      <c r="E46" s="247">
        <f t="shared" si="2"/>
        <v>0</v>
      </c>
    </row>
    <row r="47" spans="1:5" ht="12.75">
      <c r="A47" s="60" t="s">
        <v>442</v>
      </c>
      <c r="B47" s="60"/>
      <c r="C47" s="290"/>
      <c r="D47" s="290"/>
      <c r="E47" s="247">
        <f t="shared" si="2"/>
        <v>0</v>
      </c>
    </row>
    <row r="48" spans="1:5" ht="12.75">
      <c r="A48" s="60" t="s">
        <v>442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264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259</v>
      </c>
      <c r="B55" s="60"/>
      <c r="C55" s="290"/>
      <c r="D55" s="290"/>
      <c r="E55" s="247">
        <f t="shared" si="3"/>
        <v>0</v>
      </c>
    </row>
    <row r="56" spans="1:5" ht="12.75">
      <c r="A56" s="242" t="s">
        <v>260</v>
      </c>
      <c r="B56" s="60"/>
      <c r="C56" s="290"/>
      <c r="D56" s="290"/>
      <c r="E56" s="247">
        <f t="shared" si="3"/>
        <v>0</v>
      </c>
    </row>
    <row r="57" spans="1:5" ht="12.75">
      <c r="A57" s="242" t="s">
        <v>261</v>
      </c>
      <c r="B57" s="60"/>
      <c r="C57" s="290"/>
      <c r="D57" s="290"/>
      <c r="E57" s="247">
        <f t="shared" si="3"/>
        <v>0</v>
      </c>
    </row>
    <row r="58" spans="1:5" ht="12.75">
      <c r="A58" s="242" t="s">
        <v>262</v>
      </c>
      <c r="B58" s="60"/>
      <c r="C58" s="290"/>
      <c r="D58" s="290"/>
      <c r="E58" s="247">
        <f t="shared" si="3"/>
        <v>0</v>
      </c>
    </row>
    <row r="59" spans="1:5" ht="12.75">
      <c r="A59" s="60" t="s">
        <v>442</v>
      </c>
      <c r="B59" s="60"/>
      <c r="C59" s="290"/>
      <c r="D59" s="290"/>
      <c r="E59" s="247">
        <f t="shared" si="3"/>
        <v>0</v>
      </c>
    </row>
    <row r="60" spans="1:5" ht="12.75">
      <c r="A60" s="60" t="s">
        <v>442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129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7" sqref="A17"/>
    </sheetView>
  </sheetViews>
  <sheetFormatPr defaultColWidth="9.140625" defaultRowHeight="12.75"/>
  <cols>
    <col min="1" max="1" width="64.00390625" style="0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459</v>
      </c>
      <c r="B5" s="8"/>
      <c r="C5" s="8" t="s">
        <v>2</v>
      </c>
      <c r="D5" s="8"/>
      <c r="E5" s="8"/>
      <c r="F5" s="8"/>
    </row>
    <row r="6" spans="1:6" ht="12.75">
      <c r="A6" s="411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Bluewater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117</v>
      </c>
      <c r="B11" s="20"/>
      <c r="C11" s="268">
        <f>TAXREC!C13</f>
        <v>53086.90625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6"/>
      <c r="B17" t="s">
        <v>183</v>
      </c>
      <c r="C17" s="291"/>
      <c r="D17" s="291"/>
      <c r="E17" s="308">
        <f>C17-D17</f>
        <v>0</v>
      </c>
    </row>
    <row r="18" spans="1:5" ht="12.75">
      <c r="A18" s="66" t="s">
        <v>245</v>
      </c>
      <c r="B18" t="s">
        <v>183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132</v>
      </c>
      <c r="B19" t="s">
        <v>183</v>
      </c>
      <c r="C19" s="291"/>
      <c r="D19" s="291"/>
      <c r="E19" s="308">
        <f t="shared" si="0"/>
        <v>0</v>
      </c>
    </row>
    <row r="20" spans="1:5" ht="12.75">
      <c r="A20" s="66" t="s">
        <v>443</v>
      </c>
      <c r="B20" t="s">
        <v>183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/>
      <c r="B22" t="s">
        <v>183</v>
      </c>
      <c r="C22" s="291"/>
      <c r="D22" s="291"/>
      <c r="E22" s="308">
        <f t="shared" si="0"/>
        <v>0</v>
      </c>
    </row>
    <row r="23" spans="1:5" ht="12.75">
      <c r="A23" s="66" t="s">
        <v>134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135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187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122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136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137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246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138</v>
      </c>
      <c r="B32" t="s">
        <v>183</v>
      </c>
      <c r="C32" s="291"/>
      <c r="D32" s="291"/>
      <c r="E32" s="308">
        <f t="shared" si="0"/>
        <v>0</v>
      </c>
    </row>
    <row r="33" spans="1:5" ht="12.75">
      <c r="A33" s="66" t="s">
        <v>139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140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66" t="s">
        <v>189</v>
      </c>
      <c r="B35" t="s">
        <v>183</v>
      </c>
      <c r="C35" s="291"/>
      <c r="D35" s="291"/>
      <c r="E35" s="308">
        <f t="shared" si="0"/>
        <v>0</v>
      </c>
    </row>
    <row r="36" spans="1:5" ht="12.75">
      <c r="A36" s="66" t="s">
        <v>468</v>
      </c>
      <c r="B36" t="s">
        <v>183</v>
      </c>
      <c r="C36" s="291"/>
      <c r="D36" s="291"/>
      <c r="E36" s="308">
        <f t="shared" si="0"/>
        <v>0</v>
      </c>
    </row>
    <row r="37" spans="1:5" ht="12.75">
      <c r="A37" s="66"/>
      <c r="B37" t="s">
        <v>183</v>
      </c>
      <c r="C37" s="291"/>
      <c r="D37" s="291"/>
      <c r="E37" s="308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7" t="s">
        <v>200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475"/>
      <c r="B41" t="s">
        <v>183</v>
      </c>
      <c r="C41" s="290"/>
      <c r="D41" s="290">
        <f>+C41</f>
        <v>0</v>
      </c>
      <c r="E41" s="247">
        <f t="shared" si="0"/>
        <v>0</v>
      </c>
    </row>
    <row r="42" spans="1:5" ht="12.75">
      <c r="A42" s="475"/>
      <c r="B42" t="s">
        <v>183</v>
      </c>
      <c r="C42" s="290"/>
      <c r="D42" s="290">
        <f>+C42</f>
        <v>0</v>
      </c>
      <c r="E42" s="247">
        <f t="shared" si="0"/>
        <v>0</v>
      </c>
    </row>
    <row r="43" spans="1:5" ht="12.75">
      <c r="A43" s="66"/>
      <c r="B43" t="s">
        <v>183</v>
      </c>
      <c r="C43" s="290"/>
      <c r="D43" s="290"/>
      <c r="E43" s="247">
        <f t="shared" si="0"/>
        <v>0</v>
      </c>
    </row>
    <row r="44" spans="1:5" ht="12.75">
      <c r="A44" s="66"/>
      <c r="B44" t="s">
        <v>183</v>
      </c>
      <c r="C44" s="290"/>
      <c r="D44" s="290"/>
      <c r="E44" s="247">
        <f t="shared" si="0"/>
        <v>0</v>
      </c>
    </row>
    <row r="45" spans="1:5" ht="12.75">
      <c r="A45" s="66"/>
      <c r="B45" t="s">
        <v>183</v>
      </c>
      <c r="C45" s="290"/>
      <c r="D45" s="290"/>
      <c r="E45" s="275"/>
    </row>
    <row r="46" spans="1:5" ht="12.75">
      <c r="A46" s="69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6"/>
    </row>
    <row r="48" ht="12.75">
      <c r="A48" s="66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141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199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166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142</v>
      </c>
    </row>
    <row r="82" spans="1:5" ht="12.75">
      <c r="A82" s="66" t="s">
        <v>143</v>
      </c>
      <c r="B82" s="8" t="s">
        <v>184</v>
      </c>
      <c r="C82" s="290"/>
      <c r="D82" s="290"/>
      <c r="E82" s="247">
        <f>C82-D82</f>
        <v>0</v>
      </c>
    </row>
    <row r="83" spans="1:5" ht="12.75">
      <c r="A83" s="70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144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70" t="s">
        <v>247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6" t="s">
        <v>190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6" t="s">
        <v>370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6" t="s">
        <v>191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6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6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6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5" ht="12.75">
      <c r="A93" s="66"/>
      <c r="B93" s="8" t="s">
        <v>184</v>
      </c>
      <c r="C93" s="290"/>
      <c r="D93" s="290"/>
      <c r="E93" s="247">
        <f t="shared" si="5"/>
        <v>0</v>
      </c>
    </row>
    <row r="94" spans="1:5" ht="12.75">
      <c r="A94" s="66"/>
      <c r="B94" s="8" t="s">
        <v>184</v>
      </c>
      <c r="C94" s="290"/>
      <c r="D94" s="290"/>
      <c r="E94" s="247">
        <f t="shared" si="5"/>
        <v>0</v>
      </c>
    </row>
    <row r="95" spans="1:5" ht="12.75">
      <c r="A95" s="67" t="s">
        <v>201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475"/>
      <c r="B96" s="8" t="s">
        <v>184</v>
      </c>
      <c r="C96" s="290"/>
      <c r="D96" s="290">
        <f>+C96</f>
        <v>0</v>
      </c>
      <c r="E96" s="247">
        <f t="shared" si="5"/>
        <v>0</v>
      </c>
    </row>
    <row r="97" spans="1:5" ht="12.75">
      <c r="A97" s="66"/>
      <c r="B97" s="8" t="s">
        <v>184</v>
      </c>
      <c r="C97" s="290"/>
      <c r="D97" s="290"/>
      <c r="E97" s="247">
        <f t="shared" si="5"/>
        <v>0</v>
      </c>
    </row>
    <row r="98" spans="1:5" ht="12.75">
      <c r="A98" s="66"/>
      <c r="B98" s="8" t="s">
        <v>184</v>
      </c>
      <c r="C98" s="290"/>
      <c r="D98" s="290"/>
      <c r="E98" s="247">
        <f t="shared" si="5"/>
        <v>0</v>
      </c>
    </row>
    <row r="99" spans="1:5" ht="12.75">
      <c r="A99" s="66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198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197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9" sqref="A19"/>
    </sheetView>
  </sheetViews>
  <sheetFormatPr defaultColWidth="9.140625" defaultRowHeight="12.75"/>
  <cols>
    <col min="1" max="1" width="63.28125" style="0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378</v>
      </c>
      <c r="E3" s="88"/>
    </row>
    <row r="4" spans="1:6" ht="15.75">
      <c r="A4" s="459" t="s">
        <v>439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1" t="s">
        <v>379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Bluewater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6" t="s">
        <v>130</v>
      </c>
      <c r="B19" t="s">
        <v>183</v>
      </c>
      <c r="C19" s="291"/>
      <c r="D19" s="291"/>
      <c r="E19" s="308">
        <f aca="true" t="shared" si="0" ref="E19:E45">C19-D19</f>
        <v>0</v>
      </c>
    </row>
    <row r="20" spans="1:5" ht="12.75">
      <c r="A20" t="s">
        <v>381</v>
      </c>
      <c r="B20" t="s">
        <v>183</v>
      </c>
      <c r="C20" s="291"/>
      <c r="D20" s="291"/>
      <c r="E20" s="308">
        <f t="shared" si="0"/>
        <v>0</v>
      </c>
    </row>
    <row r="21" spans="1:5" ht="12.75">
      <c r="A21" t="s">
        <v>447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 t="s">
        <v>384</v>
      </c>
      <c r="B22" t="s">
        <v>183</v>
      </c>
      <c r="C22" s="291"/>
      <c r="D22" s="309"/>
      <c r="E22" s="308">
        <f t="shared" si="0"/>
        <v>0</v>
      </c>
    </row>
    <row r="23" spans="1:5" ht="12.75">
      <c r="A23" s="66" t="s">
        <v>385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448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123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131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431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383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133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382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188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426</v>
      </c>
      <c r="B32" t="s">
        <v>183</v>
      </c>
      <c r="C32" s="291">
        <v>15864</v>
      </c>
      <c r="D32" s="291"/>
      <c r="E32" s="308">
        <f t="shared" si="0"/>
        <v>15864</v>
      </c>
    </row>
    <row r="33" spans="1:5" ht="12.75">
      <c r="A33" s="66" t="s">
        <v>427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444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78" t="s">
        <v>445</v>
      </c>
      <c r="C35" s="291">
        <v>1710</v>
      </c>
      <c r="D35" s="291"/>
      <c r="E35" s="308">
        <f t="shared" si="0"/>
        <v>1710</v>
      </c>
    </row>
    <row r="36" spans="1:5" ht="12.75">
      <c r="A36" s="66" t="s">
        <v>428</v>
      </c>
      <c r="C36" s="291">
        <v>682</v>
      </c>
      <c r="D36" s="291"/>
      <c r="E36" s="308">
        <f t="shared" si="0"/>
        <v>682</v>
      </c>
    </row>
    <row r="37" spans="1:5" ht="12.75">
      <c r="A37" s="66" t="s">
        <v>429</v>
      </c>
      <c r="C37" s="291"/>
      <c r="D37" s="291"/>
      <c r="E37" s="308">
        <f t="shared" si="0"/>
        <v>0</v>
      </c>
    </row>
    <row r="38" spans="1:5" ht="12.75">
      <c r="A38" s="66" t="s">
        <v>451</v>
      </c>
      <c r="C38" s="291"/>
      <c r="D38" s="291"/>
      <c r="E38" s="308">
        <f t="shared" si="0"/>
        <v>0</v>
      </c>
    </row>
    <row r="39" spans="2:5" ht="12.75">
      <c r="B39" t="s">
        <v>183</v>
      </c>
      <c r="C39" s="291"/>
      <c r="D39" s="291"/>
      <c r="E39" s="308">
        <f t="shared" si="0"/>
        <v>0</v>
      </c>
    </row>
    <row r="40" spans="1:5" ht="12.75">
      <c r="A40" s="78" t="s">
        <v>386</v>
      </c>
      <c r="B40" t="s">
        <v>183</v>
      </c>
      <c r="C40" s="291">
        <v>137000</v>
      </c>
      <c r="D40" s="291"/>
      <c r="E40" s="308">
        <f t="shared" si="0"/>
        <v>137000</v>
      </c>
    </row>
    <row r="41" spans="1:5" ht="12.75">
      <c r="A41" s="78" t="s">
        <v>380</v>
      </c>
      <c r="B41" t="s">
        <v>183</v>
      </c>
      <c r="C41" s="291"/>
      <c r="D41" s="291"/>
      <c r="E41" s="308">
        <f t="shared" si="0"/>
        <v>0</v>
      </c>
    </row>
    <row r="42" spans="2:5" ht="12.75">
      <c r="B42" t="s">
        <v>183</v>
      </c>
      <c r="C42" s="291"/>
      <c r="D42" s="291"/>
      <c r="E42" s="308">
        <f t="shared" si="0"/>
        <v>0</v>
      </c>
    </row>
    <row r="43" spans="1:5" ht="12.75">
      <c r="A43" s="67" t="s">
        <v>200</v>
      </c>
      <c r="B43" t="s">
        <v>183</v>
      </c>
      <c r="C43" s="291"/>
      <c r="D43" s="291"/>
      <c r="E43" s="308">
        <f t="shared" si="0"/>
        <v>0</v>
      </c>
    </row>
    <row r="44" spans="1:5" ht="12.75">
      <c r="A44" s="475" t="s">
        <v>489</v>
      </c>
      <c r="B44" t="s">
        <v>183</v>
      </c>
      <c r="C44" s="290">
        <v>60500</v>
      </c>
      <c r="D44" s="290"/>
      <c r="E44" s="247">
        <f t="shared" si="0"/>
        <v>60500</v>
      </c>
    </row>
    <row r="45" spans="1:5" ht="12.75" customHeight="1">
      <c r="A45" s="475" t="s">
        <v>492</v>
      </c>
      <c r="B45" t="s">
        <v>183</v>
      </c>
      <c r="C45" s="290">
        <v>261402</v>
      </c>
      <c r="D45" s="290"/>
      <c r="E45" s="247">
        <f t="shared" si="0"/>
        <v>261402</v>
      </c>
    </row>
    <row r="46" spans="1:5" ht="12.75">
      <c r="A46" s="475" t="s">
        <v>490</v>
      </c>
      <c r="B46" t="s">
        <v>183</v>
      </c>
      <c r="C46" s="290">
        <v>150131</v>
      </c>
      <c r="D46" s="290"/>
      <c r="E46" s="275"/>
    </row>
    <row r="47" spans="1:5" ht="12.75">
      <c r="A47" s="444" t="s">
        <v>390</v>
      </c>
      <c r="B47" t="s">
        <v>185</v>
      </c>
      <c r="C47" s="247">
        <f>SUM(C19:C46)</f>
        <v>627289</v>
      </c>
      <c r="D47" s="247">
        <f>SUM(D19:D46)</f>
        <v>0</v>
      </c>
      <c r="E47" s="247">
        <f>SUM(E19:E46)</f>
        <v>477158</v>
      </c>
    </row>
    <row r="48" ht="12.75">
      <c r="A48" s="66"/>
    </row>
    <row r="49" ht="12.75">
      <c r="A49" s="78" t="s">
        <v>142</v>
      </c>
    </row>
    <row r="51" spans="1:5" ht="12.75">
      <c r="A51" s="70" t="s">
        <v>381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447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382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430</v>
      </c>
      <c r="B54" s="8" t="s">
        <v>184</v>
      </c>
      <c r="C54" s="290"/>
      <c r="D54" s="290"/>
      <c r="E54" s="247">
        <f t="shared" si="1"/>
        <v>0</v>
      </c>
    </row>
    <row r="55" spans="1:5" ht="12.75">
      <c r="A55" s="66" t="s">
        <v>438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6" t="s">
        <v>450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446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6" t="s">
        <v>449</v>
      </c>
      <c r="B58" s="8" t="s">
        <v>184</v>
      </c>
      <c r="C58" s="290"/>
      <c r="D58" s="290"/>
      <c r="E58" s="247">
        <f t="shared" si="1"/>
        <v>0</v>
      </c>
    </row>
    <row r="59" spans="1:5" ht="12.75">
      <c r="A59" s="66"/>
      <c r="B59" s="8" t="s">
        <v>184</v>
      </c>
      <c r="C59" s="290"/>
      <c r="D59" s="290"/>
      <c r="E59" s="247">
        <f t="shared" si="1"/>
        <v>0</v>
      </c>
    </row>
    <row r="60" spans="2:5" ht="12.75">
      <c r="B60" s="8" t="s">
        <v>184</v>
      </c>
      <c r="C60" s="290"/>
      <c r="D60" s="290"/>
      <c r="E60" s="247">
        <f t="shared" si="1"/>
        <v>0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63" t="s">
        <v>387</v>
      </c>
      <c r="B64" s="8" t="s">
        <v>184</v>
      </c>
      <c r="C64" s="290">
        <v>137028</v>
      </c>
      <c r="D64" s="290"/>
      <c r="E64" s="247">
        <f t="shared" si="2"/>
        <v>137028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63" t="s">
        <v>380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6"/>
      <c r="B67" s="8" t="s">
        <v>184</v>
      </c>
      <c r="C67" s="290"/>
      <c r="D67" s="290"/>
      <c r="E67" s="247">
        <f t="shared" si="2"/>
        <v>0</v>
      </c>
    </row>
    <row r="68" spans="1:5" ht="12.75">
      <c r="A68" s="67" t="s">
        <v>201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475" t="s">
        <v>493</v>
      </c>
      <c r="B69" s="8" t="s">
        <v>184</v>
      </c>
      <c r="C69" s="290">
        <v>330462</v>
      </c>
      <c r="D69" s="290"/>
      <c r="E69" s="247">
        <f t="shared" si="2"/>
        <v>330462</v>
      </c>
    </row>
    <row r="70" spans="1:5" ht="12.75">
      <c r="A70" s="66"/>
      <c r="B70" s="8" t="s">
        <v>184</v>
      </c>
      <c r="C70" s="290"/>
      <c r="D70" s="290"/>
      <c r="E70" s="247">
        <f t="shared" si="2"/>
        <v>0</v>
      </c>
    </row>
    <row r="71" spans="1:5" ht="12.75">
      <c r="A71" s="66"/>
      <c r="B71" s="8" t="s">
        <v>184</v>
      </c>
      <c r="C71" s="290"/>
      <c r="D71" s="290"/>
      <c r="E71" s="247">
        <f t="shared" si="2"/>
        <v>0</v>
      </c>
    </row>
    <row r="72" spans="1:5" ht="12.75">
      <c r="A72" s="66"/>
      <c r="B72" s="8" t="s">
        <v>184</v>
      </c>
      <c r="C72" s="290"/>
      <c r="D72" s="290"/>
      <c r="E72" s="275">
        <f t="shared" si="2"/>
        <v>0</v>
      </c>
    </row>
    <row r="73" spans="1:5" ht="12.75">
      <c r="A73" s="443" t="s">
        <v>389</v>
      </c>
      <c r="B73" s="8" t="s">
        <v>185</v>
      </c>
      <c r="C73" s="247">
        <f>SUM(C51:C72)</f>
        <v>467490</v>
      </c>
      <c r="D73" s="247">
        <f>SUM(D51:D72)</f>
        <v>0</v>
      </c>
      <c r="E73" s="247">
        <f>SUM(E51:E72)</f>
        <v>467490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7">
      <selection activeCell="F51" sqref="F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1.8515625" style="8" customWidth="1"/>
    <col min="6" max="6" width="12.57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105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299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Bluewater Power Distribution Corporation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2002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6" t="s">
        <v>331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1" t="s">
        <v>476</v>
      </c>
      <c r="B8" s="492"/>
      <c r="C8" s="492"/>
      <c r="D8" s="492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110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461</v>
      </c>
      <c r="B10" s="322"/>
      <c r="C10" s="371" t="s">
        <v>109</v>
      </c>
      <c r="D10" s="371"/>
      <c r="E10" s="371" t="s">
        <v>109</v>
      </c>
      <c r="F10" s="372" t="s">
        <v>477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114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106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292</v>
      </c>
      <c r="B13" s="405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291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296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252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107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108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111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326</v>
      </c>
      <c r="B21" s="402" t="s">
        <v>463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327</v>
      </c>
      <c r="B22" s="403" t="s">
        <v>464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5" t="s">
        <v>478</v>
      </c>
      <c r="B23" s="486"/>
      <c r="C23" s="486"/>
      <c r="D23" s="486"/>
      <c r="E23" s="486"/>
      <c r="F23" s="486"/>
      <c r="G23" s="433"/>
      <c r="H23" s="41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7"/>
      <c r="B24" s="408"/>
      <c r="C24" s="408"/>
      <c r="D24" s="408"/>
      <c r="E24" s="408"/>
      <c r="F24" s="408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6" t="s">
        <v>332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3" t="s">
        <v>472</v>
      </c>
      <c r="B26" s="494"/>
      <c r="C26" s="494"/>
      <c r="D26" s="494"/>
      <c r="E26" s="494"/>
      <c r="F26" s="494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110</v>
      </c>
      <c r="B27" s="321"/>
      <c r="C27" s="363">
        <v>0</v>
      </c>
      <c r="D27" s="363"/>
      <c r="E27" s="363">
        <v>200001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434</v>
      </c>
      <c r="B28" s="322"/>
      <c r="C28" s="365" t="s">
        <v>109</v>
      </c>
      <c r="D28" s="365"/>
      <c r="E28" s="365" t="s">
        <v>109</v>
      </c>
      <c r="F28" s="366" t="s">
        <v>477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114</v>
      </c>
      <c r="C29" s="367">
        <v>200000</v>
      </c>
      <c r="D29" s="367"/>
      <c r="E29" s="367">
        <v>700000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106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113</v>
      </c>
      <c r="B31" s="405">
        <v>2002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291</v>
      </c>
      <c r="B32" s="405">
        <v>2002</v>
      </c>
      <c r="C32" s="323">
        <v>0.1312</v>
      </c>
      <c r="D32" s="323"/>
      <c r="E32" s="324">
        <v>0.2612</v>
      </c>
      <c r="F32" s="324">
        <v>0.2612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28</v>
      </c>
      <c r="B33" s="405">
        <v>2002</v>
      </c>
      <c r="C33" s="325">
        <v>0.06</v>
      </c>
      <c r="D33" s="325"/>
      <c r="E33" s="326">
        <v>0.06</v>
      </c>
      <c r="F33" s="326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252</v>
      </c>
      <c r="B34" s="405">
        <v>2002</v>
      </c>
      <c r="C34" s="327">
        <f>SUM(C32:C33)</f>
        <v>0.1912</v>
      </c>
      <c r="D34" s="327"/>
      <c r="E34" s="328">
        <f>SUM(E32:E33)</f>
        <v>0.3212</v>
      </c>
      <c r="F34" s="328">
        <f>SUM(F32:F33)</f>
        <v>0.3862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107</v>
      </c>
      <c r="B36" s="405">
        <v>2002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108</v>
      </c>
      <c r="B37" s="405">
        <v>2002</v>
      </c>
      <c r="C37" s="330">
        <v>0.00225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111</v>
      </c>
      <c r="B38" s="405">
        <v>2002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469</v>
      </c>
      <c r="B39" s="402" t="s">
        <v>463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470</v>
      </c>
      <c r="B40" s="403" t="s">
        <v>464</v>
      </c>
      <c r="C40" s="358">
        <v>10000000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87" t="s">
        <v>329</v>
      </c>
      <c r="B41" s="486"/>
      <c r="C41" s="486"/>
      <c r="D41" s="486"/>
      <c r="E41" s="486"/>
      <c r="F41" s="486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88"/>
      <c r="B42" s="488"/>
      <c r="C42" s="488"/>
      <c r="D42" s="488"/>
      <c r="E42" s="488"/>
      <c r="F42" s="488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6" t="s">
        <v>333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4" t="s">
        <v>471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110</v>
      </c>
      <c r="B45" s="321"/>
      <c r="C45" s="363">
        <v>0</v>
      </c>
      <c r="D45" s="363"/>
      <c r="E45" s="363">
        <v>200001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109</v>
      </c>
      <c r="D46" s="365"/>
      <c r="E46" s="365" t="s">
        <v>109</v>
      </c>
      <c r="F46" s="366" t="s">
        <v>477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114</v>
      </c>
      <c r="C47" s="367">
        <v>200000</v>
      </c>
      <c r="D47" s="367"/>
      <c r="E47" s="367">
        <v>700000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106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113</v>
      </c>
      <c r="B49" s="405">
        <v>2002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291</v>
      </c>
      <c r="B50" s="241"/>
      <c r="C50" s="347">
        <v>0.1312</v>
      </c>
      <c r="D50" s="347"/>
      <c r="E50" s="348">
        <v>0.2612</v>
      </c>
      <c r="F50" s="348">
        <v>0.2612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28</v>
      </c>
      <c r="B51" s="241"/>
      <c r="C51" s="349">
        <v>0.06</v>
      </c>
      <c r="D51" s="349"/>
      <c r="E51" s="350">
        <v>0.06</v>
      </c>
      <c r="F51" s="350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252</v>
      </c>
      <c r="B52" s="241"/>
      <c r="C52" s="327">
        <f>SUM(C50:C51)</f>
        <v>0.1912</v>
      </c>
      <c r="D52" s="327"/>
      <c r="E52" s="328">
        <f>SUM(E50:E51)</f>
        <v>0.3212</v>
      </c>
      <c r="F52" s="328">
        <f>SUM(F50:F51)</f>
        <v>0.3862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107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108</v>
      </c>
      <c r="B55" s="234"/>
      <c r="C55" s="352">
        <v>0.00225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111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344</v>
      </c>
      <c r="B57" s="402" t="s">
        <v>463</v>
      </c>
      <c r="C57" s="357">
        <v>4994155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345</v>
      </c>
      <c r="B58" s="403" t="s">
        <v>464</v>
      </c>
      <c r="C58" s="358">
        <v>9990500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5" t="s">
        <v>346</v>
      </c>
      <c r="B59" s="489"/>
      <c r="C59" s="489"/>
      <c r="D59" s="489"/>
      <c r="E59" s="489"/>
      <c r="F59" s="489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0"/>
      <c r="B60" s="490"/>
      <c r="C60" s="490"/>
      <c r="D60" s="490"/>
      <c r="E60" s="490"/>
      <c r="F60" s="490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75" zoomScaleNormal="75" zoomScalePageLayoutView="0" workbookViewId="0" topLeftCell="A1">
      <pane ySplit="9" topLeftCell="A1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 Bluewater Power Distribution Corporation</v>
      </c>
      <c r="O3" s="412" t="str">
        <f>REGINFO!E1</f>
        <v>Version 2009.1</v>
      </c>
    </row>
    <row r="4" spans="1:15" ht="12.75">
      <c r="A4" s="2" t="str">
        <f>REGINFO!A4</f>
        <v>Reporting period:  2002</v>
      </c>
      <c r="E4" s="413" t="s">
        <v>315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93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94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102</v>
      </c>
    </row>
    <row r="10" spans="1:8" ht="12.75">
      <c r="A10" s="2"/>
      <c r="F10" s="34"/>
      <c r="H10" s="34"/>
    </row>
    <row r="11" spans="1:15" ht="20.25" customHeight="1">
      <c r="A11" s="78" t="s">
        <v>103</v>
      </c>
      <c r="B11" s="8" t="s">
        <v>185</v>
      </c>
      <c r="C11" s="390">
        <v>0</v>
      </c>
      <c r="D11" s="386"/>
      <c r="E11" s="392">
        <f>C22</f>
        <v>484257</v>
      </c>
      <c r="F11" s="415"/>
      <c r="G11" s="392">
        <f>E22</f>
        <v>294383.6376937991</v>
      </c>
      <c r="H11" s="415"/>
      <c r="I11" s="392">
        <f>G22</f>
        <v>82361.65404379903</v>
      </c>
      <c r="J11" s="386"/>
      <c r="K11" s="392">
        <f>I22</f>
        <v>36752.90404379903</v>
      </c>
      <c r="L11" s="386"/>
      <c r="M11" s="392">
        <f>K22</f>
        <v>-71115.09595620097</v>
      </c>
      <c r="N11" s="386"/>
      <c r="O11" s="392">
        <f>C11</f>
        <v>0</v>
      </c>
    </row>
    <row r="12" spans="1:15" ht="44.25" customHeight="1">
      <c r="A12" s="78" t="s">
        <v>391</v>
      </c>
      <c r="B12" s="65" t="s">
        <v>186</v>
      </c>
      <c r="C12" s="391">
        <f>484257</f>
        <v>484257</v>
      </c>
      <c r="D12" s="387"/>
      <c r="E12" s="391">
        <f>1460209</f>
        <v>1460209</v>
      </c>
      <c r="F12" s="91"/>
      <c r="G12" s="414">
        <f>C12+E12</f>
        <v>1944466</v>
      </c>
      <c r="H12" s="91"/>
      <c r="I12" s="414">
        <f>(E12/12*9)+(G12/12*3)</f>
        <v>1581273.25</v>
      </c>
      <c r="J12" s="387"/>
      <c r="K12" s="414">
        <f>E12/12*3</f>
        <v>365052.25</v>
      </c>
      <c r="L12" s="387"/>
      <c r="M12" s="414">
        <f>(K13/9*12)/12*4</f>
        <v>435061.6666666667</v>
      </c>
      <c r="N12" s="387"/>
      <c r="O12" s="392">
        <f aca="true" t="shared" si="0" ref="O12:O20">SUM(C12:N12)</f>
        <v>6270319.166666667</v>
      </c>
    </row>
    <row r="13" spans="1:15" ht="42" customHeight="1">
      <c r="A13" s="78" t="s">
        <v>433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>
        <f>1305185/12*9</f>
        <v>978888.75</v>
      </c>
      <c r="L13" s="387"/>
      <c r="M13" s="414"/>
      <c r="N13" s="387"/>
      <c r="O13" s="392">
        <f t="shared" si="0"/>
        <v>978888.75</v>
      </c>
    </row>
    <row r="14" spans="1:15" ht="41.25" customHeight="1">
      <c r="A14" s="78" t="s">
        <v>392</v>
      </c>
      <c r="B14" s="65" t="s">
        <v>186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40.5" customHeight="1">
      <c r="A15" s="78" t="s">
        <v>393</v>
      </c>
      <c r="B15" s="65" t="s">
        <v>186</v>
      </c>
      <c r="C15" s="391"/>
      <c r="D15" s="387"/>
      <c r="E15" s="414">
        <v>-17095</v>
      </c>
      <c r="F15" s="91"/>
      <c r="G15" s="414">
        <f>TAXCALC!E132</f>
        <v>-181270.98365</v>
      </c>
      <c r="H15" s="91"/>
      <c r="I15" s="391"/>
      <c r="J15" s="387"/>
      <c r="K15" s="391"/>
      <c r="L15" s="387"/>
      <c r="M15" s="391"/>
      <c r="N15" s="387"/>
      <c r="O15" s="392">
        <f t="shared" si="0"/>
        <v>-198365.98365</v>
      </c>
    </row>
    <row r="16" spans="1:15" ht="45" customHeight="1">
      <c r="A16" s="78" t="s">
        <v>394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44.25" customHeight="1">
      <c r="A17" s="78" t="s">
        <v>395</v>
      </c>
      <c r="B17" s="65" t="s">
        <v>186</v>
      </c>
      <c r="C17" s="391"/>
      <c r="D17" s="387"/>
      <c r="E17" s="414">
        <v>-51303</v>
      </c>
      <c r="F17" s="91"/>
      <c r="G17" s="414">
        <f>TAXCALC!E181</f>
        <v>0</v>
      </c>
      <c r="H17" s="91"/>
      <c r="I17" s="391"/>
      <c r="J17" s="387"/>
      <c r="K17" s="391"/>
      <c r="L17" s="387"/>
      <c r="M17" s="391"/>
      <c r="N17" s="387"/>
      <c r="O17" s="392">
        <f t="shared" si="0"/>
        <v>-51303</v>
      </c>
    </row>
    <row r="18" spans="1:15" ht="42" customHeight="1">
      <c r="A18" s="78" t="s">
        <v>396</v>
      </c>
      <c r="B18" s="65" t="s">
        <v>186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7" t="s">
        <v>397</v>
      </c>
      <c r="B19" s="65" t="s">
        <v>186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462</v>
      </c>
      <c r="B20" s="65" t="s">
        <v>184</v>
      </c>
      <c r="C20" s="414">
        <v>0</v>
      </c>
      <c r="D20" s="387"/>
      <c r="E20" s="391">
        <v>-1581684.362306201</v>
      </c>
      <c r="F20" s="91"/>
      <c r="G20" s="391">
        <v>-1975217</v>
      </c>
      <c r="H20" s="91"/>
      <c r="I20" s="391">
        <v>-1626882</v>
      </c>
      <c r="J20" s="387"/>
      <c r="K20" s="391">
        <v>-1451809</v>
      </c>
      <c r="L20" s="387"/>
      <c r="M20" s="391">
        <v>-636075.0659000002</v>
      </c>
      <c r="N20" s="387"/>
      <c r="O20" s="392">
        <f t="shared" si="0"/>
        <v>-7271667.428206201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367</v>
      </c>
      <c r="B22" s="34"/>
      <c r="C22" s="393">
        <f>SUM(C11:C20)</f>
        <v>484257</v>
      </c>
      <c r="D22" s="415"/>
      <c r="E22" s="393">
        <f>SUM(E11:E20)</f>
        <v>294383.6376937991</v>
      </c>
      <c r="F22" s="415"/>
      <c r="G22" s="393">
        <f>SUM(G11:G20)</f>
        <v>82361.65404379903</v>
      </c>
      <c r="H22" s="415"/>
      <c r="I22" s="393">
        <f>SUM(I11:I20)</f>
        <v>36752.90404379903</v>
      </c>
      <c r="J22" s="386"/>
      <c r="K22" s="393">
        <f>SUM(K11:K20)</f>
        <v>-71115.09595620097</v>
      </c>
      <c r="L22" s="386"/>
      <c r="M22" s="393">
        <f>SUM(M11:M21)</f>
        <v>-272128.49518953444</v>
      </c>
      <c r="N22" s="386"/>
      <c r="O22" s="445">
        <f>SUM(O11:O20)</f>
        <v>-272128.49518953357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4"/>
      <c r="M23" s="437"/>
      <c r="N23" s="184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398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4"/>
      <c r="M27" s="184"/>
      <c r="N27" s="184"/>
      <c r="O27" s="184"/>
    </row>
    <row r="28" spans="1:15" ht="12.75">
      <c r="A28" s="428" t="s">
        <v>399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4"/>
      <c r="M28" s="184"/>
      <c r="N28" s="184"/>
      <c r="O28" s="184"/>
    </row>
    <row r="29" spans="1:15" ht="12.75">
      <c r="A29" s="431" t="s">
        <v>400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4"/>
      <c r="M29" s="184"/>
      <c r="N29" s="184"/>
      <c r="O29" s="184"/>
    </row>
    <row r="30" spans="1:15" ht="9" customHeight="1">
      <c r="A30" s="184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4"/>
      <c r="M30" s="184"/>
      <c r="N30" s="184"/>
      <c r="O30" s="184"/>
    </row>
    <row r="31" spans="1:15" ht="12.75">
      <c r="A31" s="446" t="s">
        <v>401</v>
      </c>
      <c r="B31" s="77"/>
      <c r="C31" s="77"/>
      <c r="D31" s="77"/>
      <c r="E31" s="77"/>
      <c r="F31" s="77"/>
      <c r="G31" s="77"/>
      <c r="H31" s="77"/>
      <c r="I31" s="442"/>
      <c r="J31" s="442"/>
      <c r="K31" s="442"/>
      <c r="L31" s="476" t="s">
        <v>484</v>
      </c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496" t="s">
        <v>402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16"/>
      <c r="Q33" s="416"/>
      <c r="R33" s="416"/>
      <c r="S33" s="416"/>
    </row>
    <row r="34" spans="1:19" ht="12.75">
      <c r="A34" s="495" t="s">
        <v>403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16"/>
      <c r="Q34" s="416"/>
      <c r="R34" s="416"/>
      <c r="S34" s="416"/>
    </row>
    <row r="35" spans="1:19" ht="12.75">
      <c r="A35" s="495" t="s">
        <v>424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16"/>
      <c r="Q35" s="416"/>
      <c r="R35" s="416"/>
      <c r="S35" s="416"/>
    </row>
    <row r="36" spans="1:19" ht="12.75">
      <c r="A36" s="495" t="s">
        <v>404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16"/>
      <c r="Q36" s="416"/>
      <c r="R36" s="416"/>
      <c r="S36" s="416"/>
    </row>
    <row r="37" spans="1:19" ht="12.75">
      <c r="A37" s="432" t="s">
        <v>364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16"/>
      <c r="Q37" s="416"/>
      <c r="R37" s="416"/>
      <c r="S37" s="416"/>
    </row>
    <row r="38" spans="1:19" ht="12.75">
      <c r="A38" s="432" t="s">
        <v>365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16"/>
      <c r="Q38" s="416"/>
      <c r="R38" s="416"/>
      <c r="S38" s="416"/>
    </row>
    <row r="39" spans="1:19" ht="12.75">
      <c r="A39" s="432" t="s">
        <v>405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16"/>
      <c r="Q39" s="416"/>
      <c r="R39" s="416"/>
      <c r="S39" s="416"/>
    </row>
    <row r="40" spans="1:19" ht="12.75">
      <c r="A40" s="432" t="s">
        <v>406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16"/>
      <c r="Q40" s="416"/>
      <c r="R40" s="416"/>
      <c r="S40" s="416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16"/>
      <c r="Q41" s="416"/>
      <c r="R41" s="416"/>
      <c r="S41" s="416"/>
    </row>
    <row r="42" spans="1:15" ht="12.75">
      <c r="A42" s="434" t="s">
        <v>407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4"/>
      <c r="M42" s="184"/>
      <c r="N42" s="184"/>
      <c r="O42" s="184"/>
    </row>
    <row r="43" spans="1:15" ht="12.75">
      <c r="A43" s="429" t="s">
        <v>408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4"/>
      <c r="M43" s="184"/>
      <c r="N43" s="184"/>
      <c r="O43" s="184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4"/>
      <c r="M44" s="184"/>
      <c r="N44" s="184"/>
      <c r="O44" s="184"/>
    </row>
    <row r="45" spans="1:15" ht="12.75">
      <c r="A45" s="434" t="s">
        <v>409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4"/>
      <c r="M45" s="184"/>
      <c r="N45" s="184"/>
      <c r="O45" s="184"/>
    </row>
    <row r="46" spans="1:15" ht="12.75">
      <c r="A46" s="429" t="s">
        <v>410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4"/>
      <c r="M46" s="184"/>
      <c r="N46" s="184"/>
      <c r="O46" s="184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4"/>
      <c r="M47" s="184"/>
      <c r="N47" s="184"/>
      <c r="O47" s="184"/>
    </row>
    <row r="48" spans="1:15" ht="12.75">
      <c r="A48" s="434" t="s">
        <v>411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4"/>
      <c r="M48" s="184"/>
      <c r="N48" s="184"/>
      <c r="O48" s="184"/>
    </row>
    <row r="49" spans="1:15" ht="12.75">
      <c r="A49" s="429" t="s">
        <v>412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4"/>
      <c r="M49" s="184"/>
      <c r="N49" s="184"/>
      <c r="O49" s="184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4"/>
      <c r="M50" s="184"/>
      <c r="N50" s="184"/>
      <c r="O50" s="184"/>
    </row>
    <row r="51" spans="1:15" ht="12.75">
      <c r="A51" s="434" t="s">
        <v>413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4"/>
      <c r="M51" s="184"/>
      <c r="N51" s="184"/>
      <c r="O51" s="184"/>
    </row>
    <row r="52" spans="1:15" ht="12.75">
      <c r="A52" s="429" t="s">
        <v>410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4"/>
      <c r="M52" s="184"/>
      <c r="N52" s="184"/>
      <c r="O52" s="184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4"/>
      <c r="M53" s="184"/>
      <c r="N53" s="184"/>
      <c r="O53" s="184"/>
    </row>
    <row r="54" spans="1:15" ht="12.75">
      <c r="A54" s="429" t="s">
        <v>414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4"/>
      <c r="M54" s="184"/>
      <c r="N54" s="184"/>
      <c r="O54" s="184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4"/>
      <c r="M55" s="184"/>
      <c r="N55" s="184"/>
      <c r="O55" s="184"/>
    </row>
    <row r="56" spans="1:15" ht="12.75" customHeight="1">
      <c r="A56" s="434" t="s">
        <v>415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4"/>
      <c r="M56" s="184"/>
      <c r="N56" s="184"/>
      <c r="O56" s="184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4"/>
      <c r="M57" s="184"/>
      <c r="N57" s="184"/>
      <c r="O57" s="184"/>
    </row>
    <row r="58" spans="1:15" ht="12.75">
      <c r="A58" s="429" t="s">
        <v>416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4"/>
      <c r="M58" s="184"/>
      <c r="N58" s="184"/>
      <c r="O58" s="184"/>
    </row>
    <row r="59" spans="1:15" ht="12.75">
      <c r="A59" s="429" t="s">
        <v>417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4"/>
      <c r="M59" s="184"/>
      <c r="N59" s="184"/>
      <c r="O59" s="184"/>
    </row>
    <row r="60" spans="1:15" ht="12.75">
      <c r="A60" s="429" t="s">
        <v>418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4"/>
      <c r="M60" s="184"/>
      <c r="N60" s="184"/>
      <c r="O60" s="184"/>
    </row>
    <row r="61" spans="1:15" ht="12.75">
      <c r="A61" s="429" t="s">
        <v>374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4"/>
      <c r="M61" s="184"/>
      <c r="N61" s="184"/>
      <c r="O61" s="184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4"/>
      <c r="M62" s="184"/>
      <c r="N62" s="184"/>
      <c r="O62" s="184"/>
    </row>
    <row r="63" spans="1:15" ht="12.75">
      <c r="A63" s="429" t="s">
        <v>419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4"/>
      <c r="M63" s="184"/>
      <c r="N63" s="184"/>
      <c r="O63" s="184"/>
    </row>
    <row r="64" spans="1:15" ht="12.75">
      <c r="A64" s="429" t="s">
        <v>420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4"/>
      <c r="M64" s="184"/>
      <c r="N64" s="184"/>
      <c r="O64" s="184"/>
    </row>
    <row r="65" spans="1:15" ht="12.75">
      <c r="A65" s="429" t="s">
        <v>376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4"/>
      <c r="M65" s="184"/>
      <c r="N65" s="184"/>
      <c r="O65" s="184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4"/>
      <c r="M66" s="184"/>
      <c r="N66" s="184"/>
      <c r="O66" s="184"/>
    </row>
    <row r="67" spans="1:15" ht="12.75">
      <c r="A67" s="429" t="s">
        <v>375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4"/>
      <c r="M67" s="184"/>
      <c r="N67" s="184"/>
      <c r="O67" s="184"/>
    </row>
    <row r="68" spans="1:15" ht="12.75">
      <c r="A68" s="429" t="s">
        <v>377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4"/>
      <c r="M68" s="184"/>
      <c r="N68" s="184"/>
      <c r="O68" s="184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4"/>
      <c r="M69" s="184"/>
      <c r="N69" s="184"/>
      <c r="O69" s="184"/>
    </row>
    <row r="70" spans="1:15" ht="12.75">
      <c r="A70" s="429" t="s">
        <v>421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4"/>
      <c r="M70" s="184"/>
      <c r="N70" s="184"/>
      <c r="O70" s="184"/>
    </row>
    <row r="71" spans="1:15" ht="12.75">
      <c r="A71" s="429" t="s">
        <v>422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4"/>
      <c r="M71" s="184"/>
      <c r="N71" s="184"/>
      <c r="O71" s="184"/>
    </row>
    <row r="72" spans="1:15" ht="12.75">
      <c r="A72" s="429" t="s">
        <v>423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4"/>
      <c r="M72" s="184"/>
      <c r="N72" s="184"/>
      <c r="O72" s="184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4"/>
      <c r="M73" s="184"/>
      <c r="N73" s="184"/>
      <c r="O73" s="184"/>
    </row>
    <row r="74" spans="1:15" ht="12.75" customHeight="1">
      <c r="A74" s="495" t="s">
        <v>453</v>
      </c>
      <c r="B74" s="495"/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1:15" ht="12.75">
      <c r="A75" s="429" t="s">
        <v>366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4"/>
      <c r="M75" s="184"/>
      <c r="N75" s="184"/>
      <c r="O75" s="184"/>
    </row>
    <row r="76" spans="1:15" ht="12.75">
      <c r="A76" s="184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4"/>
      <c r="M76" s="184"/>
      <c r="N76" s="184"/>
      <c r="O76" s="184"/>
    </row>
    <row r="77" spans="1:15" ht="12.75">
      <c r="A77" s="184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4"/>
      <c r="M77" s="184"/>
      <c r="N77" s="184"/>
      <c r="O77" s="184"/>
    </row>
    <row r="78" spans="1:17" ht="12.75">
      <c r="A78" s="184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4"/>
      <c r="O78" s="184"/>
      <c r="P78" s="184"/>
      <c r="Q78" s="184"/>
    </row>
    <row r="79" spans="1:17" ht="12.75">
      <c r="A79" s="184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4"/>
      <c r="O79" s="184"/>
      <c r="P79" s="184"/>
      <c r="Q79" s="184"/>
    </row>
    <row r="80" spans="1:17" ht="12.75">
      <c r="A80" s="184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4"/>
      <c r="O80" s="184"/>
      <c r="P80" s="184"/>
      <c r="Q80" s="184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4"/>
      <c r="O81" s="184"/>
      <c r="P81" s="184"/>
      <c r="Q81" s="184"/>
    </row>
    <row r="82" spans="1:17" ht="12.75">
      <c r="A82" s="184"/>
      <c r="B82" s="184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4"/>
      <c r="O82" s="184"/>
      <c r="P82" s="184"/>
      <c r="Q82" s="184"/>
    </row>
    <row r="83" spans="1:17" ht="12.75">
      <c r="A83" s="184"/>
      <c r="B83" s="184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4"/>
      <c r="O83" s="184"/>
      <c r="P83" s="184"/>
      <c r="Q83" s="184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4"/>
      <c r="O84" s="184"/>
      <c r="P84" s="184"/>
      <c r="Q84" s="184"/>
    </row>
    <row r="85" spans="1:17" ht="12.75">
      <c r="A85" s="184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4"/>
      <c r="O85" s="184"/>
      <c r="P85" s="184"/>
      <c r="Q85" s="184"/>
    </row>
    <row r="86" spans="1:17" ht="12.75">
      <c r="A86" s="184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4"/>
      <c r="O86" s="184"/>
      <c r="P86" s="184"/>
      <c r="Q86" s="184"/>
    </row>
    <row r="87" spans="1:17" ht="12.75">
      <c r="A87" s="184"/>
      <c r="B87" s="184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4"/>
      <c r="O87" s="184"/>
      <c r="P87" s="184"/>
      <c r="Q87" s="184"/>
    </row>
    <row r="88" spans="1:17" ht="12.75">
      <c r="A88" s="184"/>
      <c r="B88" s="184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4"/>
      <c r="O88" s="184"/>
      <c r="P88" s="184"/>
      <c r="Q88" s="184"/>
    </row>
    <row r="89" spans="1:17" ht="12.75">
      <c r="A89" s="184"/>
      <c r="B89" s="184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4"/>
      <c r="O89" s="184"/>
      <c r="P89" s="184"/>
      <c r="Q89" s="184"/>
    </row>
    <row r="90" spans="1:17" ht="12.75">
      <c r="A90" s="184"/>
      <c r="B90" s="184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4"/>
      <c r="O90" s="184"/>
      <c r="P90" s="184"/>
      <c r="Q90" s="184"/>
    </row>
    <row r="91" spans="1:17" ht="12.75">
      <c r="A91" s="184"/>
      <c r="B91" s="184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4"/>
      <c r="O91" s="184"/>
      <c r="P91" s="184"/>
      <c r="Q91" s="184"/>
    </row>
    <row r="92" spans="1:17" ht="12.75">
      <c r="A92" s="184"/>
      <c r="B92" s="184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</row>
    <row r="93" spans="1:17" ht="12.75">
      <c r="A93" s="184"/>
      <c r="B93" s="184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100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100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100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mhutson</cp:lastModifiedBy>
  <cp:lastPrinted>2011-08-17T20:27:07Z</cp:lastPrinted>
  <dcterms:created xsi:type="dcterms:W3CDTF">2001-11-07T16:15:53Z</dcterms:created>
  <dcterms:modified xsi:type="dcterms:W3CDTF">2011-09-29T18:53:21Z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