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firstSheet="1" activeTab="8"/>
  </bookViews>
  <sheets>
    <sheet name="Stats" sheetId="1" r:id="rId1"/>
    <sheet name="Summary" sheetId="2" r:id="rId2"/>
    <sheet name="Res" sheetId="3" r:id="rId3"/>
    <sheet name="GS&lt;50" sheetId="4" r:id="rId4"/>
    <sheet name="GS&gt;50" sheetId="5" r:id="rId5"/>
    <sheet name="GS TOU" sheetId="6" r:id="rId6"/>
    <sheet name="LU" sheetId="7" r:id="rId7"/>
    <sheet name="SENT LT" sheetId="8" r:id="rId8"/>
    <sheet name="ST LGT" sheetId="9" r:id="rId9"/>
  </sheets>
  <externalReferences>
    <externalReference r:id="rId12"/>
    <externalReference r:id="rId13"/>
    <externalReference r:id="rId14"/>
  </externalReferences>
  <definedNames>
    <definedName name="_xlnm.Print_Area" localSheetId="5">'GS TOU'!$A$1:$I$243</definedName>
    <definedName name="_xlnm.Print_Area" localSheetId="3">'GS&lt;50'!$A$1:$G$134</definedName>
    <definedName name="_xlnm.Print_Area" localSheetId="4">'GS&gt;50'!$A$1:$I$239</definedName>
    <definedName name="_xlnm.Print_Area" localSheetId="6">'LU'!$A$1:$I$249</definedName>
    <definedName name="_xlnm.Print_Area" localSheetId="2">'Res'!$A$1:$R$92</definedName>
    <definedName name="_xlnm.Print_Area" localSheetId="8">'ST LGT'!$A$1:$N$33</definedName>
    <definedName name="_xlnm.Print_Area" localSheetId="1">'Summary'!$A$1:$N$414</definedName>
  </definedNames>
  <calcPr fullCalcOnLoad="1"/>
</workbook>
</file>

<file path=xl/sharedStrings.xml><?xml version="1.0" encoding="utf-8"?>
<sst xmlns="http://schemas.openxmlformats.org/spreadsheetml/2006/main" count="777" uniqueCount="194">
  <si>
    <t>Receivable Code: B4</t>
  </si>
  <si>
    <t>Account Number: 001-0000-902-04-01</t>
  </si>
  <si>
    <t>General Service &lt; 50 kW Distribution 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</si>
  <si>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</si>
  <si>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</si>
  <si>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</si>
  <si>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</si>
  <si>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</si>
  <si>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</si>
  <si>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</si>
  <si>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</si>
  <si>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</si>
  <si>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</si>
  <si>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</si>
  <si>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</si>
  <si>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General Ledger</t>
  </si>
  <si>
    <t>kWh</t>
  </si>
  <si>
    <t>Rate</t>
  </si>
  <si>
    <t>Extension</t>
  </si>
  <si>
    <t>Difference</t>
  </si>
  <si>
    <t>Prior period revenue adjustment</t>
  </si>
  <si>
    <t>Other:</t>
  </si>
  <si>
    <t>YTD General Ledger</t>
  </si>
  <si>
    <t>Balanced JRF</t>
  </si>
  <si>
    <t>Receivable Code: C4</t>
  </si>
  <si>
    <t>Account Number: 001-0000-361-02-02</t>
  </si>
  <si>
    <t>Febraury</t>
  </si>
  <si>
    <t>Prior years revenue</t>
  </si>
  <si>
    <t>General Service &gt; 50 kW Distribution kW</t>
  </si>
  <si>
    <t>Receivable Code: B5</t>
  </si>
  <si>
    <t>Account Number: 001-0000-902-04-02</t>
  </si>
  <si>
    <t>General Service &gt; 50 kW Cost of Power</t>
  </si>
  <si>
    <t>General Service &lt; 50 kW Cost of Power</t>
  </si>
  <si>
    <t>Receivable Code: C5</t>
  </si>
  <si>
    <t>Account Number: 001-0000-361-02-03</t>
  </si>
  <si>
    <t>kW</t>
  </si>
  <si>
    <t>kWh - Losses</t>
  </si>
  <si>
    <t>General Service &gt; 50 kW Wholesale Market</t>
  </si>
  <si>
    <t>Receivable Code: F5</t>
  </si>
  <si>
    <t>Account Number: 001-0000-206-01-05</t>
  </si>
  <si>
    <t>Receivable Code: T5</t>
  </si>
  <si>
    <t>Account Number: 001-0000-902-05-03</t>
  </si>
  <si>
    <t>General Service TOU Distribution kW</t>
  </si>
  <si>
    <t>Receivable Code: B6</t>
  </si>
  <si>
    <t>Account Number: 001-0000-902-04-03</t>
  </si>
  <si>
    <t>General Service TOU COP</t>
  </si>
  <si>
    <t>Account Number: 001-0000-361-02-04</t>
  </si>
  <si>
    <t>General Service TOU Wholesale Market</t>
  </si>
  <si>
    <t>Receivable Code: F6</t>
  </si>
  <si>
    <t>Account Number: 001-0000-206-01-06</t>
  </si>
  <si>
    <t>General Service TOU Transformer Allowoance</t>
  </si>
  <si>
    <t>Receivable Code: T6</t>
  </si>
  <si>
    <t>Account Number: 001-0000-902-05-04</t>
  </si>
  <si>
    <t>Large Use Distribution kW</t>
  </si>
  <si>
    <t>Receivable Code: B7</t>
  </si>
  <si>
    <t>Account Number: 001-0000-903-04-00</t>
  </si>
  <si>
    <t>Large Use COP</t>
  </si>
  <si>
    <t>Receivable Code: C7</t>
  </si>
  <si>
    <t>Account Number: 001-0000-361-02-05</t>
  </si>
  <si>
    <t>Students</t>
  </si>
  <si>
    <t>Large Use Transformer Allowoance</t>
  </si>
  <si>
    <t>Receivable Code: T7</t>
  </si>
  <si>
    <t>Account Number: 001-0000-902-05-05</t>
  </si>
  <si>
    <t>General Service &lt; 50 kW</t>
  </si>
  <si>
    <t>Distribution kWh</t>
  </si>
  <si>
    <t>COP kWh</t>
  </si>
  <si>
    <t>General Service &gt; 50 kW</t>
  </si>
  <si>
    <t>Distribution kW</t>
  </si>
  <si>
    <t>COP kW</t>
  </si>
  <si>
    <t>Wholesale Market kWh</t>
  </si>
  <si>
    <t>General Service TOU</t>
  </si>
  <si>
    <t>General Service Wholesale Market</t>
  </si>
  <si>
    <t>Large Use</t>
  </si>
  <si>
    <t>Budget</t>
  </si>
  <si>
    <t>Budget kW</t>
  </si>
  <si>
    <t>Budget kWh</t>
  </si>
  <si>
    <t>General Service Summary:</t>
  </si>
  <si>
    <t>Number of Connections</t>
  </si>
  <si>
    <t>Billed in the Month</t>
  </si>
  <si>
    <t>Per Connection</t>
  </si>
  <si>
    <t>Distribution per kW</t>
  </si>
  <si>
    <t>Cost of Power</t>
  </si>
  <si>
    <t>Monthly Service Charge</t>
  </si>
  <si>
    <t>2001</t>
  </si>
  <si>
    <t>December 2001</t>
  </si>
  <si>
    <t>Estimate</t>
  </si>
  <si>
    <t>Lag</t>
  </si>
  <si>
    <t>2002 Street Lighting</t>
  </si>
  <si>
    <t>RSVA</t>
  </si>
  <si>
    <t>Delta</t>
  </si>
  <si>
    <t>Service Charge 01/01/02</t>
  </si>
  <si>
    <t>Distribution $                     01/01/02</t>
  </si>
  <si>
    <t>kWh                     01/01/02</t>
  </si>
  <si>
    <t>Service Charge 03/01/02</t>
  </si>
  <si>
    <t>Distribution $                     03/01/02</t>
  </si>
  <si>
    <t>kWh                     03/01/02</t>
  </si>
  <si>
    <t>Residential</t>
  </si>
  <si>
    <t>Total kWh</t>
  </si>
  <si>
    <t>TA $</t>
  </si>
  <si>
    <t>TA kW</t>
  </si>
  <si>
    <t>Receivable Code: C6</t>
  </si>
  <si>
    <t>Receivable Code: F7</t>
  </si>
  <si>
    <t>Large User Wholesale Market</t>
  </si>
  <si>
    <t>Account Number: 001-0000-206-01-07</t>
  </si>
  <si>
    <t>Street Lighting</t>
  </si>
  <si>
    <t>May 1/2</t>
  </si>
  <si>
    <t xml:space="preserve">November </t>
  </si>
  <si>
    <t>Billed to 10 31 02</t>
  </si>
  <si>
    <t>2002 + Lag</t>
  </si>
  <si>
    <t>Total Service Charge</t>
  </si>
  <si>
    <t>Total Distribution kWh</t>
  </si>
  <si>
    <t>Unbilled - 12/31/01</t>
  </si>
  <si>
    <t>Unbilled - 12/31/02</t>
  </si>
  <si>
    <t>Total for 2002</t>
  </si>
  <si>
    <t>General Service &gt; 50 kW Transformer Allowance</t>
  </si>
  <si>
    <t>kWh Billed</t>
  </si>
  <si>
    <t>Sentinal Lighting</t>
  </si>
  <si>
    <t>Less: Unbilled Beginning of Year</t>
  </si>
  <si>
    <t>Add: Unbilled End of Year</t>
  </si>
  <si>
    <t>Billed in the Calendar Year</t>
  </si>
  <si>
    <t>kWh Purchased</t>
  </si>
  <si>
    <t>Line Losses</t>
  </si>
  <si>
    <t>Line Losses %</t>
  </si>
  <si>
    <t>2001 Revenue</t>
  </si>
  <si>
    <t>$/kWh</t>
  </si>
  <si>
    <t>$/kWh * 2002 kWh</t>
  </si>
  <si>
    <t>2002 Revenue</t>
  </si>
  <si>
    <t>Volume</t>
  </si>
  <si>
    <t>Price</t>
  </si>
  <si>
    <t>Volume %</t>
  </si>
  <si>
    <t>Price %</t>
  </si>
  <si>
    <t>Total %</t>
  </si>
  <si>
    <t>2001 PILs Increment</t>
  </si>
  <si>
    <t>2001 PILS Collected</t>
  </si>
  <si>
    <t>2001 PILs Collected</t>
  </si>
  <si>
    <t>PILS Increment</t>
  </si>
  <si>
    <t>PILs Collected</t>
  </si>
  <si>
    <t>PILs Increment</t>
  </si>
  <si>
    <t>PILS Collected</t>
  </si>
  <si>
    <t>Billed</t>
  </si>
  <si>
    <t>Unbilled</t>
  </si>
  <si>
    <t>Total</t>
  </si>
  <si>
    <t>2001 PILs</t>
  </si>
  <si>
    <t>2002 PILs</t>
  </si>
  <si>
    <t>Apr</t>
  </si>
  <si>
    <t>Jun</t>
  </si>
  <si>
    <t>Jul</t>
  </si>
  <si>
    <t>Aug</t>
  </si>
  <si>
    <t>Sep</t>
  </si>
  <si>
    <t>Oct</t>
  </si>
  <si>
    <t>Nov</t>
  </si>
  <si>
    <t>Dec</t>
  </si>
  <si>
    <t>Mar PILs Calculation</t>
  </si>
  <si>
    <t xml:space="preserve">   Jim F's PILs Revenue #'s </t>
  </si>
  <si>
    <t>Unbilled =</t>
  </si>
  <si>
    <t>Thus, 2002 kWh</t>
  </si>
  <si>
    <t>Unbilled Dec 02</t>
  </si>
  <si>
    <t>2001 Rate</t>
  </si>
  <si>
    <t>2002 Rate</t>
  </si>
  <si>
    <t>Per Jim F's calculations here</t>
  </si>
  <si>
    <t>See above</t>
  </si>
  <si>
    <t>From &lt;50 Worksht</t>
  </si>
  <si>
    <t>From &gt;50 Worksht</t>
  </si>
  <si>
    <t>PILS Applicable</t>
  </si>
  <si>
    <t>From GS TOU Worksht</t>
  </si>
  <si>
    <t>From LU Worksht</t>
  </si>
  <si>
    <t>From ST LT Worksht</t>
  </si>
  <si>
    <t>Total PILs Collected in 2002</t>
  </si>
  <si>
    <t>GS TOU</t>
  </si>
  <si>
    <t>Res</t>
  </si>
  <si>
    <t>&lt;50</t>
  </si>
  <si>
    <t>&gt;50</t>
  </si>
  <si>
    <t>LU</t>
  </si>
  <si>
    <t>ST LT</t>
  </si>
  <si>
    <t>TOTAL</t>
  </si>
  <si>
    <t>Mar</t>
  </si>
  <si>
    <t>(Summary of Class Sheets)</t>
  </si>
  <si>
    <t>Dec Unbill</t>
  </si>
  <si>
    <t>Agrees to Revised RAM</t>
  </si>
  <si>
    <t>2002 Sentinel Lighting</t>
  </si>
  <si>
    <t>Distribution Revenue</t>
  </si>
  <si>
    <t>Sentinel Lighting</t>
  </si>
  <si>
    <t>NOTE - USED JIM FALLIS' KWH/KW &amp; INCREMENTAL DOLLAR AMOUNTS FOR PILS REVENUE CONTAINED IN THIS FILE</t>
  </si>
  <si>
    <t>From SENT LT Worksht</t>
  </si>
  <si>
    <t>2001 Portion</t>
  </si>
  <si>
    <t>2002 Portion</t>
  </si>
  <si>
    <t>DISCOVERED IN APRIL/04 AND CALCULATED AT THAT POINT</t>
  </si>
  <si>
    <t>SENT LT</t>
  </si>
  <si>
    <t>No unbilled revenue account has been set up</t>
  </si>
  <si>
    <t>GHESI</t>
  </si>
  <si>
    <t>ORIGINAL USED TO FILE 2004 RATE APPLICATION (DEC/02 BALANCE) DID NOT INCLUDE SENTINEL LIGHTS - HAD NOT BEEN PREVIOUSLY RECORDED -</t>
  </si>
  <si>
    <t xml:space="preserve">  PILs Revenue #'s </t>
  </si>
  <si>
    <t>NOTE - USED KWH/KW &amp; INCREMENTAL DOLLAR AMOUNTS FOR PILS REVENUE CONTAINED IN THIS FILE</t>
  </si>
  <si>
    <t xml:space="preserve">PILs Revenue #'s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</si>
</sst>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_);_(* \(#,##0.0000\);_(* &quot;-&quot;????_);_(@_)"/>
    <numFmt numFmtId="175" formatCode="0.0%"/>
    <numFmt numFmtId="176" formatCode="_(* #,##0.0_);_(* \(#,##0.0\);_(* &quot;-&quot;??_);_(@_)"/>
    <numFmt numFmtId="177" formatCode="_(* #,##0_);_(* \(#,##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_);_(* \(#,##0.000000\);_(* &quot;-&quot;????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Accounting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43" fontId="0" fillId="0" borderId="0" xfId="42" applyFont="1" applyAlignment="1">
      <alignment/>
    </xf>
    <xf numFmtId="17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43" fontId="1" fillId="0" borderId="0" xfId="42" applyFont="1" applyAlignment="1">
      <alignment horizontal="right" wrapText="1"/>
    </xf>
    <xf numFmtId="173" fontId="1" fillId="0" borderId="0" xfId="42" applyNumberFormat="1" applyFont="1" applyAlignment="1">
      <alignment horizontal="right" wrapText="1"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173" fontId="0" fillId="0" borderId="10" xfId="42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42" applyFont="1" applyBorder="1" applyAlignment="1">
      <alignment/>
    </xf>
    <xf numFmtId="173" fontId="0" fillId="0" borderId="11" xfId="42" applyNumberFormat="1" applyFont="1" applyBorder="1" applyAlignment="1">
      <alignment/>
    </xf>
    <xf numFmtId="4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173" fontId="0" fillId="0" borderId="12" xfId="42" applyNumberFormat="1" applyFont="1" applyBorder="1" applyAlignment="1">
      <alignment/>
    </xf>
    <xf numFmtId="43" fontId="0" fillId="0" borderId="12" xfId="0" applyNumberFormat="1" applyBorder="1" applyAlignment="1">
      <alignment/>
    </xf>
    <xf numFmtId="173" fontId="0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0" fontId="1" fillId="0" borderId="0" xfId="0" applyNumberFormat="1" applyFont="1" applyAlignment="1">
      <alignment horizontal="right" wrapText="1"/>
    </xf>
    <xf numFmtId="0" fontId="1" fillId="0" borderId="0" xfId="42" applyNumberFormat="1" applyFont="1" applyAlignment="1">
      <alignment horizontal="right" wrapText="1"/>
    </xf>
    <xf numFmtId="175" fontId="0" fillId="0" borderId="0" xfId="59" applyNumberFormat="1" applyFont="1" applyAlignment="1">
      <alignment/>
    </xf>
    <xf numFmtId="177" fontId="2" fillId="0" borderId="0" xfId="42" applyNumberFormat="1" applyFont="1" applyAlignment="1">
      <alignment/>
    </xf>
    <xf numFmtId="177" fontId="1" fillId="0" borderId="0" xfId="42" applyNumberFormat="1" applyFont="1" applyAlignment="1">
      <alignment horizontal="right" wrapText="1"/>
    </xf>
    <xf numFmtId="177" fontId="0" fillId="0" borderId="0" xfId="42" applyNumberFormat="1" applyFont="1" applyAlignment="1">
      <alignment/>
    </xf>
    <xf numFmtId="177" fontId="0" fillId="0" borderId="10" xfId="42" applyNumberFormat="1" applyFont="1" applyBorder="1" applyAlignment="1">
      <alignment/>
    </xf>
    <xf numFmtId="175" fontId="2" fillId="0" borderId="0" xfId="59" applyNumberFormat="1" applyFont="1" applyAlignment="1">
      <alignment/>
    </xf>
    <xf numFmtId="175" fontId="1" fillId="0" borderId="0" xfId="59" applyNumberFormat="1" applyFont="1" applyAlignment="1">
      <alignment horizontal="right" wrapText="1"/>
    </xf>
    <xf numFmtId="175" fontId="0" fillId="0" borderId="10" xfId="59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17" fontId="0" fillId="0" borderId="0" xfId="0" applyNumberFormat="1" applyAlignment="1" quotePrefix="1">
      <alignment/>
    </xf>
    <xf numFmtId="177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172" fontId="4" fillId="0" borderId="0" xfId="42" applyNumberFormat="1" applyFont="1" applyAlignment="1">
      <alignment/>
    </xf>
    <xf numFmtId="43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43" fontId="0" fillId="33" borderId="0" xfId="42" applyFont="1" applyFill="1" applyAlignment="1">
      <alignment/>
    </xf>
    <xf numFmtId="0" fontId="0" fillId="0" borderId="0" xfId="0" applyAlignment="1">
      <alignment horizontal="right" wrapText="1"/>
    </xf>
    <xf numFmtId="43" fontId="0" fillId="0" borderId="0" xfId="42" applyFont="1" applyAlignment="1">
      <alignment horizontal="right" wrapText="1"/>
    </xf>
    <xf numFmtId="177" fontId="0" fillId="0" borderId="0" xfId="42" applyNumberFormat="1" applyFont="1" applyAlignment="1">
      <alignment horizontal="right" wrapText="1"/>
    </xf>
    <xf numFmtId="175" fontId="0" fillId="0" borderId="0" xfId="59" applyNumberFormat="1" applyFont="1" applyAlignment="1">
      <alignment horizontal="right" wrapText="1"/>
    </xf>
    <xf numFmtId="177" fontId="0" fillId="0" borderId="10" xfId="0" applyNumberFormat="1" applyBorder="1" applyAlignment="1">
      <alignment/>
    </xf>
    <xf numFmtId="175" fontId="0" fillId="0" borderId="0" xfId="59" applyNumberFormat="1" applyFont="1" applyAlignment="1">
      <alignment horizontal="right"/>
    </xf>
    <xf numFmtId="0" fontId="0" fillId="0" borderId="0" xfId="0" applyAlignment="1">
      <alignment horizontal="left" indent="1"/>
    </xf>
    <xf numFmtId="0" fontId="1" fillId="0" borderId="0" xfId="0" applyNumberFormat="1" applyFont="1" applyAlignment="1">
      <alignment/>
    </xf>
    <xf numFmtId="0" fontId="1" fillId="0" borderId="0" xfId="42" applyNumberFormat="1" applyFont="1" applyAlignment="1">
      <alignment/>
    </xf>
    <xf numFmtId="10" fontId="0" fillId="0" borderId="10" xfId="59" applyNumberFormat="1" applyFont="1" applyBorder="1" applyAlignment="1">
      <alignment/>
    </xf>
    <xf numFmtId="177" fontId="0" fillId="0" borderId="10" xfId="42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33" borderId="0" xfId="42" applyNumberFormat="1" applyFont="1" applyFill="1" applyAlignment="1">
      <alignment/>
    </xf>
    <xf numFmtId="179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0" fontId="7" fillId="0" borderId="0" xfId="59" applyNumberFormat="1" applyFont="1" applyAlignment="1">
      <alignment horizontal="center"/>
    </xf>
    <xf numFmtId="0" fontId="7" fillId="0" borderId="0" xfId="42" applyNumberFormat="1" applyFont="1" applyAlignment="1">
      <alignment horizontal="center"/>
    </xf>
    <xf numFmtId="0" fontId="8" fillId="0" borderId="0" xfId="0" applyFont="1" applyAlignment="1">
      <alignment/>
    </xf>
    <xf numFmtId="175" fontId="8" fillId="0" borderId="10" xfId="59" applyNumberFormat="1" applyFont="1" applyBorder="1" applyAlignment="1">
      <alignment/>
    </xf>
    <xf numFmtId="0" fontId="2" fillId="34" borderId="13" xfId="0" applyFont="1" applyFill="1" applyBorder="1" applyAlignment="1">
      <alignment/>
    </xf>
    <xf numFmtId="177" fontId="1" fillId="0" borderId="11" xfId="42" applyNumberFormat="1" applyFont="1" applyBorder="1" applyAlignment="1">
      <alignment/>
    </xf>
    <xf numFmtId="177" fontId="1" fillId="0" borderId="0" xfId="42" applyNumberFormat="1" applyFont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173" fontId="0" fillId="0" borderId="15" xfId="42" applyNumberFormat="1" applyFont="1" applyBorder="1" applyAlignment="1">
      <alignment/>
    </xf>
    <xf numFmtId="43" fontId="0" fillId="0" borderId="16" xfId="42" applyFont="1" applyBorder="1" applyAlignment="1">
      <alignment/>
    </xf>
    <xf numFmtId="43" fontId="1" fillId="0" borderId="0" xfId="59" applyNumberFormat="1" applyFont="1" applyAlignment="1">
      <alignment/>
    </xf>
    <xf numFmtId="44" fontId="1" fillId="0" borderId="11" xfId="59" applyNumberFormat="1" applyFont="1" applyBorder="1" applyAlignment="1">
      <alignment/>
    </xf>
    <xf numFmtId="0" fontId="1" fillId="0" borderId="10" xfId="0" applyFont="1" applyBorder="1" applyAlignment="1">
      <alignment/>
    </xf>
    <xf numFmtId="43" fontId="10" fillId="0" borderId="0" xfId="42" applyFont="1" applyAlignment="1">
      <alignment/>
    </xf>
    <xf numFmtId="43" fontId="9" fillId="0" borderId="0" xfId="42" applyFont="1" applyAlignment="1">
      <alignment/>
    </xf>
    <xf numFmtId="0" fontId="2" fillId="33" borderId="13" xfId="0" applyFont="1" applyFill="1" applyBorder="1" applyAlignment="1">
      <alignment/>
    </xf>
    <xf numFmtId="0" fontId="9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left" indent="1"/>
    </xf>
    <xf numFmtId="0" fontId="1" fillId="0" borderId="27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0" fontId="2" fillId="35" borderId="13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43" fontId="0" fillId="0" borderId="0" xfId="42" applyFont="1" applyBorder="1" applyAlignment="1">
      <alignment/>
    </xf>
    <xf numFmtId="177" fontId="0" fillId="0" borderId="0" xfId="42" applyNumberFormat="1" applyFont="1" applyBorder="1" applyAlignment="1">
      <alignment/>
    </xf>
    <xf numFmtId="175" fontId="0" fillId="0" borderId="0" xfId="59" applyNumberFormat="1" applyFont="1" applyBorder="1" applyAlignment="1">
      <alignment/>
    </xf>
    <xf numFmtId="175" fontId="0" fillId="0" borderId="10" xfId="59" applyNumberFormat="1" applyFont="1" applyBorder="1" applyAlignment="1">
      <alignment horizontal="right"/>
    </xf>
    <xf numFmtId="43" fontId="1" fillId="0" borderId="11" xfId="42" applyFont="1" applyBorder="1" applyAlignment="1">
      <alignment/>
    </xf>
    <xf numFmtId="0" fontId="2" fillId="38" borderId="28" xfId="0" applyFont="1" applyFill="1" applyBorder="1" applyAlignment="1">
      <alignment/>
    </xf>
    <xf numFmtId="0" fontId="0" fillId="0" borderId="17" xfId="0" applyBorder="1" applyAlignment="1">
      <alignment/>
    </xf>
    <xf numFmtId="43" fontId="0" fillId="0" borderId="22" xfId="42" applyFont="1" applyBorder="1" applyAlignment="1">
      <alignment/>
    </xf>
    <xf numFmtId="177" fontId="0" fillId="0" borderId="22" xfId="42" applyNumberFormat="1" applyFont="1" applyBorder="1" applyAlignment="1">
      <alignment/>
    </xf>
    <xf numFmtId="175" fontId="8" fillId="0" borderId="29" xfId="59" applyNumberFormat="1" applyFont="1" applyBorder="1" applyAlignment="1">
      <alignment/>
    </xf>
    <xf numFmtId="177" fontId="0" fillId="0" borderId="30" xfId="42" applyNumberFormat="1" applyFont="1" applyBorder="1" applyAlignment="1">
      <alignment/>
    </xf>
    <xf numFmtId="43" fontId="10" fillId="0" borderId="0" xfId="42" applyFont="1" applyBorder="1" applyAlignment="1">
      <alignment horizontal="center"/>
    </xf>
    <xf numFmtId="179" fontId="0" fillId="0" borderId="0" xfId="42" applyNumberFormat="1" applyFont="1" applyBorder="1" applyAlignment="1">
      <alignment/>
    </xf>
    <xf numFmtId="179" fontId="0" fillId="0" borderId="20" xfId="42" applyNumberFormat="1" applyFont="1" applyBorder="1" applyAlignment="1">
      <alignment/>
    </xf>
    <xf numFmtId="0" fontId="7" fillId="0" borderId="0" xfId="59" applyNumberFormat="1" applyFont="1" applyBorder="1" applyAlignment="1">
      <alignment horizontal="center"/>
    </xf>
    <xf numFmtId="0" fontId="7" fillId="0" borderId="20" xfId="42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0" xfId="59" applyNumberFormat="1" applyFont="1" applyBorder="1" applyAlignment="1">
      <alignment/>
    </xf>
    <xf numFmtId="43" fontId="1" fillId="0" borderId="20" xfId="59" applyNumberFormat="1" applyFont="1" applyBorder="1" applyAlignment="1">
      <alignment/>
    </xf>
    <xf numFmtId="177" fontId="1" fillId="0" borderId="0" xfId="42" applyNumberFormat="1" applyFont="1" applyBorder="1" applyAlignment="1">
      <alignment/>
    </xf>
    <xf numFmtId="43" fontId="1" fillId="0" borderId="20" xfId="42" applyNumberFormat="1" applyFont="1" applyBorder="1" applyAlignment="1">
      <alignment/>
    </xf>
    <xf numFmtId="44" fontId="1" fillId="0" borderId="31" xfId="59" applyNumberFormat="1" applyFont="1" applyBorder="1" applyAlignment="1">
      <alignment/>
    </xf>
    <xf numFmtId="0" fontId="8" fillId="0" borderId="21" xfId="0" applyFont="1" applyBorder="1" applyAlignment="1">
      <alignment/>
    </xf>
    <xf numFmtId="177" fontId="0" fillId="0" borderId="12" xfId="42" applyNumberFormat="1" applyFont="1" applyBorder="1" applyAlignment="1">
      <alignment/>
    </xf>
    <xf numFmtId="177" fontId="0" fillId="0" borderId="25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0" fillId="0" borderId="19" xfId="42" applyNumberFormat="1" applyFont="1" applyBorder="1" applyAlignment="1">
      <alignment/>
    </xf>
    <xf numFmtId="43" fontId="10" fillId="0" borderId="0" xfId="42" applyFont="1" applyBorder="1" applyAlignment="1">
      <alignment/>
    </xf>
    <xf numFmtId="0" fontId="1" fillId="0" borderId="0" xfId="0" applyFont="1" applyAlignment="1">
      <alignment horizontal="center"/>
    </xf>
    <xf numFmtId="43" fontId="0" fillId="0" borderId="27" xfId="42" applyFont="1" applyBorder="1" applyAlignment="1">
      <alignment/>
    </xf>
    <xf numFmtId="43" fontId="0" fillId="0" borderId="32" xfId="42" applyFont="1" applyBorder="1" applyAlignment="1">
      <alignment/>
    </xf>
    <xf numFmtId="43" fontId="0" fillId="0" borderId="28" xfId="42" applyFont="1" applyBorder="1" applyAlignment="1">
      <alignment/>
    </xf>
    <xf numFmtId="177" fontId="0" fillId="0" borderId="27" xfId="42" applyNumberFormat="1" applyFont="1" applyBorder="1" applyAlignment="1">
      <alignment/>
    </xf>
    <xf numFmtId="177" fontId="0" fillId="0" borderId="28" xfId="42" applyNumberFormat="1" applyFont="1" applyBorder="1" applyAlignment="1">
      <alignment/>
    </xf>
    <xf numFmtId="43" fontId="0" fillId="38" borderId="22" xfId="42" applyFont="1" applyFill="1" applyBorder="1" applyAlignment="1">
      <alignment/>
    </xf>
    <xf numFmtId="43" fontId="0" fillId="38" borderId="0" xfId="42" applyFont="1" applyFill="1" applyBorder="1" applyAlignment="1">
      <alignment/>
    </xf>
    <xf numFmtId="0" fontId="1" fillId="38" borderId="12" xfId="42" applyNumberFormat="1" applyFont="1" applyFill="1" applyBorder="1" applyAlignment="1">
      <alignment horizontal="center"/>
    </xf>
    <xf numFmtId="43" fontId="0" fillId="33" borderId="26" xfId="42" applyFont="1" applyFill="1" applyBorder="1" applyAlignment="1">
      <alignment/>
    </xf>
    <xf numFmtId="43" fontId="0" fillId="33" borderId="27" xfId="42" applyFont="1" applyFill="1" applyBorder="1" applyAlignment="1">
      <alignment/>
    </xf>
    <xf numFmtId="0" fontId="1" fillId="33" borderId="28" xfId="42" applyNumberFormat="1" applyFont="1" applyFill="1" applyBorder="1" applyAlignment="1">
      <alignment horizontal="center"/>
    </xf>
    <xf numFmtId="43" fontId="0" fillId="35" borderId="22" xfId="42" applyFont="1" applyFill="1" applyBorder="1" applyAlignment="1">
      <alignment/>
    </xf>
    <xf numFmtId="43" fontId="0" fillId="35" borderId="0" xfId="42" applyFont="1" applyFill="1" applyBorder="1" applyAlignment="1">
      <alignment/>
    </xf>
    <xf numFmtId="43" fontId="1" fillId="35" borderId="12" xfId="42" applyFont="1" applyFill="1" applyBorder="1" applyAlignment="1">
      <alignment horizontal="center"/>
    </xf>
    <xf numFmtId="177" fontId="0" fillId="36" borderId="26" xfId="42" applyNumberFormat="1" applyFont="1" applyFill="1" applyBorder="1" applyAlignment="1">
      <alignment/>
    </xf>
    <xf numFmtId="177" fontId="0" fillId="36" borderId="27" xfId="42" applyNumberFormat="1" applyFont="1" applyFill="1" applyBorder="1" applyAlignment="1">
      <alignment/>
    </xf>
    <xf numFmtId="177" fontId="1" fillId="36" borderId="28" xfId="42" applyNumberFormat="1" applyFont="1" applyFill="1" applyBorder="1" applyAlignment="1">
      <alignment horizontal="center"/>
    </xf>
    <xf numFmtId="175" fontId="0" fillId="37" borderId="22" xfId="59" applyNumberFormat="1" applyFont="1" applyFill="1" applyBorder="1" applyAlignment="1">
      <alignment/>
    </xf>
    <xf numFmtId="175" fontId="0" fillId="37" borderId="0" xfId="59" applyNumberFormat="1" applyFont="1" applyFill="1" applyBorder="1" applyAlignment="1">
      <alignment/>
    </xf>
    <xf numFmtId="175" fontId="1" fillId="37" borderId="12" xfId="59" applyNumberFormat="1" applyFont="1" applyFill="1" applyBorder="1" applyAlignment="1">
      <alignment horizontal="center"/>
    </xf>
    <xf numFmtId="177" fontId="0" fillId="39" borderId="26" xfId="42" applyNumberFormat="1" applyFont="1" applyFill="1" applyBorder="1" applyAlignment="1">
      <alignment/>
    </xf>
    <xf numFmtId="177" fontId="0" fillId="39" borderId="27" xfId="42" applyNumberFormat="1" applyFont="1" applyFill="1" applyBorder="1" applyAlignment="1">
      <alignment/>
    </xf>
    <xf numFmtId="177" fontId="1" fillId="39" borderId="28" xfId="42" applyNumberFormat="1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43" fontId="0" fillId="34" borderId="20" xfId="42" applyFont="1" applyFill="1" applyBorder="1" applyAlignment="1">
      <alignment/>
    </xf>
    <xf numFmtId="43" fontId="0" fillId="34" borderId="23" xfId="42" applyFont="1" applyFill="1" applyBorder="1" applyAlignment="1">
      <alignment/>
    </xf>
    <xf numFmtId="0" fontId="1" fillId="34" borderId="25" xfId="42" applyNumberFormat="1" applyFont="1" applyFill="1" applyBorder="1" applyAlignment="1">
      <alignment horizontal="center"/>
    </xf>
    <xf numFmtId="0" fontId="1" fillId="39" borderId="27" xfId="0" applyFont="1" applyFill="1" applyBorder="1" applyAlignment="1">
      <alignment/>
    </xf>
    <xf numFmtId="43" fontId="0" fillId="0" borderId="0" xfId="42" applyFont="1" applyFill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7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1" fillId="4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77" fontId="0" fillId="40" borderId="26" xfId="42" applyNumberFormat="1" applyFont="1" applyFill="1" applyBorder="1" applyAlignment="1">
      <alignment/>
    </xf>
    <xf numFmtId="177" fontId="0" fillId="40" borderId="27" xfId="42" applyNumberFormat="1" applyFont="1" applyFill="1" applyBorder="1" applyAlignment="1">
      <alignment/>
    </xf>
    <xf numFmtId="0" fontId="1" fillId="40" borderId="28" xfId="0" applyFont="1" applyFill="1" applyBorder="1" applyAlignment="1">
      <alignment horizontal="center"/>
    </xf>
    <xf numFmtId="0" fontId="1" fillId="40" borderId="0" xfId="0" applyFont="1" applyFill="1" applyAlignment="1" quotePrefix="1">
      <alignment/>
    </xf>
    <xf numFmtId="177" fontId="0" fillId="40" borderId="0" xfId="42" applyNumberFormat="1" applyFont="1" applyFill="1" applyAlignment="1">
      <alignment/>
    </xf>
    <xf numFmtId="43" fontId="0" fillId="0" borderId="0" xfId="42" applyFont="1" applyAlignment="1">
      <alignment/>
    </xf>
    <xf numFmtId="0" fontId="1" fillId="40" borderId="26" xfId="0" applyFont="1" applyFill="1" applyBorder="1" applyAlignment="1">
      <alignment horizontal="center"/>
    </xf>
    <xf numFmtId="43" fontId="1" fillId="0" borderId="13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409</xdr:row>
      <xdr:rowOff>38100</xdr:rowOff>
    </xdr:from>
    <xdr:to>
      <xdr:col>6</xdr:col>
      <xdr:colOff>504825</xdr:colOff>
      <xdr:row>411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7572375" y="68151375"/>
          <a:ext cx="2667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CCTG\SYMDATA\Budget%202003\Revenue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D\YE%20Dec%2031%2002\GHESI\Unbilled%20Revenue\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GH%20kWh%20Purchases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No of Customers"/>
      <sheetName val="Sheet1"/>
    </sheetNames>
    <sheetDataSet>
      <sheetData sheetId="2">
        <row r="9">
          <cell r="D9">
            <v>36795</v>
          </cell>
          <cell r="E9">
            <v>38124.83333333333</v>
          </cell>
        </row>
        <row r="17">
          <cell r="D17">
            <v>3269</v>
          </cell>
          <cell r="E17">
            <v>3380.0333333333333</v>
          </cell>
        </row>
        <row r="25">
          <cell r="D25">
            <v>409</v>
          </cell>
          <cell r="E25">
            <v>425.7333333333333</v>
          </cell>
        </row>
        <row r="33">
          <cell r="D33">
            <v>37</v>
          </cell>
          <cell r="E33">
            <v>38.233333333333334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t Ltg"/>
      <sheetName val="Sent"/>
      <sheetName val="Res"/>
      <sheetName val="GS&lt;50"/>
      <sheetName val="GS&gt;50"/>
      <sheetName val="TOU"/>
      <sheetName val="LU"/>
      <sheetName val="MUSH"/>
      <sheetName val="RETAILER"/>
    </sheetNames>
    <sheetDataSet>
      <sheetData sheetId="0">
        <row r="41">
          <cell r="E41">
            <v>45510749.04999994</v>
          </cell>
        </row>
        <row r="57">
          <cell r="E57">
            <v>16818588.77</v>
          </cell>
        </row>
        <row r="73">
          <cell r="E73">
            <v>38986219.20999999</v>
          </cell>
        </row>
        <row r="89">
          <cell r="E89">
            <v>28520328.36</v>
          </cell>
        </row>
        <row r="105">
          <cell r="E105">
            <v>16903395.63</v>
          </cell>
        </row>
        <row r="122">
          <cell r="E122">
            <v>701243.79</v>
          </cell>
        </row>
        <row r="137">
          <cell r="E137">
            <v>11682.130000000001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>
            <v>1512984889.1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75" zoomScaleNormal="75" zoomScalePageLayoutView="0" workbookViewId="0" topLeftCell="A43">
      <selection activeCell="H66" sqref="H66"/>
    </sheetView>
  </sheetViews>
  <sheetFormatPr defaultColWidth="9.140625" defaultRowHeight="12.75"/>
  <cols>
    <col min="1" max="1" width="27.140625" style="0" customWidth="1"/>
    <col min="2" max="3" width="14.00390625" style="27" bestFit="1" customWidth="1"/>
    <col min="5" max="5" width="14.00390625" style="0" bestFit="1" customWidth="1"/>
    <col min="6" max="6" width="15.00390625" style="0" bestFit="1" customWidth="1"/>
    <col min="8" max="8" width="12.57421875" style="0" bestFit="1" customWidth="1"/>
    <col min="9" max="9" width="6.421875" style="0" bestFit="1" customWidth="1"/>
    <col min="10" max="10" width="12.7109375" style="0" customWidth="1"/>
    <col min="11" max="11" width="12.57421875" style="0" bestFit="1" customWidth="1"/>
    <col min="12" max="12" width="10.28125" style="0" bestFit="1" customWidth="1"/>
    <col min="13" max="13" width="11.28125" style="0" bestFit="1" customWidth="1"/>
    <col min="14" max="14" width="9.57421875" style="0" bestFit="1" customWidth="1"/>
    <col min="15" max="15" width="7.57421875" style="0" bestFit="1" customWidth="1"/>
    <col min="16" max="16" width="7.28125" style="0" bestFit="1" customWidth="1"/>
  </cols>
  <sheetData>
    <row r="1" spans="2:3" s="52" customFormat="1" ht="12.75">
      <c r="B1" s="53">
        <v>2002</v>
      </c>
      <c r="C1" s="53">
        <v>2001</v>
      </c>
    </row>
    <row r="2" ht="12.75">
      <c r="A2" t="s">
        <v>115</v>
      </c>
    </row>
    <row r="4" spans="1:7" ht="12.75">
      <c r="A4" s="51" t="s">
        <v>96</v>
      </c>
      <c r="B4" s="27">
        <f>Summary!J17</f>
        <v>316302020.85</v>
      </c>
      <c r="C4" s="27">
        <v>307813129</v>
      </c>
      <c r="D4" s="24">
        <f aca="true" t="shared" si="0" ref="D4:D12">B4/C4-1</f>
        <v>0.027578069452651732</v>
      </c>
      <c r="E4" s="3"/>
      <c r="F4" s="3"/>
      <c r="G4" s="24"/>
    </row>
    <row r="5" spans="1:7" ht="12.75">
      <c r="A5" s="51" t="s">
        <v>63</v>
      </c>
      <c r="B5" s="27">
        <f>Summary!$B$63</f>
        <v>133337821.56000002</v>
      </c>
      <c r="C5" s="27">
        <v>138210622</v>
      </c>
      <c r="D5" s="24">
        <f t="shared" si="0"/>
        <v>-0.03525633825741692</v>
      </c>
      <c r="E5" s="3"/>
      <c r="F5" s="3"/>
      <c r="G5" s="24"/>
    </row>
    <row r="6" spans="1:4" ht="12.75">
      <c r="A6" s="51" t="s">
        <v>66</v>
      </c>
      <c r="B6" s="27">
        <f>Summary!$G$107</f>
        <v>339992424.48</v>
      </c>
      <c r="C6" s="27">
        <v>378968532</v>
      </c>
      <c r="D6" s="24">
        <f t="shared" si="0"/>
        <v>-0.10284787318436239</v>
      </c>
    </row>
    <row r="7" spans="1:4" ht="12.75">
      <c r="A7" s="51" t="s">
        <v>70</v>
      </c>
      <c r="B7" s="27">
        <f>Summary!$G$151</f>
        <v>395470985.94</v>
      </c>
      <c r="C7" s="27">
        <v>372617634</v>
      </c>
      <c r="D7" s="24">
        <f t="shared" si="0"/>
        <v>0.06133191200500199</v>
      </c>
    </row>
    <row r="8" spans="1:4" ht="12.75">
      <c r="A8" s="51" t="s">
        <v>72</v>
      </c>
      <c r="B8" s="27">
        <f>Summary!$G$243</f>
        <v>226302651.63</v>
      </c>
      <c r="C8" s="27">
        <v>233648784</v>
      </c>
      <c r="D8" s="24">
        <f t="shared" si="0"/>
        <v>-0.031440918477024904</v>
      </c>
    </row>
    <row r="9" spans="1:4" ht="12.75">
      <c r="A9" s="51" t="s">
        <v>104</v>
      </c>
      <c r="B9" s="27">
        <f>Summary!$D$305</f>
        <v>6755466.2424</v>
      </c>
      <c r="C9" s="27">
        <v>8005508</v>
      </c>
      <c r="D9" s="24">
        <f t="shared" si="0"/>
        <v>-0.15614771200028776</v>
      </c>
    </row>
    <row r="10" spans="1:4" ht="12.75">
      <c r="A10" s="51" t="s">
        <v>116</v>
      </c>
      <c r="B10" s="28">
        <v>0</v>
      </c>
      <c r="C10" s="28">
        <v>0</v>
      </c>
      <c r="D10" s="24"/>
    </row>
    <row r="11" ht="12.75">
      <c r="D11" s="24"/>
    </row>
    <row r="12" spans="2:4" ht="12.75">
      <c r="B12" s="28">
        <f>SUM(B4:B11)</f>
        <v>1418161370.7024</v>
      </c>
      <c r="C12" s="28">
        <f>SUM(C4:C11)</f>
        <v>1439264209</v>
      </c>
      <c r="D12" s="24">
        <f t="shared" si="0"/>
        <v>-0.01466224072386424</v>
      </c>
    </row>
    <row r="14" ht="12.75">
      <c r="A14" t="s">
        <v>117</v>
      </c>
    </row>
    <row r="16" spans="1:3" ht="12.75">
      <c r="A16" s="51" t="s">
        <v>96</v>
      </c>
      <c r="B16" s="27">
        <f>C28</f>
        <v>34998854</v>
      </c>
      <c r="C16" s="27">
        <v>34921174</v>
      </c>
    </row>
    <row r="17" spans="1:5" ht="12.75">
      <c r="A17" s="51" t="s">
        <v>63</v>
      </c>
      <c r="B17" s="27">
        <v>5321298</v>
      </c>
      <c r="C17" s="27">
        <f>23574339*E17</f>
        <v>7094808.890704973</v>
      </c>
      <c r="E17" s="3">
        <f>B17/(B17+B18)</f>
        <v>0.3009547326313146</v>
      </c>
    </row>
    <row r="18" spans="1:5" ht="12.75">
      <c r="A18" s="51" t="s">
        <v>66</v>
      </c>
      <c r="B18" s="27">
        <v>12360092</v>
      </c>
      <c r="C18" s="27">
        <f>23574339*E18</f>
        <v>16479530.109295025</v>
      </c>
      <c r="E18" s="3">
        <f>1-E17</f>
        <v>0.6990452673686853</v>
      </c>
    </row>
    <row r="19" spans="1:3" ht="12.75">
      <c r="A19" s="51" t="s">
        <v>70</v>
      </c>
      <c r="B19" s="27">
        <v>27999025</v>
      </c>
      <c r="C19" s="27">
        <v>25814191</v>
      </c>
    </row>
    <row r="20" spans="1:3" ht="12.75">
      <c r="A20" s="51" t="s">
        <v>72</v>
      </c>
      <c r="B20" s="27">
        <v>16455276</v>
      </c>
      <c r="C20" s="27">
        <v>18288255</v>
      </c>
    </row>
    <row r="21" spans="1:3" ht="12.75">
      <c r="A21" s="51" t="s">
        <v>104</v>
      </c>
      <c r="B21" s="27">
        <v>0</v>
      </c>
      <c r="C21" s="27">
        <v>0</v>
      </c>
    </row>
    <row r="22" spans="1:3" ht="12.75">
      <c r="A22" s="51" t="s">
        <v>116</v>
      </c>
      <c r="B22" s="28">
        <v>0</v>
      </c>
      <c r="C22" s="28">
        <v>0</v>
      </c>
    </row>
    <row r="24" spans="2:3" ht="12.75">
      <c r="B24" s="28">
        <f>SUM(B16:B23)</f>
        <v>97134545</v>
      </c>
      <c r="C24" s="28">
        <f>SUM(C16:C23)</f>
        <v>102597959</v>
      </c>
    </row>
    <row r="26" ht="12.75">
      <c r="A26" t="s">
        <v>118</v>
      </c>
    </row>
    <row r="28" spans="1:6" ht="12.75">
      <c r="A28" s="51" t="s">
        <v>96</v>
      </c>
      <c r="B28" s="27">
        <f>'[2]Summary'!$E$41</f>
        <v>45510749.04999994</v>
      </c>
      <c r="C28" s="27">
        <v>34998854</v>
      </c>
      <c r="F28" s="3">
        <f>B28*0.001806</f>
        <v>82192.41278429989</v>
      </c>
    </row>
    <row r="29" spans="1:6" ht="12.75">
      <c r="A29" s="51" t="s">
        <v>63</v>
      </c>
      <c r="B29" s="57">
        <f>'[2]Summary'!$E$57+'[2]Summary'!$E$137</f>
        <v>16830270.9</v>
      </c>
      <c r="C29" s="27">
        <v>5321298</v>
      </c>
      <c r="E29" s="3">
        <f>B29/C29</f>
        <v>3.1628130768094547</v>
      </c>
      <c r="F29" s="1">
        <f>B29*0.001148</f>
        <v>19321.150993199997</v>
      </c>
    </row>
    <row r="30" spans="1:5" ht="12.75">
      <c r="A30" s="51" t="s">
        <v>66</v>
      </c>
      <c r="B30" s="27">
        <f>'[2]Summary'!$E$73</f>
        <v>38986219.20999999</v>
      </c>
      <c r="C30" s="27">
        <v>12360092</v>
      </c>
      <c r="E30" s="3">
        <f>B30/C30</f>
        <v>3.1542013773036635</v>
      </c>
    </row>
    <row r="31" spans="1:3" ht="12.75">
      <c r="A31" s="51" t="s">
        <v>70</v>
      </c>
      <c r="B31" s="27">
        <f>'[2]Summary'!$E$89</f>
        <v>28520328.36</v>
      </c>
      <c r="C31" s="27">
        <v>27999025</v>
      </c>
    </row>
    <row r="32" spans="1:3" ht="12.75">
      <c r="A32" s="51" t="s">
        <v>72</v>
      </c>
      <c r="B32" s="27">
        <f>'[2]Summary'!$E$105</f>
        <v>16903395.63</v>
      </c>
      <c r="C32" s="27">
        <v>16455276</v>
      </c>
    </row>
    <row r="33" spans="1:3" ht="12.75">
      <c r="A33" s="51" t="s">
        <v>104</v>
      </c>
      <c r="B33" s="27">
        <f>'[2]Summary'!$E$122</f>
        <v>701243.79</v>
      </c>
      <c r="C33" s="27">
        <v>0</v>
      </c>
    </row>
    <row r="34" spans="1:3" ht="12.75">
      <c r="A34" s="51" t="s">
        <v>116</v>
      </c>
      <c r="B34" s="28"/>
      <c r="C34" s="28">
        <v>0</v>
      </c>
    </row>
    <row r="36" spans="2:3" ht="12.75">
      <c r="B36" s="28">
        <f>SUM(B28:B35)</f>
        <v>147452206.93999994</v>
      </c>
      <c r="C36" s="28">
        <f>SUM(C28:C35)</f>
        <v>97134545</v>
      </c>
    </row>
    <row r="38" spans="1:16" ht="12.75">
      <c r="A38" t="s">
        <v>119</v>
      </c>
      <c r="H38" t="s">
        <v>123</v>
      </c>
      <c r="I38" t="s">
        <v>124</v>
      </c>
      <c r="J38" t="s">
        <v>125</v>
      </c>
      <c r="K38" t="s">
        <v>126</v>
      </c>
      <c r="L38" t="s">
        <v>127</v>
      </c>
      <c r="M38" t="s">
        <v>128</v>
      </c>
      <c r="N38" t="s">
        <v>129</v>
      </c>
      <c r="O38" t="s">
        <v>130</v>
      </c>
      <c r="P38" t="s">
        <v>131</v>
      </c>
    </row>
    <row r="40" spans="1:16" ht="12.75">
      <c r="A40" s="51" t="s">
        <v>96</v>
      </c>
      <c r="B40" s="27">
        <f>B4-B16+B28</f>
        <v>326813915.9</v>
      </c>
      <c r="C40" s="27">
        <f>C4-C16+C28</f>
        <v>307890809</v>
      </c>
      <c r="D40" s="24">
        <f aca="true" t="shared" si="1" ref="D40:D45">B40/C40-1</f>
        <v>0.061460447492604375</v>
      </c>
      <c r="E40" s="1"/>
      <c r="H40" s="27">
        <v>29400000</v>
      </c>
      <c r="I40" s="3">
        <f>H40/C40</f>
        <v>0.09548839764164574</v>
      </c>
      <c r="J40" s="27">
        <f>ROUND(I40*B40,-3)</f>
        <v>31207000</v>
      </c>
      <c r="K40" s="56">
        <v>35436000</v>
      </c>
      <c r="L40" s="56">
        <f aca="true" t="shared" si="2" ref="L40:L45">J40-H40</f>
        <v>1807000</v>
      </c>
      <c r="M40" s="56">
        <f aca="true" t="shared" si="3" ref="M40:M45">K40-J40</f>
        <v>4229000</v>
      </c>
      <c r="N40" s="24">
        <f>L40/H40</f>
        <v>0.061462585034013605</v>
      </c>
      <c r="O40" s="24">
        <f>M40/H40</f>
        <v>0.143843537414966</v>
      </c>
      <c r="P40" s="24">
        <f>K40/H40-1</f>
        <v>0.2053061224489796</v>
      </c>
    </row>
    <row r="41" spans="1:16" ht="12.75">
      <c r="A41" s="51" t="s">
        <v>63</v>
      </c>
      <c r="B41" s="27">
        <f aca="true" t="shared" si="4" ref="B41:C46">B5-B17+B29</f>
        <v>144846794.46</v>
      </c>
      <c r="C41" s="27">
        <f t="shared" si="4"/>
        <v>136437111.109295</v>
      </c>
      <c r="D41" s="24">
        <f t="shared" si="1"/>
        <v>0.0616377998795965</v>
      </c>
      <c r="E41" s="56">
        <f>B41+B42+B43</f>
        <v>907457635.45</v>
      </c>
      <c r="F41" s="56">
        <f>C41+C42+C43</f>
        <v>886088673</v>
      </c>
      <c r="G41" s="24">
        <f>E41/F41-1</f>
        <v>0.024116054184116775</v>
      </c>
      <c r="H41" s="27">
        <v>66387000</v>
      </c>
      <c r="I41" s="3">
        <f>H41/(C41+C42+C43)</f>
        <v>0.0749213955926508</v>
      </c>
      <c r="J41" s="27">
        <f>ROUND(I41*(B41+B42+B43),-3)</f>
        <v>67988000</v>
      </c>
      <c r="K41" s="56">
        <v>75040000</v>
      </c>
      <c r="L41" s="56">
        <f t="shared" si="2"/>
        <v>1601000</v>
      </c>
      <c r="M41" s="56">
        <f t="shared" si="3"/>
        <v>7052000</v>
      </c>
      <c r="N41" s="24">
        <f>L41/H41</f>
        <v>0.024116167321915436</v>
      </c>
      <c r="O41" s="24">
        <f>M41/H41</f>
        <v>0.10622561646105412</v>
      </c>
      <c r="P41" s="24">
        <f>K41/H41-1</f>
        <v>0.13034178378296946</v>
      </c>
    </row>
    <row r="42" spans="1:13" ht="12.75">
      <c r="A42" s="51" t="s">
        <v>66</v>
      </c>
      <c r="B42" s="27">
        <f>B6-B18+B30</f>
        <v>366618551.69</v>
      </c>
      <c r="C42" s="27">
        <f t="shared" si="4"/>
        <v>374849093.890705</v>
      </c>
      <c r="D42" s="24">
        <f t="shared" si="1"/>
        <v>-0.02195694836894757</v>
      </c>
      <c r="H42" s="27"/>
      <c r="I42" s="3"/>
      <c r="J42" s="27"/>
      <c r="K42" s="56"/>
      <c r="L42" s="56">
        <f t="shared" si="2"/>
        <v>0</v>
      </c>
      <c r="M42" s="56">
        <f t="shared" si="3"/>
        <v>0</v>
      </c>
    </row>
    <row r="43" spans="1:13" ht="12.75">
      <c r="A43" s="51" t="s">
        <v>70</v>
      </c>
      <c r="B43" s="27">
        <f t="shared" si="4"/>
        <v>395992289.3</v>
      </c>
      <c r="C43" s="27">
        <f t="shared" si="4"/>
        <v>374802468</v>
      </c>
      <c r="D43" s="24">
        <f t="shared" si="1"/>
        <v>0.05653597056890258</v>
      </c>
      <c r="H43" s="27"/>
      <c r="I43" s="3"/>
      <c r="J43" s="27"/>
      <c r="K43" s="56"/>
      <c r="L43" s="56">
        <f t="shared" si="2"/>
        <v>0</v>
      </c>
      <c r="M43" s="56">
        <f t="shared" si="3"/>
        <v>0</v>
      </c>
    </row>
    <row r="44" spans="1:16" ht="12.75">
      <c r="A44" s="51" t="s">
        <v>72</v>
      </c>
      <c r="B44" s="27">
        <f t="shared" si="4"/>
        <v>226750771.26</v>
      </c>
      <c r="C44" s="27">
        <f t="shared" si="4"/>
        <v>231815805</v>
      </c>
      <c r="D44" s="24">
        <f t="shared" si="1"/>
        <v>-0.021849389173443146</v>
      </c>
      <c r="H44" s="27">
        <v>14557000</v>
      </c>
      <c r="I44" s="3">
        <f>H44/C44</f>
        <v>0.06279554579982155</v>
      </c>
      <c r="J44" s="27">
        <f>ROUND(I44*B44,-3)</f>
        <v>14239000</v>
      </c>
      <c r="K44" s="56">
        <v>16583000</v>
      </c>
      <c r="L44" s="56">
        <f t="shared" si="2"/>
        <v>-318000</v>
      </c>
      <c r="M44" s="56">
        <f t="shared" si="3"/>
        <v>2344000</v>
      </c>
      <c r="N44" s="24">
        <f>L44/H44</f>
        <v>-0.021845160403929382</v>
      </c>
      <c r="O44" s="24">
        <f>M44/H44</f>
        <v>0.16102218863776877</v>
      </c>
      <c r="P44" s="24">
        <f>K44/H44-1</f>
        <v>0.13917702823383937</v>
      </c>
    </row>
    <row r="45" spans="1:16" ht="12.75">
      <c r="A45" s="51" t="s">
        <v>104</v>
      </c>
      <c r="B45" s="27">
        <f t="shared" si="4"/>
        <v>7456710.0324</v>
      </c>
      <c r="C45" s="27">
        <f t="shared" si="4"/>
        <v>8005508</v>
      </c>
      <c r="D45" s="24">
        <f t="shared" si="1"/>
        <v>-0.06855254752103179</v>
      </c>
      <c r="H45" s="27">
        <v>617000</v>
      </c>
      <c r="I45" s="3">
        <f>H45/C45</f>
        <v>0.07707193597208323</v>
      </c>
      <c r="J45" s="27">
        <f>ROUND(I45*B45,-3)</f>
        <v>575000</v>
      </c>
      <c r="K45" s="56">
        <v>527000</v>
      </c>
      <c r="L45" s="56">
        <f t="shared" si="2"/>
        <v>-42000</v>
      </c>
      <c r="M45" s="56">
        <f t="shared" si="3"/>
        <v>-48000</v>
      </c>
      <c r="N45" s="24">
        <f>L45/H45</f>
        <v>-0.06807131280388978</v>
      </c>
      <c r="O45" s="24">
        <f>M45/H45</f>
        <v>-0.07779578606158834</v>
      </c>
      <c r="P45" s="24">
        <f>K45/H45-1</f>
        <v>-0.1458670988654781</v>
      </c>
    </row>
    <row r="46" spans="1:13" ht="12.75">
      <c r="A46" s="51" t="s">
        <v>116</v>
      </c>
      <c r="B46" s="28">
        <f t="shared" si="4"/>
        <v>0</v>
      </c>
      <c r="C46" s="28">
        <f t="shared" si="4"/>
        <v>0</v>
      </c>
      <c r="D46" s="24"/>
      <c r="H46" s="27"/>
      <c r="J46" s="27"/>
      <c r="K46" s="56"/>
      <c r="L46" s="56"/>
      <c r="M46" s="56"/>
    </row>
    <row r="47" spans="8:13" ht="12.75">
      <c r="H47" s="27"/>
      <c r="J47" s="27"/>
      <c r="K47" s="56"/>
      <c r="L47" s="56"/>
      <c r="M47" s="56"/>
    </row>
    <row r="48" spans="2:16" ht="12.75">
      <c r="B48" s="28">
        <f>SUM(B40:B47)</f>
        <v>1468479032.6423998</v>
      </c>
      <c r="C48" s="28">
        <f>SUM(C40:C47)</f>
        <v>1433800795</v>
      </c>
      <c r="D48" s="24">
        <f>B48/C48-1</f>
        <v>0.024186231283544357</v>
      </c>
      <c r="H48" s="27">
        <f>SUM(H40:H46)</f>
        <v>110961000</v>
      </c>
      <c r="J48" s="27">
        <f>SUM(J40:J46)</f>
        <v>114009000</v>
      </c>
      <c r="K48" s="27">
        <f>SUM(K40:K46)</f>
        <v>127586000</v>
      </c>
      <c r="L48" s="27">
        <f>SUM(L40:L46)</f>
        <v>3048000</v>
      </c>
      <c r="M48" s="27">
        <f>SUM(M40:M46)</f>
        <v>13577000</v>
      </c>
      <c r="N48" s="24">
        <f>L48/H48</f>
        <v>0.027469110768648445</v>
      </c>
      <c r="O48" s="24">
        <f>M48/H48</f>
        <v>0.1223583060715026</v>
      </c>
      <c r="P48" s="24">
        <f>K48/H48-1</f>
        <v>0.149827416840151</v>
      </c>
    </row>
    <row r="49" spans="11:13" ht="12.75">
      <c r="K49" s="56">
        <f>K48-H48</f>
        <v>16625000</v>
      </c>
      <c r="L49" s="56"/>
      <c r="M49" s="56">
        <f>M48+L48</f>
        <v>16625000</v>
      </c>
    </row>
    <row r="50" spans="1:8" ht="12.75">
      <c r="A50" t="s">
        <v>120</v>
      </c>
      <c r="B50" s="55">
        <f>'[3]Sheet1'!$B$16</f>
        <v>1512984889.1</v>
      </c>
      <c r="C50" s="28">
        <v>1467454913</v>
      </c>
      <c r="D50" s="24">
        <f>B50/C50-1</f>
        <v>0.031026490624451508</v>
      </c>
      <c r="H50" t="s">
        <v>123</v>
      </c>
    </row>
    <row r="52" spans="1:4" ht="12.75">
      <c r="A52" t="s">
        <v>121</v>
      </c>
      <c r="B52" s="28">
        <f>B50-B48</f>
        <v>44505856.45760012</v>
      </c>
      <c r="C52" s="28">
        <f>C50-C48</f>
        <v>33654118</v>
      </c>
      <c r="D52" s="24">
        <f>B52/C52-1</f>
        <v>0.32244905237451515</v>
      </c>
    </row>
    <row r="54" spans="1:4" ht="12.75">
      <c r="A54" t="s">
        <v>122</v>
      </c>
      <c r="B54" s="54">
        <f>B52/B50</f>
        <v>0.029415929252323503</v>
      </c>
      <c r="C54" s="54">
        <f>C52/C50</f>
        <v>0.022933664061404794</v>
      </c>
      <c r="D54" s="24">
        <f>B54/C54-1</f>
        <v>0.2826528361784</v>
      </c>
    </row>
    <row r="55" ht="13.5" thickBot="1"/>
    <row r="56" spans="8:10" ht="12.75">
      <c r="H56" s="77" t="s">
        <v>178</v>
      </c>
      <c r="I56" s="85"/>
      <c r="J56" s="86"/>
    </row>
    <row r="57" spans="4:10" ht="12.75">
      <c r="D57" t="s">
        <v>142</v>
      </c>
      <c r="F57" t="s">
        <v>155</v>
      </c>
      <c r="H57" s="78" t="s">
        <v>159</v>
      </c>
      <c r="I57" s="73"/>
      <c r="J57" s="87"/>
    </row>
    <row r="58" spans="1:10" ht="12.75">
      <c r="A58" t="s">
        <v>142</v>
      </c>
      <c r="B58" s="27" t="s">
        <v>139</v>
      </c>
      <c r="C58" s="27" t="s">
        <v>140</v>
      </c>
      <c r="D58" t="s">
        <v>141</v>
      </c>
      <c r="E58" t="s">
        <v>143</v>
      </c>
      <c r="F58" t="s">
        <v>154</v>
      </c>
      <c r="H58" s="79" t="s">
        <v>157</v>
      </c>
      <c r="I58" s="80"/>
      <c r="J58" s="81" t="s">
        <v>158</v>
      </c>
    </row>
    <row r="59" spans="8:10" ht="13.5" thickBot="1">
      <c r="H59" s="88"/>
      <c r="I59" s="89"/>
      <c r="J59" s="90"/>
    </row>
    <row r="60" spans="1:10" ht="12.75">
      <c r="A60" s="94" t="s">
        <v>96</v>
      </c>
      <c r="B60" s="27">
        <f>Res!L87</f>
        <v>406293.11354646005</v>
      </c>
      <c r="C60" s="27">
        <v>82192</v>
      </c>
      <c r="D60" s="56">
        <f aca="true" t="shared" si="5" ref="D60:D65">B60+C60</f>
        <v>488485.11354646005</v>
      </c>
      <c r="E60" s="27">
        <f>ROUND(D60/0.001806*0.005783,0)</f>
        <v>1564180</v>
      </c>
      <c r="F60" s="66">
        <f>+C60/$H$60</f>
        <v>45510520.48726467</v>
      </c>
      <c r="G60" s="56">
        <f>+F60*$H$60-C60</f>
        <v>0</v>
      </c>
      <c r="H60" s="88">
        <v>0.001806</v>
      </c>
      <c r="I60" s="89"/>
      <c r="J60" s="90">
        <v>0.005783</v>
      </c>
    </row>
    <row r="61" spans="1:10" ht="12.75">
      <c r="A61" s="95" t="s">
        <v>63</v>
      </c>
      <c r="B61" s="27">
        <f>'GS&lt;50'!I74</f>
        <v>110172.38672103999</v>
      </c>
      <c r="C61" s="27">
        <v>19321</v>
      </c>
      <c r="D61" s="56">
        <f t="shared" si="5"/>
        <v>129493.38672103999</v>
      </c>
      <c r="E61" s="27">
        <f>ROUND(D61/0.001148*0.003678,0)</f>
        <v>414875</v>
      </c>
      <c r="F61" s="66">
        <f>+C61/$H61</f>
        <v>16830139.3728223</v>
      </c>
      <c r="G61" s="56">
        <f aca="true" t="shared" si="6" ref="G61:G66">+F61*$H61-C61</f>
        <v>0</v>
      </c>
      <c r="H61" s="88">
        <v>0.001148</v>
      </c>
      <c r="I61" s="89"/>
      <c r="J61" s="90">
        <v>0.003678</v>
      </c>
    </row>
    <row r="62" spans="1:10" ht="12.75">
      <c r="A62" s="95" t="s">
        <v>66</v>
      </c>
      <c r="B62" s="27">
        <f>'GS&gt;50'!K60</f>
        <v>141821.45312336003</v>
      </c>
      <c r="C62" s="27">
        <v>18990</v>
      </c>
      <c r="D62" s="56">
        <f t="shared" si="5"/>
        <v>160811.45312336003</v>
      </c>
      <c r="E62" s="27">
        <f>ROUND(D62/0.195271*0.625371,0)</f>
        <v>515012</v>
      </c>
      <c r="F62" s="66">
        <f>+C62/$H62</f>
        <v>97249.4635660185</v>
      </c>
      <c r="G62" s="56">
        <f t="shared" si="6"/>
        <v>0</v>
      </c>
      <c r="H62" s="88">
        <v>0.195271</v>
      </c>
      <c r="I62" s="89"/>
      <c r="J62" s="90">
        <v>0.625371</v>
      </c>
    </row>
    <row r="63" spans="1:10" ht="12.75">
      <c r="A63" s="95" t="s">
        <v>70</v>
      </c>
      <c r="B63" s="27">
        <f>'GS TOU'!K58</f>
        <v>79268.76505677999</v>
      </c>
      <c r="C63" s="27">
        <f>68606.98*0.120059</f>
        <v>8236.88541182</v>
      </c>
      <c r="D63" s="56">
        <f t="shared" si="5"/>
        <v>87505.65046859998</v>
      </c>
      <c r="E63" s="27">
        <f>ROUND(D63/0.120059*0.384498,0)</f>
        <v>280243</v>
      </c>
      <c r="F63" s="66">
        <f>+C63/$H63</f>
        <v>68606.98</v>
      </c>
      <c r="G63" s="56">
        <f t="shared" si="6"/>
        <v>0</v>
      </c>
      <c r="H63" s="88">
        <v>0.120059</v>
      </c>
      <c r="I63" s="89"/>
      <c r="J63" s="90">
        <v>0.384498</v>
      </c>
    </row>
    <row r="64" spans="1:10" ht="12.75">
      <c r="A64" s="95" t="s">
        <v>72</v>
      </c>
      <c r="B64" s="27">
        <f>LU!K58</f>
        <v>31219.104112560002</v>
      </c>
      <c r="C64" s="27">
        <f>30939.48*0.097704</f>
        <v>3022.91095392</v>
      </c>
      <c r="D64" s="56">
        <f t="shared" si="5"/>
        <v>34242.01506648</v>
      </c>
      <c r="E64" s="27">
        <f>ROUND(D64/0.097704*0.312905,0)</f>
        <v>109663</v>
      </c>
      <c r="F64" s="66">
        <f>+C64/$H64</f>
        <v>30939.48</v>
      </c>
      <c r="G64" s="56">
        <f t="shared" si="6"/>
        <v>0</v>
      </c>
      <c r="H64" s="88">
        <v>0.097704</v>
      </c>
      <c r="I64" s="89"/>
      <c r="J64" s="90">
        <v>0.312905</v>
      </c>
    </row>
    <row r="65" spans="1:10" ht="13.5" thickBot="1">
      <c r="A65" s="96" t="s">
        <v>104</v>
      </c>
      <c r="B65" s="27">
        <f>'ST LGT'!I33</f>
        <v>1696.2078305700002</v>
      </c>
      <c r="C65" s="27">
        <f>1696.21*0.101043</f>
        <v>171.39014702999998</v>
      </c>
      <c r="D65" s="56">
        <f t="shared" si="5"/>
        <v>1867.5979776000001</v>
      </c>
      <c r="E65" s="27">
        <f>ROUND(D65/0.101043*0.323597,0)</f>
        <v>5981</v>
      </c>
      <c r="F65" s="66">
        <f>+C65/$H65</f>
        <v>1696.2099999999998</v>
      </c>
      <c r="G65" s="56">
        <f t="shared" si="6"/>
        <v>0</v>
      </c>
      <c r="H65" s="88">
        <v>0.101043</v>
      </c>
      <c r="I65" s="89"/>
      <c r="J65" s="90">
        <v>0.323597</v>
      </c>
    </row>
    <row r="66" spans="1:10" ht="12.75">
      <c r="A66" s="51" t="s">
        <v>116</v>
      </c>
      <c r="C66" s="162"/>
      <c r="G66" s="56">
        <f t="shared" si="6"/>
        <v>0</v>
      </c>
      <c r="H66" s="159">
        <v>0.717076</v>
      </c>
      <c r="I66" s="160"/>
      <c r="J66" s="161">
        <v>2.296497</v>
      </c>
    </row>
    <row r="67" spans="2:10" ht="13.5" thickBot="1">
      <c r="B67" s="27">
        <f>SUM(B60:B66)</f>
        <v>770471.0303907702</v>
      </c>
      <c r="C67" s="27">
        <f>SUM(C60:C66)</f>
        <v>131934.18651277001</v>
      </c>
      <c r="D67" s="27">
        <f>SUM(D60:D66)</f>
        <v>902405.2169035401</v>
      </c>
      <c r="E67" s="27">
        <f>SUM(E60:E66)</f>
        <v>2889954</v>
      </c>
      <c r="F67" s="65">
        <f>SUM(F59:F66)</f>
        <v>62539151.993652984</v>
      </c>
      <c r="G67" s="56"/>
      <c r="H67" s="91"/>
      <c r="I67" s="92"/>
      <c r="J67" s="93"/>
    </row>
    <row r="68" spans="2:5" ht="12.75">
      <c r="B68" s="59">
        <v>0.3862</v>
      </c>
      <c r="D68" s="59">
        <v>0.3862</v>
      </c>
      <c r="E68" s="59">
        <v>1.3862</v>
      </c>
    </row>
    <row r="69" spans="2:5" ht="12.75">
      <c r="B69" s="27">
        <f>B67*(1-B68)</f>
        <v>472915.11845385475</v>
      </c>
      <c r="D69" s="27">
        <f>D67*(1-D68)</f>
        <v>553896.3221353929</v>
      </c>
      <c r="E69" s="27">
        <f>E67*(1-E68)</f>
        <v>-1116100.2348000002</v>
      </c>
    </row>
  </sheetData>
  <sheetProtection/>
  <printOptions/>
  <pageMargins left="0.75" right="0.22" top="0.51" bottom="1" header="0.5" footer="0.5"/>
  <pageSetup fitToHeight="1" fitToWidth="1" horizontalDpi="300" verticalDpi="300" orientation="landscape" scale="55" r:id="rId1"/>
  <headerFooter alignWithMargins="0">
    <oddFooter>&amp;LI:\JD\YE Dec 31 02\GHESI\Stats\&amp;F&amp;A&amp;D&amp;T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4"/>
  <sheetViews>
    <sheetView zoomScale="75" zoomScaleNormal="75" zoomScalePageLayoutView="0" workbookViewId="0" topLeftCell="A184">
      <selection activeCell="G161" sqref="G161"/>
    </sheetView>
  </sheetViews>
  <sheetFormatPr defaultColWidth="9.140625" defaultRowHeight="12.75"/>
  <cols>
    <col min="1" max="1" width="28.7109375" style="0" customWidth="1"/>
    <col min="2" max="2" width="16.57421875" style="1" bestFit="1" customWidth="1"/>
    <col min="3" max="3" width="15.57421875" style="1" bestFit="1" customWidth="1"/>
    <col min="4" max="4" width="17.28125" style="1" bestFit="1" customWidth="1"/>
    <col min="5" max="5" width="17.8515625" style="1" bestFit="1" customWidth="1"/>
    <col min="6" max="6" width="14.00390625" style="27" bestFit="1" customWidth="1"/>
    <col min="7" max="7" width="16.57421875" style="24" bestFit="1" customWidth="1"/>
    <col min="8" max="8" width="15.8515625" style="27" customWidth="1"/>
    <col min="9" max="9" width="15.57421875" style="24" bestFit="1" customWidth="1"/>
    <col min="10" max="10" width="14.421875" style="0" bestFit="1" customWidth="1"/>
    <col min="11" max="11" width="14.8515625" style="0" bestFit="1" customWidth="1"/>
    <col min="12" max="12" width="11.421875" style="0" bestFit="1" customWidth="1"/>
    <col min="13" max="13" width="11.28125" style="0" bestFit="1" customWidth="1"/>
  </cols>
  <sheetData>
    <row r="1" spans="1:3" ht="16.5" thickBot="1">
      <c r="A1" s="64" t="s">
        <v>96</v>
      </c>
      <c r="B1" s="75" t="s">
        <v>182</v>
      </c>
      <c r="C1" s="75"/>
    </row>
    <row r="2" spans="2:14" ht="38.25">
      <c r="B2" s="5" t="s">
        <v>90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109</v>
      </c>
      <c r="I2" s="5" t="s">
        <v>110</v>
      </c>
      <c r="J2" s="4" t="s">
        <v>97</v>
      </c>
      <c r="L2" s="6"/>
      <c r="M2" s="5"/>
      <c r="N2" s="5"/>
    </row>
    <row r="3" ht="12.75">
      <c r="J3" s="27"/>
    </row>
    <row r="4" spans="1:12" ht="12.75">
      <c r="A4" t="s">
        <v>3</v>
      </c>
      <c r="B4" s="1">
        <f>Res!C7</f>
        <v>368741.24</v>
      </c>
      <c r="C4" s="1">
        <f>Res!D7</f>
        <v>237029.78</v>
      </c>
      <c r="D4" s="1">
        <f>Res!E7</f>
        <v>24186393.93</v>
      </c>
      <c r="H4" s="1">
        <f>B4+E4</f>
        <v>368741.24</v>
      </c>
      <c r="I4" s="1">
        <f>C4+F4</f>
        <v>237029.78</v>
      </c>
      <c r="J4" s="27">
        <f>D4+G4</f>
        <v>24186393.93</v>
      </c>
      <c r="K4" s="27">
        <f>J4</f>
        <v>24186393.93</v>
      </c>
      <c r="L4" s="24">
        <f aca="true" t="shared" si="0" ref="L4:L15">K4/K$17</f>
        <v>0.07368620346277756</v>
      </c>
    </row>
    <row r="5" spans="1:12" ht="12.75">
      <c r="A5" t="s">
        <v>4</v>
      </c>
      <c r="B5" s="1">
        <f>Res!C13</f>
        <v>459158.73000000004</v>
      </c>
      <c r="C5" s="1">
        <f>Res!D13</f>
        <v>352596.94</v>
      </c>
      <c r="D5" s="1">
        <f>Res!E13</f>
        <v>35979038.24</v>
      </c>
      <c r="H5" s="1">
        <f aca="true" t="shared" si="1" ref="H5:H15">B5+E5</f>
        <v>459158.73000000004</v>
      </c>
      <c r="I5" s="1">
        <f aca="true" t="shared" si="2" ref="I5:I15">C5+F5</f>
        <v>352596.94</v>
      </c>
      <c r="J5" s="27">
        <f aca="true" t="shared" si="3" ref="J5:J15">D5+G5</f>
        <v>35979038.24</v>
      </c>
      <c r="K5" s="27">
        <f>J5</f>
        <v>35979038.24</v>
      </c>
      <c r="L5" s="24">
        <f t="shared" si="0"/>
        <v>0.10961364227427409</v>
      </c>
    </row>
    <row r="6" spans="1:12" ht="12.75">
      <c r="A6" t="s">
        <v>5</v>
      </c>
      <c r="B6" s="1">
        <f>Res!C19</f>
        <v>303893.900750326</v>
      </c>
      <c r="C6" s="1">
        <f>Res!D19</f>
        <v>202667.13999999998</v>
      </c>
      <c r="D6" s="1">
        <f>Res!E19</f>
        <v>20680225.65</v>
      </c>
      <c r="E6" s="1">
        <f>Res!J19</f>
        <v>52386.57924967402</v>
      </c>
      <c r="F6" s="1">
        <f>Res!K19</f>
        <v>58691.85</v>
      </c>
      <c r="G6" s="1">
        <f>Res!L19</f>
        <v>3242595.37</v>
      </c>
      <c r="H6" s="1">
        <f t="shared" si="1"/>
        <v>356280.48</v>
      </c>
      <c r="I6" s="1">
        <f t="shared" si="2"/>
        <v>261358.99</v>
      </c>
      <c r="J6" s="27">
        <f t="shared" si="3"/>
        <v>23922821.02</v>
      </c>
      <c r="K6" s="27">
        <f>J6</f>
        <v>23922821.02</v>
      </c>
      <c r="L6" s="24">
        <f t="shared" si="0"/>
        <v>0.07288320293571485</v>
      </c>
    </row>
    <row r="7" spans="1:12" ht="12.75">
      <c r="A7" t="s">
        <v>6</v>
      </c>
      <c r="B7" s="1">
        <f>Res!C25</f>
        <v>146281.77068294602</v>
      </c>
      <c r="C7" s="1">
        <f>Res!D25</f>
        <v>103147.11</v>
      </c>
      <c r="D7" s="1">
        <f>Res!E25</f>
        <v>10525132.200000001</v>
      </c>
      <c r="E7" s="1">
        <f>Res!J25</f>
        <v>320691.13931705395</v>
      </c>
      <c r="F7" s="1">
        <f>Res!K25</f>
        <v>389295.89</v>
      </c>
      <c r="G7" s="1">
        <f>Res!L25</f>
        <v>21508015.43</v>
      </c>
      <c r="H7" s="1">
        <f t="shared" si="1"/>
        <v>466972.91</v>
      </c>
      <c r="I7" s="1">
        <f t="shared" si="2"/>
        <v>492443</v>
      </c>
      <c r="J7" s="27">
        <f t="shared" si="3"/>
        <v>32033147.630000003</v>
      </c>
      <c r="K7" s="27">
        <f>J7</f>
        <v>32033147.630000003</v>
      </c>
      <c r="L7" s="24">
        <f t="shared" si="0"/>
        <v>0.09759210242952372</v>
      </c>
    </row>
    <row r="8" spans="1:12" ht="12.75">
      <c r="A8" t="s">
        <v>7</v>
      </c>
      <c r="B8" s="1">
        <f>Res!C31</f>
        <v>817.9690513591506</v>
      </c>
      <c r="C8" s="1">
        <f>Res!D31</f>
        <v>167.19999999999996</v>
      </c>
      <c r="D8" s="1">
        <f>Res!E31</f>
        <v>17064.899999999998</v>
      </c>
      <c r="E8" s="1">
        <f>Res!J31</f>
        <v>348931.2609486408</v>
      </c>
      <c r="F8" s="1">
        <f>Res!K31</f>
        <v>347954.92000000004</v>
      </c>
      <c r="G8" s="1">
        <f>Res!L31</f>
        <v>19224357.84</v>
      </c>
      <c r="H8" s="1">
        <f t="shared" si="1"/>
        <v>349749.23</v>
      </c>
      <c r="I8" s="1">
        <f t="shared" si="2"/>
        <v>348122.12000000005</v>
      </c>
      <c r="J8" s="27">
        <f t="shared" si="3"/>
        <v>19241422.74</v>
      </c>
      <c r="K8" s="27">
        <f>J8+J24</f>
        <v>27241422.74</v>
      </c>
      <c r="L8" s="24">
        <f t="shared" si="0"/>
        <v>0.08299364611544534</v>
      </c>
    </row>
    <row r="9" spans="1:12" ht="12.75">
      <c r="A9" t="s">
        <v>8</v>
      </c>
      <c r="B9" s="1">
        <f>Res!C37</f>
        <v>297.7223652569142</v>
      </c>
      <c r="C9" s="1">
        <f>Res!D37</f>
        <v>-57.019999999999996</v>
      </c>
      <c r="D9" s="1">
        <f>Res!E37</f>
        <v>-5819.379999999999</v>
      </c>
      <c r="E9" s="1">
        <f>Res!J37</f>
        <v>414822.9976347431</v>
      </c>
      <c r="F9" s="1">
        <f>Res!K37</f>
        <v>423872.87</v>
      </c>
      <c r="G9" s="1">
        <f>Res!L37</f>
        <v>23418265.61</v>
      </c>
      <c r="H9" s="1">
        <f t="shared" si="1"/>
        <v>415120.72000000003</v>
      </c>
      <c r="I9" s="1">
        <f t="shared" si="2"/>
        <v>423815.85</v>
      </c>
      <c r="J9" s="27">
        <f t="shared" si="3"/>
        <v>23412446.23</v>
      </c>
      <c r="K9" s="27">
        <f aca="true" t="shared" si="4" ref="K9:K14">J9</f>
        <v>23412446.23</v>
      </c>
      <c r="L9" s="24">
        <f t="shared" si="0"/>
        <v>0.07132829645701215</v>
      </c>
    </row>
    <row r="10" spans="1:12" ht="12.75">
      <c r="A10" t="s">
        <v>9</v>
      </c>
      <c r="B10" s="1">
        <f>Res!C43</f>
        <v>0</v>
      </c>
      <c r="C10" s="1">
        <f>Res!D43</f>
        <v>-391.82</v>
      </c>
      <c r="D10" s="1">
        <f>Res!E43</f>
        <v>-39981.91</v>
      </c>
      <c r="E10" s="1">
        <f>Res!J43</f>
        <v>408298.04</v>
      </c>
      <c r="F10" s="1">
        <f>Res!K43</f>
        <v>392095.56</v>
      </c>
      <c r="G10" s="1">
        <f>Res!L43</f>
        <v>21662826.060000002</v>
      </c>
      <c r="H10" s="1">
        <f t="shared" si="1"/>
        <v>408298.04</v>
      </c>
      <c r="I10" s="1">
        <f t="shared" si="2"/>
        <v>391703.74</v>
      </c>
      <c r="J10" s="27">
        <f t="shared" si="3"/>
        <v>21622844.150000002</v>
      </c>
      <c r="K10" s="27">
        <f t="shared" si="4"/>
        <v>21622844.150000002</v>
      </c>
      <c r="L10" s="24">
        <f t="shared" si="0"/>
        <v>0.06587609951661899</v>
      </c>
    </row>
    <row r="11" spans="1:12" ht="12.75">
      <c r="A11" t="s">
        <v>10</v>
      </c>
      <c r="B11" s="1">
        <f>Res!C49</f>
        <v>0</v>
      </c>
      <c r="C11" s="1">
        <f>Res!D49</f>
        <v>0</v>
      </c>
      <c r="D11" s="1">
        <f>Res!E49</f>
        <v>0</v>
      </c>
      <c r="E11" s="1">
        <f>Res!J49</f>
        <v>449578.21</v>
      </c>
      <c r="F11" s="1">
        <f>Res!K49</f>
        <v>537612.4199999999</v>
      </c>
      <c r="G11" s="1">
        <f>Res!L49</f>
        <v>29703009</v>
      </c>
      <c r="H11" s="1">
        <f t="shared" si="1"/>
        <v>449578.21</v>
      </c>
      <c r="I11" s="1">
        <f t="shared" si="2"/>
        <v>537612.4199999999</v>
      </c>
      <c r="J11" s="27">
        <f t="shared" si="3"/>
        <v>29703009</v>
      </c>
      <c r="K11" s="27">
        <f t="shared" si="4"/>
        <v>29703009</v>
      </c>
      <c r="L11" s="24">
        <f t="shared" si="0"/>
        <v>0.09049310827257798</v>
      </c>
    </row>
    <row r="12" spans="1:12" ht="12.75">
      <c r="A12" t="s">
        <v>11</v>
      </c>
      <c r="B12" s="1">
        <f>Res!C55</f>
        <v>0</v>
      </c>
      <c r="C12" s="1">
        <f>Res!D55</f>
        <v>0</v>
      </c>
      <c r="D12" s="1">
        <f>Res!E55</f>
        <v>0</v>
      </c>
      <c r="E12" s="1">
        <f>Res!J55</f>
        <v>408813.76</v>
      </c>
      <c r="F12" s="1">
        <f>Res!K55</f>
        <v>497828.09</v>
      </c>
      <c r="G12" s="1">
        <f>Res!L55</f>
        <v>27504463.99</v>
      </c>
      <c r="H12" s="1">
        <f t="shared" si="1"/>
        <v>408813.76</v>
      </c>
      <c r="I12" s="1">
        <f t="shared" si="2"/>
        <v>497828.09</v>
      </c>
      <c r="J12" s="27">
        <f t="shared" si="3"/>
        <v>27504463.99</v>
      </c>
      <c r="K12" s="27">
        <f t="shared" si="4"/>
        <v>27504463.99</v>
      </c>
      <c r="L12" s="24">
        <f t="shared" si="0"/>
        <v>0.08379502688856513</v>
      </c>
    </row>
    <row r="13" spans="1:12" ht="12.75">
      <c r="A13" t="s">
        <v>12</v>
      </c>
      <c r="B13" s="1">
        <f>Res!C61</f>
        <v>0</v>
      </c>
      <c r="C13" s="1">
        <f>Res!D61</f>
        <v>-83.64</v>
      </c>
      <c r="D13" s="1">
        <f>Res!E61</f>
        <v>-8534.19</v>
      </c>
      <c r="E13" s="1">
        <f>Res!J61</f>
        <v>441784.76</v>
      </c>
      <c r="F13" s="1">
        <f>Res!K61</f>
        <v>487990.07999999996</v>
      </c>
      <c r="G13" s="1">
        <f>Res!L61</f>
        <v>26960687.17</v>
      </c>
      <c r="H13" s="1">
        <f t="shared" si="1"/>
        <v>441784.76</v>
      </c>
      <c r="I13" s="1">
        <f t="shared" si="2"/>
        <v>487906.43999999994</v>
      </c>
      <c r="J13" s="27">
        <f t="shared" si="3"/>
        <v>26952152.98</v>
      </c>
      <c r="K13" s="27">
        <f t="shared" si="4"/>
        <v>26952152.98</v>
      </c>
      <c r="L13" s="24">
        <f t="shared" si="0"/>
        <v>0.08211235763347159</v>
      </c>
    </row>
    <row r="14" spans="1:12" ht="12.75">
      <c r="A14" t="s">
        <v>13</v>
      </c>
      <c r="E14" s="1">
        <f>Res!Q67</f>
        <v>512265.61</v>
      </c>
      <c r="F14" s="27">
        <f>Res!R67</f>
        <v>519060.11000000004</v>
      </c>
      <c r="G14" s="1">
        <f>Res!L67</f>
        <v>28677299.94</v>
      </c>
      <c r="H14" s="1">
        <f t="shared" si="1"/>
        <v>512265.61</v>
      </c>
      <c r="I14" s="1">
        <f t="shared" si="2"/>
        <v>519060.11000000004</v>
      </c>
      <c r="J14" s="27">
        <f t="shared" si="3"/>
        <v>28677299.94</v>
      </c>
      <c r="K14" s="27">
        <f t="shared" si="4"/>
        <v>28677299.94</v>
      </c>
      <c r="L14" s="24">
        <f t="shared" si="0"/>
        <v>0.08736818577658627</v>
      </c>
    </row>
    <row r="15" spans="1:12" s="83" customFormat="1" ht="12.75">
      <c r="A15" s="7" t="s">
        <v>14</v>
      </c>
      <c r="B15" s="8"/>
      <c r="C15" s="8"/>
      <c r="D15" s="8"/>
      <c r="E15" s="8">
        <f>Res!J73</f>
        <v>365799.23000000004</v>
      </c>
      <c r="F15" s="28">
        <f>Res!K73</f>
        <v>417513.06999999995</v>
      </c>
      <c r="G15" s="8">
        <f>Res!L73</f>
        <v>23066981</v>
      </c>
      <c r="H15" s="8">
        <f t="shared" si="1"/>
        <v>365799.23000000004</v>
      </c>
      <c r="I15" s="8">
        <f t="shared" si="2"/>
        <v>417513.06999999995</v>
      </c>
      <c r="J15" s="28">
        <f t="shared" si="3"/>
        <v>23066981</v>
      </c>
      <c r="K15" s="28">
        <f>J26</f>
        <v>27000000</v>
      </c>
      <c r="L15" s="31">
        <f t="shared" si="0"/>
        <v>0.0822581282374323</v>
      </c>
    </row>
    <row r="16" spans="10:11" ht="12.75">
      <c r="J16" s="27"/>
      <c r="K16" s="24"/>
    </row>
    <row r="17" spans="2:11" ht="12.75">
      <c r="B17" s="1">
        <f aca="true" t="shared" si="5" ref="B17:J17">SUM(B4:B16)</f>
        <v>1279191.3328498881</v>
      </c>
      <c r="C17" s="1">
        <f t="shared" si="5"/>
        <v>895075.69</v>
      </c>
      <c r="D17" s="1">
        <f t="shared" si="5"/>
        <v>91333519.44000001</v>
      </c>
      <c r="E17" s="1">
        <f t="shared" si="5"/>
        <v>3723371.587150112</v>
      </c>
      <c r="F17" s="1">
        <f t="shared" si="5"/>
        <v>4071914.8599999994</v>
      </c>
      <c r="G17" s="1">
        <f t="shared" si="5"/>
        <v>224968501.41000003</v>
      </c>
      <c r="H17" s="1">
        <f t="shared" si="5"/>
        <v>5002562.920000001</v>
      </c>
      <c r="I17" s="1">
        <f t="shared" si="5"/>
        <v>4966990.55</v>
      </c>
      <c r="J17" s="27">
        <f t="shared" si="5"/>
        <v>316302020.85</v>
      </c>
      <c r="K17" s="27">
        <f>SUM(K4:K15)</f>
        <v>328235039.85</v>
      </c>
    </row>
    <row r="18" spans="10:11" ht="12.75">
      <c r="J18" s="27"/>
      <c r="K18" s="24"/>
    </row>
    <row r="19" spans="1:8" s="1" customFormat="1" ht="12.75">
      <c r="A19" s="1" t="s">
        <v>111</v>
      </c>
      <c r="G19" s="58">
        <v>0.001806</v>
      </c>
      <c r="H19" s="27" t="s">
        <v>132</v>
      </c>
    </row>
    <row r="20" spans="1:8" s="1" customFormat="1" ht="12.75">
      <c r="A20" s="1" t="s">
        <v>112</v>
      </c>
      <c r="G20" s="27">
        <f>G17*G19</f>
        <v>406293.11354646005</v>
      </c>
      <c r="H20" s="27" t="s">
        <v>133</v>
      </c>
    </row>
    <row r="21" s="1" customFormat="1" ht="12.75">
      <c r="A21" s="1" t="s">
        <v>113</v>
      </c>
    </row>
    <row r="22" s="1" customFormat="1" ht="12.75"/>
    <row r="23" spans="1:11" ht="12.75">
      <c r="A23" t="s">
        <v>107</v>
      </c>
      <c r="E23" s="1">
        <v>4125922.09</v>
      </c>
      <c r="F23" s="27">
        <v>4030417.37</v>
      </c>
      <c r="I23" s="1">
        <f>H17+I17</f>
        <v>9969553.47</v>
      </c>
      <c r="J23" s="27">
        <v>264557740</v>
      </c>
      <c r="K23" s="1">
        <f>K17/365*14</f>
        <v>12589837.144931508</v>
      </c>
    </row>
    <row r="24" spans="1:10" ht="12.75">
      <c r="A24" t="s">
        <v>105</v>
      </c>
      <c r="E24" s="1">
        <f>E26/3</f>
        <v>149576.42944444442</v>
      </c>
      <c r="F24" s="27">
        <f>J24*0.0181</f>
        <v>144800</v>
      </c>
      <c r="J24" s="27">
        <v>8000000</v>
      </c>
    </row>
    <row r="25" spans="1:10" ht="12.75">
      <c r="A25" t="s">
        <v>106</v>
      </c>
      <c r="E25" s="1">
        <f>'[1]No of Customers'!$D$9*11.77</f>
        <v>433077.14999999997</v>
      </c>
      <c r="F25" s="27">
        <f>J25*0.0181</f>
        <v>490510.00000000006</v>
      </c>
      <c r="J25" s="27">
        <f>27000000+100000</f>
        <v>27100000</v>
      </c>
    </row>
    <row r="26" spans="1:10" ht="12.75">
      <c r="A26" t="s">
        <v>14</v>
      </c>
      <c r="C26" s="67">
        <f>B17/10.99</f>
        <v>116395.93565513086</v>
      </c>
      <c r="E26" s="1">
        <f>'[1]No of Customers'!$E$9*11.77</f>
        <v>448729.2883333333</v>
      </c>
      <c r="F26" s="27">
        <f>J26*0.0181</f>
        <v>488700.00000000006</v>
      </c>
      <c r="J26" s="27">
        <v>27000000</v>
      </c>
    </row>
    <row r="27" spans="3:10" ht="12.75">
      <c r="C27" s="69">
        <v>0.8994</v>
      </c>
      <c r="J27" s="27"/>
    </row>
    <row r="28" spans="3:10" ht="13.5" thickBot="1">
      <c r="C28" s="70">
        <f>C26*C27</f>
        <v>104686.50452822469</v>
      </c>
      <c r="E28" s="1">
        <f>ROUND(SUM(E23:E26),-3)</f>
        <v>5157000</v>
      </c>
      <c r="F28" s="27">
        <f>ROUND(SUM(F23:F27),-3)</f>
        <v>5154000</v>
      </c>
      <c r="J28" s="27">
        <f>ROUND(SUM(J23:J27),-6)</f>
        <v>327000000</v>
      </c>
    </row>
    <row r="29" spans="1:10" ht="12.75">
      <c r="A29" s="106"/>
      <c r="B29" s="107"/>
      <c r="C29" s="107"/>
      <c r="D29" s="107"/>
      <c r="E29" s="107"/>
      <c r="F29" s="108"/>
      <c r="G29" s="109" t="s">
        <v>191</v>
      </c>
      <c r="H29" s="110"/>
      <c r="J29" s="27"/>
    </row>
    <row r="30" spans="1:10" ht="15">
      <c r="A30" s="82"/>
      <c r="B30" s="111"/>
      <c r="C30" s="100"/>
      <c r="D30" s="100"/>
      <c r="E30" s="100"/>
      <c r="F30" s="101"/>
      <c r="G30" s="112">
        <f>+Stats!H60</f>
        <v>0.001806</v>
      </c>
      <c r="H30" s="113">
        <f>+Stats!J60</f>
        <v>0.005783</v>
      </c>
      <c r="J30" s="27"/>
    </row>
    <row r="31" spans="1:10" ht="15">
      <c r="A31" s="82"/>
      <c r="B31" s="111" t="s">
        <v>160</v>
      </c>
      <c r="C31" s="100"/>
      <c r="D31" s="100"/>
      <c r="E31" s="100"/>
      <c r="F31" s="101"/>
      <c r="G31" s="114">
        <v>2001</v>
      </c>
      <c r="H31" s="115">
        <v>2002</v>
      </c>
      <c r="J31" s="27"/>
    </row>
    <row r="32" spans="1:10" ht="12.75">
      <c r="A32" s="116" t="s">
        <v>152</v>
      </c>
      <c r="B32" s="117">
        <f>+G6</f>
        <v>3242595.37</v>
      </c>
      <c r="C32" s="100"/>
      <c r="D32" s="100"/>
      <c r="E32" s="100"/>
      <c r="F32" s="101"/>
      <c r="G32" s="118">
        <f aca="true" t="shared" si="6" ref="G32:G41">+G6*$G$30</f>
        <v>5856.12723822</v>
      </c>
      <c r="H32" s="119">
        <f aca="true" t="shared" si="7" ref="H32:H41">+G6*$H$30</f>
        <v>18751.92902471</v>
      </c>
      <c r="J32" s="27"/>
    </row>
    <row r="33" spans="1:10" ht="12.75">
      <c r="A33" s="116" t="s">
        <v>144</v>
      </c>
      <c r="B33" s="117">
        <f aca="true" t="shared" si="8" ref="B33:B41">+G7</f>
        <v>21508015.43</v>
      </c>
      <c r="C33" s="100"/>
      <c r="D33" s="100"/>
      <c r="E33" s="100"/>
      <c r="F33" s="101"/>
      <c r="G33" s="118">
        <f t="shared" si="6"/>
        <v>38843.475866580004</v>
      </c>
      <c r="H33" s="119">
        <f t="shared" si="7"/>
        <v>124380.85323169</v>
      </c>
      <c r="J33" s="27"/>
    </row>
    <row r="34" spans="1:10" ht="12.75">
      <c r="A34" s="116" t="s">
        <v>7</v>
      </c>
      <c r="B34" s="117">
        <f t="shared" si="8"/>
        <v>19224357.84</v>
      </c>
      <c r="C34" s="100"/>
      <c r="D34" s="100"/>
      <c r="E34" s="100"/>
      <c r="F34" s="101"/>
      <c r="G34" s="118">
        <f t="shared" si="6"/>
        <v>34719.19025904</v>
      </c>
      <c r="H34" s="119">
        <f t="shared" si="7"/>
        <v>111174.46138872</v>
      </c>
      <c r="J34" s="27"/>
    </row>
    <row r="35" spans="1:10" ht="12.75">
      <c r="A35" s="116" t="s">
        <v>145</v>
      </c>
      <c r="B35" s="117">
        <f t="shared" si="8"/>
        <v>23418265.61</v>
      </c>
      <c r="C35" s="100"/>
      <c r="D35" s="100"/>
      <c r="E35" s="67"/>
      <c r="F35" s="101"/>
      <c r="G35" s="118">
        <f t="shared" si="6"/>
        <v>42293.38769166</v>
      </c>
      <c r="H35" s="119">
        <f t="shared" si="7"/>
        <v>135427.83002263</v>
      </c>
      <c r="J35" s="27"/>
    </row>
    <row r="36" spans="1:8" ht="12.75">
      <c r="A36" s="116" t="s">
        <v>146</v>
      </c>
      <c r="B36" s="117">
        <f t="shared" si="8"/>
        <v>21662826.060000002</v>
      </c>
      <c r="D36" s="100"/>
      <c r="E36" s="68">
        <f>E17/11.77</f>
        <v>316344.2300042576</v>
      </c>
      <c r="F36" s="101"/>
      <c r="G36" s="118">
        <f t="shared" si="6"/>
        <v>39123.06386436</v>
      </c>
      <c r="H36" s="119">
        <f t="shared" si="7"/>
        <v>125276.12310498001</v>
      </c>
    </row>
    <row r="37" spans="1:8" ht="12.75">
      <c r="A37" s="116" t="s">
        <v>147</v>
      </c>
      <c r="B37" s="117">
        <f t="shared" si="8"/>
        <v>29703009</v>
      </c>
      <c r="D37" s="100"/>
      <c r="E37" s="69">
        <v>0.8994</v>
      </c>
      <c r="F37" s="101"/>
      <c r="G37" s="118">
        <f t="shared" si="6"/>
        <v>53643.634254000004</v>
      </c>
      <c r="H37" s="119">
        <f t="shared" si="7"/>
        <v>171772.501047</v>
      </c>
    </row>
    <row r="38" spans="1:8" ht="12.75">
      <c r="A38" s="116" t="s">
        <v>148</v>
      </c>
      <c r="B38" s="117">
        <f t="shared" si="8"/>
        <v>27504463.99</v>
      </c>
      <c r="D38" s="100"/>
      <c r="E38" s="68">
        <f>E36*E37</f>
        <v>284520.0004658293</v>
      </c>
      <c r="F38" s="101"/>
      <c r="G38" s="118">
        <f t="shared" si="6"/>
        <v>49673.061965939996</v>
      </c>
      <c r="H38" s="119">
        <f t="shared" si="7"/>
        <v>159058.31525416998</v>
      </c>
    </row>
    <row r="39" spans="1:8" ht="12.75">
      <c r="A39" s="116" t="s">
        <v>149</v>
      </c>
      <c r="B39" s="117">
        <f t="shared" si="8"/>
        <v>26960687.17</v>
      </c>
      <c r="C39" s="100"/>
      <c r="D39" s="100"/>
      <c r="E39" s="70">
        <f>E38</f>
        <v>284520.0004658293</v>
      </c>
      <c r="F39" s="101"/>
      <c r="G39" s="118">
        <f t="shared" si="6"/>
        <v>48691.00102902001</v>
      </c>
      <c r="H39" s="119">
        <f t="shared" si="7"/>
        <v>155913.65390411002</v>
      </c>
    </row>
    <row r="40" spans="1:8" ht="12.75">
      <c r="A40" s="116" t="s">
        <v>150</v>
      </c>
      <c r="B40" s="117">
        <f t="shared" si="8"/>
        <v>28677299.94</v>
      </c>
      <c r="C40" s="100"/>
      <c r="D40" s="100"/>
      <c r="E40" s="100"/>
      <c r="F40" s="101"/>
      <c r="G40" s="118">
        <f t="shared" si="6"/>
        <v>51791.20369164</v>
      </c>
      <c r="H40" s="119">
        <f t="shared" si="7"/>
        <v>165840.82555302</v>
      </c>
    </row>
    <row r="41" spans="1:8" ht="12.75">
      <c r="A41" s="116" t="s">
        <v>151</v>
      </c>
      <c r="B41" s="117">
        <f t="shared" si="8"/>
        <v>23066981</v>
      </c>
      <c r="C41" s="100"/>
      <c r="D41" s="100"/>
      <c r="E41" s="100"/>
      <c r="F41" s="101"/>
      <c r="G41" s="118">
        <f t="shared" si="6"/>
        <v>41658.967686</v>
      </c>
      <c r="H41" s="119">
        <f t="shared" si="7"/>
        <v>133396.351123</v>
      </c>
    </row>
    <row r="42" spans="1:8" ht="12.75">
      <c r="A42" s="116" t="s">
        <v>156</v>
      </c>
      <c r="B42" s="120">
        <f>+Stats!F60</f>
        <v>45510520.48726467</v>
      </c>
      <c r="C42" s="100"/>
      <c r="D42" s="100"/>
      <c r="E42" s="100"/>
      <c r="F42" s="101"/>
      <c r="G42" s="118">
        <f>+B42*G30</f>
        <v>82192</v>
      </c>
      <c r="H42" s="121">
        <f>+B42*H30</f>
        <v>263187.3399778516</v>
      </c>
    </row>
    <row r="43" spans="1:8" ht="13.5" thickBot="1">
      <c r="A43" s="116"/>
      <c r="B43" s="104">
        <f>SUM(B32:B42)</f>
        <v>270479021.8972647</v>
      </c>
      <c r="C43" s="100"/>
      <c r="D43" s="100"/>
      <c r="E43" s="100"/>
      <c r="F43" s="101"/>
      <c r="G43" s="72">
        <f>SUM(G32:G42)</f>
        <v>488485.11354646</v>
      </c>
      <c r="H43" s="122">
        <f>SUM(H32:H42)</f>
        <v>1564180.1836318816</v>
      </c>
    </row>
    <row r="44" spans="1:8" ht="13.5" thickBot="1">
      <c r="A44" s="123"/>
      <c r="B44" s="16"/>
      <c r="C44" s="16"/>
      <c r="D44" s="16"/>
      <c r="E44" s="16"/>
      <c r="F44" s="124"/>
      <c r="G44" s="16">
        <f>+G43-Stats!D60</f>
        <v>0</v>
      </c>
      <c r="H44" s="125">
        <f>+H43-Stats!E60</f>
        <v>0.18363188160583377</v>
      </c>
    </row>
    <row r="45" spans="1:9" s="20" customFormat="1" ht="16.5" thickBot="1">
      <c r="A45" s="105" t="s">
        <v>63</v>
      </c>
      <c r="B45" s="75" t="s">
        <v>192</v>
      </c>
      <c r="C45" s="75"/>
      <c r="D45" s="21"/>
      <c r="E45" s="21"/>
      <c r="F45" s="25"/>
      <c r="G45" s="29"/>
      <c r="H45" s="25"/>
      <c r="I45" s="29"/>
    </row>
    <row r="47" spans="2:9" s="4" customFormat="1" ht="12.75">
      <c r="B47" s="5" t="s">
        <v>64</v>
      </c>
      <c r="C47" s="5" t="s">
        <v>65</v>
      </c>
      <c r="D47" s="5" t="s">
        <v>73</v>
      </c>
      <c r="E47" s="5"/>
      <c r="F47" s="26"/>
      <c r="G47" s="30"/>
      <c r="H47" s="26"/>
      <c r="I47" s="30"/>
    </row>
    <row r="48" spans="2:9" s="22" customFormat="1" ht="12.75">
      <c r="B48" s="23">
        <v>2002</v>
      </c>
      <c r="C48" s="23">
        <v>2002</v>
      </c>
      <c r="D48" s="23">
        <v>2002</v>
      </c>
      <c r="E48" s="23"/>
      <c r="F48" s="26"/>
      <c r="G48" s="30"/>
      <c r="H48" s="26"/>
      <c r="I48" s="30"/>
    </row>
    <row r="50" spans="1:7" ht="12.75">
      <c r="A50" t="s">
        <v>3</v>
      </c>
      <c r="B50" s="1">
        <f>'GS&lt;50'!C9</f>
        <v>14235023.56</v>
      </c>
      <c r="C50" s="1">
        <f>'GS&lt;50'!C87</f>
        <v>14235023.69</v>
      </c>
      <c r="F50" s="27">
        <f>B50</f>
        <v>14235023.56</v>
      </c>
      <c r="G50" s="50">
        <f>F50/F$63</f>
        <v>0.09818191017952967</v>
      </c>
    </row>
    <row r="51" spans="1:7" ht="12.75">
      <c r="A51" t="s">
        <v>4</v>
      </c>
      <c r="B51" s="1">
        <f>'GS&lt;50'!C13</f>
        <v>12098748.47</v>
      </c>
      <c r="C51" s="1">
        <f>'GS&lt;50'!C91</f>
        <v>12098748.53</v>
      </c>
      <c r="F51" s="27">
        <f aca="true" t="shared" si="9" ref="F51:F60">B51</f>
        <v>12098748.47</v>
      </c>
      <c r="G51" s="50">
        <f aca="true" t="shared" si="10" ref="G51:G61">F51/F$63</f>
        <v>0.08344757776897294</v>
      </c>
    </row>
    <row r="52" spans="1:7" ht="12.75">
      <c r="A52" t="s">
        <v>5</v>
      </c>
      <c r="B52" s="1">
        <f>'GS&lt;50'!C18</f>
        <v>10769433.6</v>
      </c>
      <c r="C52" s="1">
        <f>'GS&lt;50'!C95</f>
        <v>10769433.74</v>
      </c>
      <c r="F52" s="27">
        <f t="shared" si="9"/>
        <v>10769433.6</v>
      </c>
      <c r="G52" s="50">
        <f t="shared" si="10"/>
        <v>0.07427901737871158</v>
      </c>
    </row>
    <row r="53" spans="1:7" ht="12.75">
      <c r="A53" t="s">
        <v>6</v>
      </c>
      <c r="B53" s="1">
        <f>'GS&lt;50'!C24</f>
        <v>12542603.5</v>
      </c>
      <c r="C53" s="1">
        <f>'GS&lt;50'!C99</f>
        <v>12542595.63</v>
      </c>
      <c r="F53" s="27">
        <f t="shared" si="9"/>
        <v>12542603.5</v>
      </c>
      <c r="G53" s="50">
        <f t="shared" si="10"/>
        <v>0.08650893797708997</v>
      </c>
    </row>
    <row r="54" spans="1:7" ht="12.75">
      <c r="A54" t="s">
        <v>7</v>
      </c>
      <c r="B54" s="1">
        <f>'GS&lt;50'!C30</f>
        <v>1662905.9000000001</v>
      </c>
      <c r="C54" s="1">
        <f>'GS&lt;50'!C103</f>
        <v>1598213.0499999998</v>
      </c>
      <c r="F54" s="27">
        <f>B54+B67</f>
        <v>10662905.9</v>
      </c>
      <c r="G54" s="50">
        <f t="shared" si="10"/>
        <v>0.07354427373540483</v>
      </c>
    </row>
    <row r="55" spans="1:7" ht="12.75">
      <c r="A55" t="s">
        <v>8</v>
      </c>
      <c r="B55" s="1">
        <f>'GS&lt;50'!C36</f>
        <v>10346585.7</v>
      </c>
      <c r="C55" s="1">
        <f>'GS&lt;50'!C107</f>
        <v>2466932.72</v>
      </c>
      <c r="F55" s="27">
        <f t="shared" si="9"/>
        <v>10346585.7</v>
      </c>
      <c r="G55" s="50">
        <f t="shared" si="10"/>
        <v>0.07136254770358849</v>
      </c>
    </row>
    <row r="56" spans="1:7" ht="12.75">
      <c r="A56" t="s">
        <v>9</v>
      </c>
      <c r="B56" s="1">
        <f>'GS&lt;50'!C41</f>
        <v>11562479.999999998</v>
      </c>
      <c r="C56" s="1">
        <f>'GS&lt;50'!C111</f>
        <v>14685.44</v>
      </c>
      <c r="F56" s="27">
        <f t="shared" si="9"/>
        <v>11562479.999999998</v>
      </c>
      <c r="G56" s="50">
        <f t="shared" si="10"/>
        <v>0.07974882289640609</v>
      </c>
    </row>
    <row r="57" spans="1:7" ht="12.75">
      <c r="A57" t="s">
        <v>10</v>
      </c>
      <c r="B57" s="1">
        <f>'GS&lt;50'!C47</f>
        <v>12690713.200000001</v>
      </c>
      <c r="C57" s="1">
        <f>'GS&lt;50'!C115</f>
        <v>2188.18</v>
      </c>
      <c r="F57" s="27">
        <f t="shared" si="9"/>
        <v>12690713.200000001</v>
      </c>
      <c r="G57" s="50">
        <f t="shared" si="10"/>
        <v>0.0875304812995035</v>
      </c>
    </row>
    <row r="58" spans="1:7" ht="12.75">
      <c r="A58" t="s">
        <v>11</v>
      </c>
      <c r="B58" s="1">
        <f>'GS&lt;50'!C53</f>
        <v>12784640.7</v>
      </c>
      <c r="F58" s="27">
        <f t="shared" si="9"/>
        <v>12784640.7</v>
      </c>
      <c r="G58" s="50">
        <f t="shared" si="10"/>
        <v>0.08817831874982575</v>
      </c>
    </row>
    <row r="59" spans="1:7" ht="12.75">
      <c r="A59" t="s">
        <v>12</v>
      </c>
      <c r="B59" s="1">
        <f>'GS&lt;50'!C59</f>
        <v>12277745.2</v>
      </c>
      <c r="F59" s="27">
        <f t="shared" si="9"/>
        <v>12277745.2</v>
      </c>
      <c r="G59" s="50">
        <f t="shared" si="10"/>
        <v>0.08468215534400925</v>
      </c>
    </row>
    <row r="60" spans="1:7" ht="12.75">
      <c r="A60" t="s">
        <v>13</v>
      </c>
      <c r="B60" s="1">
        <f>'GS&lt;50'!C65</f>
        <v>12015335.39</v>
      </c>
      <c r="F60" s="27">
        <f t="shared" si="9"/>
        <v>12015335.39</v>
      </c>
      <c r="G60" s="50">
        <f t="shared" si="10"/>
        <v>0.08287226045433424</v>
      </c>
    </row>
    <row r="61" spans="1:9" s="83" customFormat="1" ht="12.75">
      <c r="A61" s="7" t="s">
        <v>14</v>
      </c>
      <c r="B61" s="8">
        <f>'GS&lt;50'!C71</f>
        <v>10351606.34</v>
      </c>
      <c r="C61" s="8"/>
      <c r="D61" s="8"/>
      <c r="E61" s="8"/>
      <c r="F61" s="28">
        <f>B69</f>
        <v>13000000</v>
      </c>
      <c r="G61" s="103">
        <f t="shared" si="10"/>
        <v>0.08966369651262353</v>
      </c>
      <c r="H61" s="28"/>
      <c r="I61" s="102"/>
    </row>
    <row r="63" spans="2:6" ht="12.75">
      <c r="B63" s="1">
        <f>SUM(B50:B62)</f>
        <v>133337821.56000002</v>
      </c>
      <c r="D63" s="1">
        <v>104468000</v>
      </c>
      <c r="E63" s="24">
        <f>B63/D63</f>
        <v>1.2763508592104762</v>
      </c>
      <c r="F63" s="27">
        <f>SUM(F50:F61)</f>
        <v>144986215.22000003</v>
      </c>
    </row>
    <row r="64" spans="4:5" ht="12.75">
      <c r="D64" s="1">
        <f>D63/12</f>
        <v>8705666.666666666</v>
      </c>
      <c r="E64" s="24">
        <f>8/12</f>
        <v>0.6666666666666666</v>
      </c>
    </row>
    <row r="66" spans="1:4" s="27" customFormat="1" ht="12.75">
      <c r="A66" s="27" t="s">
        <v>107</v>
      </c>
      <c r="B66" s="27">
        <v>110970880</v>
      </c>
      <c r="C66" s="27">
        <v>1970357.09</v>
      </c>
      <c r="D66" s="27">
        <v>326934.53</v>
      </c>
    </row>
    <row r="67" spans="1:4" s="27" customFormat="1" ht="12.75">
      <c r="A67" s="27" t="s">
        <v>105</v>
      </c>
      <c r="B67" s="27">
        <v>9000000</v>
      </c>
      <c r="C67" s="27">
        <f>B67*0.0193</f>
        <v>173700</v>
      </c>
      <c r="D67" s="27">
        <f>D69/3</f>
        <v>10838.640222222222</v>
      </c>
    </row>
    <row r="68" spans="1:4" s="27" customFormat="1" ht="12.75">
      <c r="A68" s="27" t="s">
        <v>106</v>
      </c>
      <c r="B68" s="27">
        <v>13000000</v>
      </c>
      <c r="C68" s="27">
        <f>B68*0.0193</f>
        <v>250900.00000000003</v>
      </c>
      <c r="D68" s="27">
        <f>'[1]No of Customers'!$D$17*9.62</f>
        <v>31447.78</v>
      </c>
    </row>
    <row r="69" spans="1:4" s="27" customFormat="1" ht="12.75">
      <c r="A69" s="27" t="s">
        <v>14</v>
      </c>
      <c r="B69" s="27">
        <v>13000000</v>
      </c>
      <c r="C69" s="27">
        <f>B69*0.0193</f>
        <v>250900.00000000003</v>
      </c>
      <c r="D69" s="27">
        <f>'[1]No of Customers'!$E$17*9.62</f>
        <v>32515.920666666665</v>
      </c>
    </row>
    <row r="70" s="27" customFormat="1" ht="12.75"/>
    <row r="71" spans="2:4" s="27" customFormat="1" ht="13.5" thickBot="1">
      <c r="B71" s="27">
        <f>ROUND(SUM(B66:B70),-6)</f>
        <v>146000000</v>
      </c>
      <c r="C71" s="27">
        <f>ROUND(SUM(C66:C70),-3)</f>
        <v>2646000</v>
      </c>
      <c r="D71" s="27">
        <f>ROUND(SUM(D66:D70),-3)</f>
        <v>402000</v>
      </c>
    </row>
    <row r="72" spans="1:8" s="27" customFormat="1" ht="12.75">
      <c r="A72" s="126"/>
      <c r="B72" s="108"/>
      <c r="C72" s="108"/>
      <c r="D72" s="108"/>
      <c r="E72" s="108"/>
      <c r="F72" s="108"/>
      <c r="G72" s="109" t="s">
        <v>193</v>
      </c>
      <c r="H72" s="110"/>
    </row>
    <row r="73" spans="1:8" s="27" customFormat="1" ht="12.75">
      <c r="A73" s="127"/>
      <c r="B73" s="101"/>
      <c r="C73" s="101"/>
      <c r="D73" s="101"/>
      <c r="E73" s="101"/>
      <c r="F73" s="101"/>
      <c r="G73" s="112">
        <f>+Stats!H61</f>
        <v>0.001148</v>
      </c>
      <c r="H73" s="113">
        <f>+Stats!J61</f>
        <v>0.003678</v>
      </c>
    </row>
    <row r="74" spans="1:8" ht="15">
      <c r="A74" s="82"/>
      <c r="B74" s="128" t="s">
        <v>161</v>
      </c>
      <c r="C74" s="100"/>
      <c r="D74" s="100"/>
      <c r="E74" s="100"/>
      <c r="F74" s="101"/>
      <c r="G74" s="114">
        <v>2001</v>
      </c>
      <c r="H74" s="115">
        <v>2002</v>
      </c>
    </row>
    <row r="75" spans="1:8" ht="12.75">
      <c r="A75" s="116" t="s">
        <v>152</v>
      </c>
      <c r="B75" s="100">
        <f>+'GS&lt;50'!I18</f>
        <v>0</v>
      </c>
      <c r="C75" s="100"/>
      <c r="D75" s="100"/>
      <c r="E75" s="100"/>
      <c r="F75" s="101"/>
      <c r="G75" s="118">
        <f aca="true" t="shared" si="11" ref="G75:G85">+B75*$G$73</f>
        <v>0</v>
      </c>
      <c r="H75" s="119">
        <f aca="true" t="shared" si="12" ref="H75:H85">+B75*$H$73</f>
        <v>0</v>
      </c>
    </row>
    <row r="76" spans="1:8" ht="12.75">
      <c r="A76" s="116" t="s">
        <v>144</v>
      </c>
      <c r="B76" s="100">
        <f>+'GS&lt;50'!I22+'GS&lt;50'!I23</f>
        <v>12242946.12</v>
      </c>
      <c r="C76" s="100"/>
      <c r="D76" s="100"/>
      <c r="E76" s="100"/>
      <c r="F76" s="101"/>
      <c r="G76" s="118">
        <f t="shared" si="11"/>
        <v>14054.902145759997</v>
      </c>
      <c r="H76" s="119">
        <f t="shared" si="12"/>
        <v>45029.55582936</v>
      </c>
    </row>
    <row r="77" spans="1:8" ht="12.75">
      <c r="A77" s="116" t="s">
        <v>7</v>
      </c>
      <c r="B77" s="100">
        <f>+'GS&lt;50'!I28+'GS&lt;50'!I29</f>
        <v>1661891.33</v>
      </c>
      <c r="C77" s="100"/>
      <c r="D77" s="100"/>
      <c r="E77" s="100"/>
      <c r="F77" s="101"/>
      <c r="G77" s="118">
        <f t="shared" si="11"/>
        <v>1907.85124684</v>
      </c>
      <c r="H77" s="119">
        <f t="shared" si="12"/>
        <v>6112.43631174</v>
      </c>
    </row>
    <row r="78" spans="1:8" ht="12.75">
      <c r="A78" s="116" t="s">
        <v>145</v>
      </c>
      <c r="B78" s="100">
        <f>+'GS&lt;50'!I34+'GS&lt;50'!I35</f>
        <v>10380087.18</v>
      </c>
      <c r="C78" s="100"/>
      <c r="D78" s="100"/>
      <c r="E78" s="100"/>
      <c r="F78" s="101"/>
      <c r="G78" s="118">
        <f t="shared" si="11"/>
        <v>11916.34008264</v>
      </c>
      <c r="H78" s="119">
        <f t="shared" si="12"/>
        <v>38177.960648039996</v>
      </c>
    </row>
    <row r="79" spans="1:8" ht="12.75">
      <c r="A79" s="116" t="s">
        <v>146</v>
      </c>
      <c r="B79" s="100">
        <f>+'GS&lt;50'!I38+'GS&lt;50'!I39</f>
        <v>11564811.709999999</v>
      </c>
      <c r="C79" s="100"/>
      <c r="D79" s="100"/>
      <c r="E79" s="100"/>
      <c r="F79" s="101"/>
      <c r="G79" s="118">
        <f t="shared" si="11"/>
        <v>13276.403843079997</v>
      </c>
      <c r="H79" s="119">
        <f t="shared" si="12"/>
        <v>42535.37746937999</v>
      </c>
    </row>
    <row r="80" spans="1:8" ht="12.75">
      <c r="A80" s="116" t="s">
        <v>147</v>
      </c>
      <c r="B80" s="100">
        <f>+'GS&lt;50'!I44+'GS&lt;50'!I46</f>
        <v>12689914.010000002</v>
      </c>
      <c r="C80" s="100"/>
      <c r="D80" s="100"/>
      <c r="E80" s="100"/>
      <c r="F80" s="101"/>
      <c r="G80" s="118">
        <f t="shared" si="11"/>
        <v>14568.02128348</v>
      </c>
      <c r="H80" s="119">
        <f t="shared" si="12"/>
        <v>46673.50372878</v>
      </c>
    </row>
    <row r="81" spans="1:8" ht="12.75">
      <c r="A81" s="116" t="s">
        <v>148</v>
      </c>
      <c r="B81" s="100">
        <f>+'GS&lt;50'!I50+'GS&lt;50'!I52</f>
        <v>12784640.7</v>
      </c>
      <c r="C81" s="100"/>
      <c r="D81" s="100"/>
      <c r="E81" s="100"/>
      <c r="F81" s="101"/>
      <c r="G81" s="118">
        <f t="shared" si="11"/>
        <v>14676.767523599998</v>
      </c>
      <c r="H81" s="119">
        <f t="shared" si="12"/>
        <v>47021.90849459999</v>
      </c>
    </row>
    <row r="82" spans="1:8" ht="12.75">
      <c r="A82" s="116" t="s">
        <v>149</v>
      </c>
      <c r="B82" s="100">
        <f>+'GS&lt;50'!I56+'GS&lt;50'!I58</f>
        <v>12277745.2</v>
      </c>
      <c r="C82" s="100"/>
      <c r="D82" s="100"/>
      <c r="E82" s="100"/>
      <c r="F82" s="101"/>
      <c r="G82" s="118">
        <f t="shared" si="11"/>
        <v>14094.851489599998</v>
      </c>
      <c r="H82" s="119">
        <f t="shared" si="12"/>
        <v>45157.546845599994</v>
      </c>
    </row>
    <row r="83" spans="1:8" ht="12.75">
      <c r="A83" s="116" t="s">
        <v>150</v>
      </c>
      <c r="B83" s="100">
        <f>+'GS&lt;50'!I62+'GS&lt;50'!I64</f>
        <v>12015335.39</v>
      </c>
      <c r="C83" s="100"/>
      <c r="D83" s="100"/>
      <c r="E83" s="100"/>
      <c r="F83" s="101"/>
      <c r="G83" s="118">
        <f t="shared" si="11"/>
        <v>13793.60502772</v>
      </c>
      <c r="H83" s="119">
        <f t="shared" si="12"/>
        <v>44192.40356442</v>
      </c>
    </row>
    <row r="84" spans="1:8" ht="12.75">
      <c r="A84" s="116" t="s">
        <v>151</v>
      </c>
      <c r="B84" s="100">
        <f>+'GS&lt;50'!I68+'GS&lt;50'!I70</f>
        <v>10351606.34</v>
      </c>
      <c r="C84" s="100"/>
      <c r="D84" s="100"/>
      <c r="E84" s="100"/>
      <c r="F84" s="101"/>
      <c r="G84" s="118">
        <f t="shared" si="11"/>
        <v>11883.64407832</v>
      </c>
      <c r="H84" s="119">
        <f t="shared" si="12"/>
        <v>38073.20811852</v>
      </c>
    </row>
    <row r="85" spans="1:8" ht="12.75">
      <c r="A85" s="116" t="s">
        <v>156</v>
      </c>
      <c r="B85" s="100">
        <f>+Stats!F61</f>
        <v>16830139.3728223</v>
      </c>
      <c r="C85" s="100"/>
      <c r="D85" s="100"/>
      <c r="E85" s="100"/>
      <c r="F85" s="101"/>
      <c r="G85" s="118">
        <f t="shared" si="11"/>
        <v>19321</v>
      </c>
      <c r="H85" s="119">
        <f t="shared" si="12"/>
        <v>61901.25261324042</v>
      </c>
    </row>
    <row r="86" spans="1:8" ht="13.5" thickBot="1">
      <c r="A86" s="116"/>
      <c r="B86" s="12">
        <f>SUM(B75:B85)</f>
        <v>112799117.3528223</v>
      </c>
      <c r="C86" s="100"/>
      <c r="D86" s="100"/>
      <c r="E86" s="100"/>
      <c r="F86" s="101"/>
      <c r="G86" s="72">
        <f>SUM(G75:G85)</f>
        <v>129493.38672103998</v>
      </c>
      <c r="H86" s="122">
        <f>SUM(H75:H85)</f>
        <v>414875.15362368035</v>
      </c>
    </row>
    <row r="87" spans="1:8" ht="13.5" thickBot="1">
      <c r="A87" s="123"/>
      <c r="B87" s="16"/>
      <c r="C87" s="16"/>
      <c r="D87" s="16"/>
      <c r="E87" s="16"/>
      <c r="F87" s="124"/>
      <c r="G87" s="16">
        <f>+G86-Stats!D61</f>
        <v>0</v>
      </c>
      <c r="H87" s="125">
        <f>+H86-Stats!E61</f>
        <v>0.15362368035130203</v>
      </c>
    </row>
    <row r="88" ht="13.5" thickBot="1"/>
    <row r="89" spans="1:9" s="20" customFormat="1" ht="16.5" thickBot="1">
      <c r="A89" s="76" t="s">
        <v>66</v>
      </c>
      <c r="B89" s="75" t="s">
        <v>192</v>
      </c>
      <c r="C89" s="75"/>
      <c r="D89" s="21"/>
      <c r="E89" s="21"/>
      <c r="F89" s="25"/>
      <c r="G89" s="29"/>
      <c r="H89" s="25"/>
      <c r="I89" s="29"/>
    </row>
    <row r="91" spans="2:11" s="4" customFormat="1" ht="25.5">
      <c r="B91" s="5" t="s">
        <v>67</v>
      </c>
      <c r="C91" s="5" t="s">
        <v>68</v>
      </c>
      <c r="D91" s="5" t="s">
        <v>65</v>
      </c>
      <c r="E91" s="5" t="s">
        <v>69</v>
      </c>
      <c r="F91" s="26" t="s">
        <v>74</v>
      </c>
      <c r="G91" s="30" t="s">
        <v>97</v>
      </c>
      <c r="H91" s="26" t="s">
        <v>75</v>
      </c>
      <c r="I91" s="30"/>
      <c r="J91" s="4" t="s">
        <v>98</v>
      </c>
      <c r="K91" s="4" t="s">
        <v>99</v>
      </c>
    </row>
    <row r="92" spans="2:9" s="22" customFormat="1" ht="12.75">
      <c r="B92" s="23">
        <v>2002</v>
      </c>
      <c r="C92" s="23">
        <v>2002</v>
      </c>
      <c r="D92" s="23"/>
      <c r="E92" s="23"/>
      <c r="F92" s="26"/>
      <c r="G92" s="30"/>
      <c r="H92" s="26"/>
      <c r="I92" s="30"/>
    </row>
    <row r="94" spans="1:14" ht="12.75">
      <c r="A94" t="s">
        <v>3</v>
      </c>
      <c r="B94" s="1">
        <f>'GS&gt;50'!E9</f>
        <v>81335.76</v>
      </c>
      <c r="C94" s="1">
        <f>'GS&gt;50'!E74</f>
        <v>81335.77</v>
      </c>
      <c r="D94" s="1">
        <f>'GS&gt;50'!C74</f>
        <v>34865618.65</v>
      </c>
      <c r="G94" s="1">
        <f>D94+E94</f>
        <v>34865618.65</v>
      </c>
      <c r="J94" s="3">
        <f>'GS&gt;50'!B195</f>
        <v>-9680.2</v>
      </c>
      <c r="K94" s="3">
        <f>'GS&gt;50'!E195</f>
        <v>16133.69</v>
      </c>
      <c r="M94" s="3">
        <f>B94</f>
        <v>81335.76</v>
      </c>
      <c r="N94" s="24">
        <f>M94/M$107</f>
        <v>0.08575572859467501</v>
      </c>
    </row>
    <row r="95" spans="1:14" ht="12.75">
      <c r="A95" t="s">
        <v>4</v>
      </c>
      <c r="B95" s="1">
        <f>'GS&gt;50'!E13</f>
        <v>65541.65999999999</v>
      </c>
      <c r="C95" s="1">
        <f>'GS&gt;50'!E82</f>
        <v>65541.66</v>
      </c>
      <c r="D95" s="1">
        <f>'GS&gt;50'!C82</f>
        <v>24891898.83</v>
      </c>
      <c r="G95" s="1">
        <f aca="true" t="shared" si="13" ref="G95:G105">D95+E95</f>
        <v>24891898.83</v>
      </c>
      <c r="J95" s="3">
        <f>'GS&gt;50'!B199</f>
        <v>-9385.71</v>
      </c>
      <c r="K95" s="3">
        <f>'GS&gt;50'!E199</f>
        <v>15642.84</v>
      </c>
      <c r="M95" s="3">
        <f aca="true" t="shared" si="14" ref="M95:M104">B95</f>
        <v>65541.65999999999</v>
      </c>
      <c r="N95" s="24">
        <f aca="true" t="shared" si="15" ref="N95:N105">M95/M$107</f>
        <v>0.06910334158805999</v>
      </c>
    </row>
    <row r="96" spans="1:14" ht="12.75">
      <c r="A96" t="s">
        <v>5</v>
      </c>
      <c r="B96" s="1">
        <f>'GS&gt;50'!E18</f>
        <v>69622.18</v>
      </c>
      <c r="C96" s="1">
        <f>'GS&gt;50'!E89</f>
        <v>69604.59</v>
      </c>
      <c r="D96" s="1">
        <f>'GS&gt;50'!C89</f>
        <v>25827043.12</v>
      </c>
      <c r="G96" s="1">
        <f t="shared" si="13"/>
        <v>25827043.12</v>
      </c>
      <c r="J96" s="3">
        <f>'GS&gt;50'!B203</f>
        <v>-15926.69</v>
      </c>
      <c r="K96" s="3">
        <f>'GS&gt;50'!E203</f>
        <v>26544.510000000002</v>
      </c>
      <c r="M96" s="3">
        <f t="shared" si="14"/>
        <v>69622.18</v>
      </c>
      <c r="N96" s="24">
        <f t="shared" si="15"/>
        <v>0.07340560624563673</v>
      </c>
    </row>
    <row r="97" spans="1:14" ht="12.75">
      <c r="A97" t="s">
        <v>6</v>
      </c>
      <c r="B97" s="1">
        <f>'GS&gt;50'!E24</f>
        <v>76120.55</v>
      </c>
      <c r="C97" s="1">
        <f>'GS&gt;50'!E96</f>
        <v>76120.58</v>
      </c>
      <c r="D97" s="1">
        <f>'GS&gt;50'!C96</f>
        <v>29371164.59</v>
      </c>
      <c r="G97" s="1">
        <f t="shared" si="13"/>
        <v>29371164.59</v>
      </c>
      <c r="J97" s="3">
        <f>'GS&gt;50'!B207</f>
        <v>-14445.59</v>
      </c>
      <c r="K97" s="3">
        <f>'GS&gt;50'!E207</f>
        <v>24076.02</v>
      </c>
      <c r="M97" s="3">
        <f t="shared" si="14"/>
        <v>76120.55</v>
      </c>
      <c r="N97" s="24">
        <f t="shared" si="15"/>
        <v>0.08025711232399364</v>
      </c>
    </row>
    <row r="98" spans="1:14" ht="12.75">
      <c r="A98" t="s">
        <v>7</v>
      </c>
      <c r="B98" s="1">
        <f>'GS&gt;50'!E28</f>
        <v>38276.329999999994</v>
      </c>
      <c r="C98" s="1">
        <f>'GS&gt;50'!E103</f>
        <v>38276.33</v>
      </c>
      <c r="D98" s="1">
        <f>'GS&gt;50'!C103</f>
        <v>15042547.17</v>
      </c>
      <c r="E98" s="1">
        <f>'GS&gt;50'!C135</f>
        <v>0</v>
      </c>
      <c r="G98" s="1">
        <f t="shared" si="13"/>
        <v>15042547.17</v>
      </c>
      <c r="J98" s="3">
        <f>'GS&gt;50'!B211</f>
        <v>-14025.26</v>
      </c>
      <c r="K98" s="3">
        <f>'GS&gt;50'!E211</f>
        <v>23375.44</v>
      </c>
      <c r="M98" s="3">
        <f>B98+B110</f>
        <v>76276.32999999999</v>
      </c>
      <c r="N98" s="24">
        <f t="shared" si="15"/>
        <v>0.08042135776044715</v>
      </c>
    </row>
    <row r="99" spans="1:14" ht="12.75">
      <c r="A99" t="s">
        <v>8</v>
      </c>
      <c r="B99" s="1">
        <f>'GS&gt;50'!E32</f>
        <v>78920.88</v>
      </c>
      <c r="C99" s="1">
        <f>'GS&gt;50'!E111</f>
        <v>11418.059999999998</v>
      </c>
      <c r="D99" s="1">
        <f>'GS&gt;50'!C111</f>
        <v>3925780.8899999997</v>
      </c>
      <c r="E99" s="1">
        <f>'GS&gt;50'!C141</f>
        <v>24739051.91</v>
      </c>
      <c r="G99" s="1">
        <f t="shared" si="13"/>
        <v>28664832.8</v>
      </c>
      <c r="J99" s="3">
        <f>'GS&gt;50'!B215</f>
        <v>-16639.37</v>
      </c>
      <c r="K99" s="3">
        <f>'GS&gt;50'!E215</f>
        <v>27732.269999999997</v>
      </c>
      <c r="M99" s="3">
        <f t="shared" si="14"/>
        <v>78920.88</v>
      </c>
      <c r="N99" s="24">
        <f t="shared" si="15"/>
        <v>0.08320961857039162</v>
      </c>
    </row>
    <row r="100" spans="1:14" ht="12.75">
      <c r="A100" t="s">
        <v>9</v>
      </c>
      <c r="B100" s="1">
        <f>'GS&gt;50'!E36</f>
        <v>81118.73</v>
      </c>
      <c r="E100" s="1">
        <f>'GS&gt;50'!C147</f>
        <v>29015312.24</v>
      </c>
      <c r="G100" s="1">
        <f t="shared" si="13"/>
        <v>29015312.24</v>
      </c>
      <c r="J100" s="3">
        <f>'GS&gt;50'!B219</f>
        <v>-17002.62</v>
      </c>
      <c r="K100" s="3">
        <f>'GS&gt;50'!E219</f>
        <v>28337.68</v>
      </c>
      <c r="M100" s="3">
        <f t="shared" si="14"/>
        <v>81118.73</v>
      </c>
      <c r="N100" s="24">
        <f t="shared" si="15"/>
        <v>0.08552690469511469</v>
      </c>
    </row>
    <row r="101" spans="1:14" ht="12.75">
      <c r="A101" t="s">
        <v>10</v>
      </c>
      <c r="B101" s="1">
        <f>'GS&gt;50'!E40</f>
        <v>82272.65</v>
      </c>
      <c r="E101" s="1">
        <f>'GS&gt;50'!C153</f>
        <v>31123504.950000003</v>
      </c>
      <c r="G101" s="1">
        <f t="shared" si="13"/>
        <v>31123504.950000003</v>
      </c>
      <c r="J101" s="3">
        <f>'GS&gt;50'!B223</f>
        <v>-16930.22</v>
      </c>
      <c r="K101" s="3">
        <f>'GS&gt;50'!E223</f>
        <v>28216.99</v>
      </c>
      <c r="M101" s="3">
        <f t="shared" si="14"/>
        <v>82272.65</v>
      </c>
      <c r="N101" s="24">
        <f t="shared" si="15"/>
        <v>0.08674353130977923</v>
      </c>
    </row>
    <row r="102" spans="1:14" ht="12.75">
      <c r="A102" t="s">
        <v>11</v>
      </c>
      <c r="B102" s="1">
        <f>'GS&gt;50'!E44</f>
        <v>79621.42000000001</v>
      </c>
      <c r="E102" s="1">
        <f>'GS&gt;50'!C159</f>
        <v>29269662.04</v>
      </c>
      <c r="G102" s="1">
        <f t="shared" si="13"/>
        <v>29269662.04</v>
      </c>
      <c r="J102" s="3">
        <f>'GS&gt;50'!B227</f>
        <v>-16847.54</v>
      </c>
      <c r="K102" s="3">
        <f>'GS&gt;50'!E227</f>
        <v>28079.19</v>
      </c>
      <c r="M102" s="3">
        <f t="shared" si="14"/>
        <v>79621.42000000001</v>
      </c>
      <c r="N102" s="24">
        <f t="shared" si="15"/>
        <v>0.0839482274935727</v>
      </c>
    </row>
    <row r="103" spans="1:14" ht="12.75">
      <c r="A103" t="s">
        <v>12</v>
      </c>
      <c r="B103" s="1">
        <f>'GS&gt;50'!E48</f>
        <v>88372.22</v>
      </c>
      <c r="E103" s="1">
        <f>'GS&gt;50'!C165</f>
        <v>32671323.29</v>
      </c>
      <c r="G103" s="1">
        <f t="shared" si="13"/>
        <v>32671323.29</v>
      </c>
      <c r="J103" s="3">
        <f>'GS&gt;50'!B231</f>
        <v>-17210.79</v>
      </c>
      <c r="K103" s="3">
        <f>'GS&gt;50'!E231</f>
        <v>28684.64</v>
      </c>
      <c r="M103" s="3">
        <f t="shared" si="14"/>
        <v>88372.22</v>
      </c>
      <c r="N103" s="24">
        <f t="shared" si="15"/>
        <v>0.09317456569691991</v>
      </c>
    </row>
    <row r="104" spans="1:14" ht="12.75">
      <c r="A104" t="s">
        <v>13</v>
      </c>
      <c r="B104" s="1">
        <f>'GS&gt;50'!E52</f>
        <v>81256.24</v>
      </c>
      <c r="E104" s="1">
        <f>'GS&gt;50'!C171</f>
        <v>30671571.92</v>
      </c>
      <c r="G104" s="1">
        <f t="shared" si="13"/>
        <v>30671571.92</v>
      </c>
      <c r="J104" s="3">
        <f>'GS&gt;50'!B235</f>
        <v>-16869.07</v>
      </c>
      <c r="K104" s="3">
        <f>'GS&gt;50'!E235</f>
        <v>28115.12</v>
      </c>
      <c r="M104" s="3">
        <f t="shared" si="14"/>
        <v>81256.24</v>
      </c>
      <c r="N104" s="24">
        <f t="shared" si="15"/>
        <v>0.08567188729857293</v>
      </c>
    </row>
    <row r="105" spans="1:14" s="83" customFormat="1" ht="12.75">
      <c r="A105" s="7" t="s">
        <v>14</v>
      </c>
      <c r="B105" s="8">
        <f>'GS&gt;50'!E56</f>
        <v>80528.87</v>
      </c>
      <c r="C105" s="8"/>
      <c r="D105" s="8"/>
      <c r="E105" s="8">
        <f>'GS&gt;50'!C177</f>
        <v>28577944.88</v>
      </c>
      <c r="F105" s="28"/>
      <c r="G105" s="8">
        <f t="shared" si="13"/>
        <v>28577944.88</v>
      </c>
      <c r="H105" s="28"/>
      <c r="I105" s="31"/>
      <c r="J105" s="10">
        <f>'GS&gt;50'!B239</f>
        <v>-16082.51</v>
      </c>
      <c r="K105" s="10">
        <f>'GS&gt;50'!E239</f>
        <v>26804.17</v>
      </c>
      <c r="L105" s="7"/>
      <c r="M105" s="49">
        <f>B112</f>
        <v>88000</v>
      </c>
      <c r="N105" s="31">
        <f t="shared" si="15"/>
        <v>0.09278211842283642</v>
      </c>
    </row>
    <row r="106" ht="12.75">
      <c r="G106" s="1"/>
    </row>
    <row r="107" spans="2:13" ht="12.75">
      <c r="B107" s="1">
        <f>SUM(B94:B106)</f>
        <v>902987.49</v>
      </c>
      <c r="E107" s="1">
        <f>SUM(D94:E105)</f>
        <v>339992424.48</v>
      </c>
      <c r="F107" s="27">
        <v>1452000</v>
      </c>
      <c r="G107" s="1">
        <f>SUM(G94:G105)</f>
        <v>339992424.48</v>
      </c>
      <c r="H107" s="27">
        <v>617065000</v>
      </c>
      <c r="I107" s="24">
        <f>E107/H107</f>
        <v>0.5509831613849433</v>
      </c>
      <c r="J107" s="3">
        <f>SUM(J94:J105)</f>
        <v>-181045.57000000004</v>
      </c>
      <c r="K107" s="3">
        <f>SUM(K94:K105)</f>
        <v>301742.55999999994</v>
      </c>
      <c r="M107" s="3">
        <f>SUM(M94:M106)</f>
        <v>948458.62</v>
      </c>
    </row>
    <row r="109" spans="1:11" ht="12.75">
      <c r="A109" t="s">
        <v>107</v>
      </c>
      <c r="B109" s="27">
        <v>737997</v>
      </c>
      <c r="C109" s="27">
        <v>1789694.35</v>
      </c>
      <c r="D109" s="27">
        <v>846396.41</v>
      </c>
      <c r="E109" s="27"/>
      <c r="G109" s="27">
        <v>278999963</v>
      </c>
      <c r="J109" s="27">
        <f>-148093.99-53523.45</f>
        <v>-201617.44</v>
      </c>
      <c r="K109" s="27"/>
    </row>
    <row r="110" spans="1:11" ht="12.75">
      <c r="A110" t="s">
        <v>105</v>
      </c>
      <c r="B110" s="27">
        <v>38000</v>
      </c>
      <c r="C110" s="27">
        <f>B110*2.6389</f>
        <v>100278.2</v>
      </c>
      <c r="D110" s="27">
        <f>D112/2</f>
        <v>43062.926666666666</v>
      </c>
      <c r="E110" s="27"/>
      <c r="G110" s="27">
        <v>15000000</v>
      </c>
      <c r="J110" s="27"/>
      <c r="K110" s="27"/>
    </row>
    <row r="111" spans="1:11" ht="12.75">
      <c r="A111" t="s">
        <v>106</v>
      </c>
      <c r="B111" s="27">
        <v>88000</v>
      </c>
      <c r="C111" s="27">
        <f>B111*2.6389</f>
        <v>232223.2</v>
      </c>
      <c r="D111" s="27">
        <f>'[1]No of Customers'!$D$25*202.3</f>
        <v>82740.70000000001</v>
      </c>
      <c r="E111" s="27"/>
      <c r="G111" s="27">
        <v>31000000</v>
      </c>
      <c r="J111" s="27">
        <v>-17000</v>
      </c>
      <c r="K111" s="27"/>
    </row>
    <row r="112" spans="1:11" ht="12.75">
      <c r="A112" t="s">
        <v>14</v>
      </c>
      <c r="B112" s="27">
        <v>88000</v>
      </c>
      <c r="C112" s="27">
        <f>B112*2.6389</f>
        <v>232223.2</v>
      </c>
      <c r="D112" s="27">
        <f>'[1]No of Customers'!$E$25*202.3</f>
        <v>86125.85333333333</v>
      </c>
      <c r="E112" s="27"/>
      <c r="G112" s="27">
        <v>31000000</v>
      </c>
      <c r="J112" s="27">
        <v>-17000</v>
      </c>
      <c r="K112" s="27"/>
    </row>
    <row r="113" spans="2:11" ht="12.75">
      <c r="B113" s="27"/>
      <c r="C113" s="27"/>
      <c r="D113" s="27"/>
      <c r="E113" s="27"/>
      <c r="G113" s="27"/>
      <c r="J113" s="27"/>
      <c r="K113" s="27"/>
    </row>
    <row r="114" spans="2:11" ht="12.75">
      <c r="B114" s="27">
        <f>ROUND(SUM(B109:B113),-3)</f>
        <v>952000</v>
      </c>
      <c r="C114" s="27">
        <f>ROUND(SUM(C109:C112),-3)</f>
        <v>2354000</v>
      </c>
      <c r="D114" s="27">
        <f>ROUND(SUM(D109:D112),-3)</f>
        <v>1058000</v>
      </c>
      <c r="E114" s="27"/>
      <c r="G114" s="27">
        <f>ROUND(SUM(G109:G113),-6)</f>
        <v>356000000</v>
      </c>
      <c r="J114" s="27">
        <f>ROUND(SUM(J109:J112),-3)</f>
        <v>-236000</v>
      </c>
      <c r="K114" s="27"/>
    </row>
    <row r="115" ht="13.5" thickBot="1"/>
    <row r="116" spans="1:10" ht="12.75">
      <c r="A116" s="106"/>
      <c r="B116" s="107"/>
      <c r="C116" s="107"/>
      <c r="D116" s="107"/>
      <c r="E116" s="107"/>
      <c r="F116" s="108"/>
      <c r="G116" s="109" t="s">
        <v>191</v>
      </c>
      <c r="H116" s="110"/>
      <c r="J116" s="27">
        <f>-J114/0.6</f>
        <v>393333.3333333334</v>
      </c>
    </row>
    <row r="117" spans="1:10" ht="12.75">
      <c r="A117" s="82"/>
      <c r="B117" s="100"/>
      <c r="C117" s="100"/>
      <c r="D117" s="100"/>
      <c r="E117" s="100"/>
      <c r="F117" s="101"/>
      <c r="G117" s="112">
        <f>+Stats!H62</f>
        <v>0.195271</v>
      </c>
      <c r="H117" s="113">
        <f>+Stats!J62</f>
        <v>0.625371</v>
      </c>
      <c r="J117" s="27"/>
    </row>
    <row r="118" spans="1:8" ht="15">
      <c r="A118" s="82"/>
      <c r="B118" s="128" t="s">
        <v>162</v>
      </c>
      <c r="C118" s="100"/>
      <c r="D118" s="100"/>
      <c r="E118" s="100"/>
      <c r="F118" s="101"/>
      <c r="G118" s="114">
        <v>2001</v>
      </c>
      <c r="H118" s="115">
        <v>2002</v>
      </c>
    </row>
    <row r="119" spans="1:8" ht="12.75">
      <c r="A119" s="116" t="s">
        <v>152</v>
      </c>
      <c r="B119" s="100">
        <f>+'GS&gt;50'!K16</f>
        <v>37558.96</v>
      </c>
      <c r="C119" s="100"/>
      <c r="D119" s="100"/>
      <c r="E119" s="100"/>
      <c r="F119" s="101"/>
      <c r="G119" s="118">
        <f>+B119*$G$117</f>
        <v>7334.17567816</v>
      </c>
      <c r="H119" s="119">
        <f>+B119*$H$117</f>
        <v>23488.28437416</v>
      </c>
    </row>
    <row r="120" spans="1:8" ht="12.75">
      <c r="A120" s="116" t="s">
        <v>144</v>
      </c>
      <c r="B120" s="100">
        <f>+'GS&gt;50'!K22+'GS&gt;50'!K23</f>
        <v>78353.86</v>
      </c>
      <c r="C120" s="100"/>
      <c r="D120" s="100"/>
      <c r="E120" s="100"/>
      <c r="F120" s="101"/>
      <c r="G120" s="118">
        <f aca="true" t="shared" si="16" ref="G120:G129">+B120*$G$117</f>
        <v>15300.23659606</v>
      </c>
      <c r="H120" s="119">
        <f aca="true" t="shared" si="17" ref="H120:H129">+B120*$H$117</f>
        <v>49000.23178206</v>
      </c>
    </row>
    <row r="121" spans="1:8" ht="12.75">
      <c r="A121" s="116" t="s">
        <v>7</v>
      </c>
      <c r="B121" s="100">
        <f>+'GS&gt;50'!K26+'GS&gt;50'!K27</f>
        <v>38276.329999999994</v>
      </c>
      <c r="C121" s="100"/>
      <c r="D121" s="100"/>
      <c r="E121" s="100"/>
      <c r="F121" s="101"/>
      <c r="G121" s="118">
        <f t="shared" si="16"/>
        <v>7474.257235429999</v>
      </c>
      <c r="H121" s="119">
        <f t="shared" si="17"/>
        <v>23936.906768429995</v>
      </c>
    </row>
    <row r="122" spans="1:8" ht="12.75">
      <c r="A122" s="116" t="s">
        <v>145</v>
      </c>
      <c r="B122" s="100">
        <f>+'GS&gt;50'!K30+'GS&gt;50'!K31</f>
        <v>78920.88</v>
      </c>
      <c r="C122" s="100"/>
      <c r="D122" s="100"/>
      <c r="E122" s="100"/>
      <c r="F122" s="101"/>
      <c r="G122" s="118">
        <f t="shared" si="16"/>
        <v>15410.95915848</v>
      </c>
      <c r="H122" s="119">
        <f t="shared" si="17"/>
        <v>49354.82964648</v>
      </c>
    </row>
    <row r="123" spans="1:8" ht="12.75">
      <c r="A123" s="116" t="s">
        <v>146</v>
      </c>
      <c r="B123" s="100">
        <f>+'GS&gt;50'!K34+'GS&gt;50'!K35</f>
        <v>81118.73</v>
      </c>
      <c r="C123" s="100"/>
      <c r="D123" s="100"/>
      <c r="E123" s="100"/>
      <c r="F123" s="101"/>
      <c r="G123" s="118">
        <f t="shared" si="16"/>
        <v>15840.13552583</v>
      </c>
      <c r="H123" s="119">
        <f t="shared" si="17"/>
        <v>50729.301298829996</v>
      </c>
    </row>
    <row r="124" spans="1:8" ht="12.75">
      <c r="A124" s="116" t="s">
        <v>147</v>
      </c>
      <c r="B124" s="100">
        <f>+'GS&gt;50'!K38+'GS&gt;50'!K39</f>
        <v>82272.65</v>
      </c>
      <c r="C124" s="100"/>
      <c r="D124" s="100"/>
      <c r="E124" s="100"/>
      <c r="F124" s="101"/>
      <c r="G124" s="118">
        <f t="shared" si="16"/>
        <v>16065.462638149998</v>
      </c>
      <c r="H124" s="119">
        <f t="shared" si="17"/>
        <v>51450.929403149996</v>
      </c>
    </row>
    <row r="125" spans="1:8" ht="12.75">
      <c r="A125" s="116" t="s">
        <v>148</v>
      </c>
      <c r="B125" s="100">
        <f>+'GS&gt;50'!K42+'GS&gt;50'!K43</f>
        <v>79621.42000000001</v>
      </c>
      <c r="C125" s="100"/>
      <c r="D125" s="100"/>
      <c r="E125" s="100"/>
      <c r="F125" s="101"/>
      <c r="G125" s="118">
        <f t="shared" si="16"/>
        <v>15547.754304820002</v>
      </c>
      <c r="H125" s="119">
        <f t="shared" si="17"/>
        <v>49792.92704682001</v>
      </c>
    </row>
    <row r="126" spans="1:8" ht="12.75">
      <c r="A126" s="116" t="s">
        <v>149</v>
      </c>
      <c r="B126" s="100">
        <f>+'GS&gt;50'!K46+'GS&gt;50'!K47</f>
        <v>88372.22</v>
      </c>
      <c r="C126" s="100"/>
      <c r="D126" s="100"/>
      <c r="E126" s="100"/>
      <c r="F126" s="101"/>
      <c r="G126" s="118">
        <f t="shared" si="16"/>
        <v>17256.53177162</v>
      </c>
      <c r="H126" s="119">
        <f t="shared" si="17"/>
        <v>55265.42359362</v>
      </c>
    </row>
    <row r="127" spans="1:8" ht="12.75">
      <c r="A127" s="116" t="s">
        <v>150</v>
      </c>
      <c r="B127" s="100">
        <f>+'GS&gt;50'!K50+'GS&gt;50'!K51</f>
        <v>81256.24</v>
      </c>
      <c r="C127" s="100"/>
      <c r="D127" s="100"/>
      <c r="E127" s="100"/>
      <c r="F127" s="101"/>
      <c r="G127" s="118">
        <f t="shared" si="16"/>
        <v>15866.98724104</v>
      </c>
      <c r="H127" s="119">
        <f t="shared" si="17"/>
        <v>50815.296065040005</v>
      </c>
    </row>
    <row r="128" spans="1:8" ht="12.75">
      <c r="A128" s="116" t="s">
        <v>151</v>
      </c>
      <c r="B128" s="100">
        <f>+'GS&gt;50'!K54</f>
        <v>80528.87</v>
      </c>
      <c r="C128" s="100"/>
      <c r="D128" s="100"/>
      <c r="E128" s="100"/>
      <c r="F128" s="101"/>
      <c r="G128" s="118">
        <f t="shared" si="16"/>
        <v>15724.95297377</v>
      </c>
      <c r="H128" s="119">
        <f t="shared" si="17"/>
        <v>50360.41996077</v>
      </c>
    </row>
    <row r="129" spans="1:8" ht="12.75">
      <c r="A129" s="116" t="s">
        <v>156</v>
      </c>
      <c r="B129" s="100">
        <f>+Stats!F62</f>
        <v>97249.4635660185</v>
      </c>
      <c r="C129" s="100"/>
      <c r="D129" s="100"/>
      <c r="E129" s="100"/>
      <c r="F129" s="101"/>
      <c r="G129" s="118">
        <f t="shared" si="16"/>
        <v>18990</v>
      </c>
      <c r="H129" s="119">
        <f t="shared" si="17"/>
        <v>60816.994279744555</v>
      </c>
    </row>
    <row r="130" spans="1:8" ht="13.5" thickBot="1">
      <c r="A130" s="116"/>
      <c r="B130" s="12">
        <f>SUM(B119:B129)</f>
        <v>823529.6235660185</v>
      </c>
      <c r="C130" s="100"/>
      <c r="D130" s="100"/>
      <c r="E130" s="100"/>
      <c r="F130" s="101"/>
      <c r="G130" s="72">
        <f>SUM(G119:G129)</f>
        <v>160811.45312336</v>
      </c>
      <c r="H130" s="122">
        <f>SUM(H119:H129)</f>
        <v>515011.5442191046</v>
      </c>
    </row>
    <row r="131" spans="1:8" ht="13.5" thickBot="1">
      <c r="A131" s="84"/>
      <c r="B131" s="16"/>
      <c r="C131" s="16"/>
      <c r="D131" s="16"/>
      <c r="E131" s="16"/>
      <c r="F131" s="124"/>
      <c r="G131" s="16">
        <f>+G130-Stats!D62</f>
        <v>0</v>
      </c>
      <c r="H131" s="125">
        <f>+H130-Stats!E62</f>
        <v>-0.4557808954268694</v>
      </c>
    </row>
    <row r="132" ht="13.5" thickBot="1"/>
    <row r="133" spans="1:9" s="20" customFormat="1" ht="16.5" thickBot="1">
      <c r="A133" s="97" t="s">
        <v>70</v>
      </c>
      <c r="B133" s="75" t="s">
        <v>192</v>
      </c>
      <c r="C133" s="75"/>
      <c r="D133" s="21"/>
      <c r="E133" s="21"/>
      <c r="F133" s="25"/>
      <c r="G133" s="29"/>
      <c r="H133" s="25"/>
      <c r="I133" s="29"/>
    </row>
    <row r="135" spans="2:11" s="4" customFormat="1" ht="25.5">
      <c r="B135" s="5" t="s">
        <v>67</v>
      </c>
      <c r="C135" s="5" t="s">
        <v>68</v>
      </c>
      <c r="D135" s="5" t="s">
        <v>65</v>
      </c>
      <c r="E135" s="5" t="s">
        <v>69</v>
      </c>
      <c r="F135" s="26" t="s">
        <v>74</v>
      </c>
      <c r="G135" s="30" t="s">
        <v>97</v>
      </c>
      <c r="H135" s="26" t="s">
        <v>75</v>
      </c>
      <c r="I135" s="30"/>
      <c r="J135" s="4" t="s">
        <v>98</v>
      </c>
      <c r="K135" s="4" t="s">
        <v>99</v>
      </c>
    </row>
    <row r="136" spans="2:9" s="4" customFormat="1" ht="12.75">
      <c r="B136" s="5">
        <v>2002</v>
      </c>
      <c r="C136" s="5">
        <v>2002</v>
      </c>
      <c r="D136" s="5"/>
      <c r="E136" s="5"/>
      <c r="F136" s="26"/>
      <c r="G136" s="30"/>
      <c r="H136" s="26"/>
      <c r="I136" s="30"/>
    </row>
    <row r="138" spans="1:13" ht="12.75">
      <c r="A138" t="s">
        <v>3</v>
      </c>
      <c r="B138" s="1">
        <f>'GS TOU'!E9</f>
        <v>70337.71</v>
      </c>
      <c r="C138" s="1">
        <f>'GS TOU'!E77</f>
        <v>70337.71</v>
      </c>
      <c r="D138" s="1">
        <f>'GS TOU'!C77</f>
        <v>27999025.369999997</v>
      </c>
      <c r="G138" s="1">
        <f>D138+E138</f>
        <v>27999025.369999997</v>
      </c>
      <c r="J138" s="3">
        <f>'GS TOU'!B196</f>
        <v>0</v>
      </c>
      <c r="K138" s="3">
        <f>'GS TOU'!E196</f>
        <v>0</v>
      </c>
      <c r="L138" s="3">
        <f>B138</f>
        <v>70337.71</v>
      </c>
      <c r="M138" s="24">
        <f>L138/L$151</f>
        <v>0.08020496788002315</v>
      </c>
    </row>
    <row r="139" spans="1:13" ht="12.75">
      <c r="A139" t="s">
        <v>4</v>
      </c>
      <c r="B139" s="1">
        <f>'GS TOU'!E13</f>
        <v>71365.11</v>
      </c>
      <c r="C139" s="1">
        <f>'GS TOU'!E87</f>
        <v>71365.11</v>
      </c>
      <c r="D139" s="1">
        <f>'GS TOU'!C87</f>
        <v>33035063.53</v>
      </c>
      <c r="G139" s="1">
        <f aca="true" t="shared" si="18" ref="G139:G149">D139+E139</f>
        <v>33035063.53</v>
      </c>
      <c r="J139" s="3">
        <f>'GS TOU'!B201</f>
        <v>-44192.63</v>
      </c>
      <c r="K139" s="3">
        <f>'GS TOU'!E201</f>
        <v>68953.58</v>
      </c>
      <c r="L139" s="3">
        <f aca="true" t="shared" si="19" ref="L139:L148">B139</f>
        <v>71365.11</v>
      </c>
      <c r="M139" s="24">
        <f aca="true" t="shared" si="20" ref="M139:M149">L139/L$151</f>
        <v>0.0813764956991679</v>
      </c>
    </row>
    <row r="140" spans="1:13" ht="12.75">
      <c r="A140" t="s">
        <v>5</v>
      </c>
      <c r="B140" s="1">
        <f>'GS TOU'!E19</f>
        <v>70544.19</v>
      </c>
      <c r="C140" s="1">
        <f>'GS TOU'!E97</f>
        <v>70544.18999999999</v>
      </c>
      <c r="D140" s="1">
        <f>'GS TOU'!C97</f>
        <v>30625540.689999998</v>
      </c>
      <c r="G140" s="1">
        <f t="shared" si="18"/>
        <v>30625540.689999998</v>
      </c>
      <c r="J140" s="3">
        <f>'GS TOU'!B206</f>
        <v>-44390.51</v>
      </c>
      <c r="K140" s="3">
        <f>'GS TOU'!E206</f>
        <v>70544.19</v>
      </c>
      <c r="L140" s="3">
        <f t="shared" si="19"/>
        <v>70544.19</v>
      </c>
      <c r="M140" s="24">
        <f t="shared" si="20"/>
        <v>0.08044041372788864</v>
      </c>
    </row>
    <row r="141" spans="1:13" ht="12.75">
      <c r="A141" t="s">
        <v>6</v>
      </c>
      <c r="B141" s="1">
        <f>'GS TOU'!E23</f>
        <v>72009.33</v>
      </c>
      <c r="C141" s="1">
        <f>'GS TOU'!E107</f>
        <v>72009.33</v>
      </c>
      <c r="D141" s="1">
        <f>'GS TOU'!C107</f>
        <v>32906616.27</v>
      </c>
      <c r="G141" s="1">
        <f t="shared" si="18"/>
        <v>32906616.27</v>
      </c>
      <c r="J141" s="3">
        <f>'GS TOU'!B210</f>
        <v>-46118.22</v>
      </c>
      <c r="K141" s="3">
        <f>'GS TOU'!E210</f>
        <v>72009.33</v>
      </c>
      <c r="L141" s="3">
        <f t="shared" si="19"/>
        <v>72009.33</v>
      </c>
      <c r="M141" s="24">
        <f t="shared" si="20"/>
        <v>0.08211108948118992</v>
      </c>
    </row>
    <row r="142" spans="1:13" ht="12.75">
      <c r="A142" t="s">
        <v>7</v>
      </c>
      <c r="B142" s="1">
        <f>'GS TOU'!E27</f>
        <v>75290.03</v>
      </c>
      <c r="C142" s="1">
        <f>'GS TOU'!E117</f>
        <v>75290.03</v>
      </c>
      <c r="D142" s="1">
        <f>'GS TOU'!C117</f>
        <v>33726345.42</v>
      </c>
      <c r="G142" s="1">
        <f t="shared" si="18"/>
        <v>33726345.42</v>
      </c>
      <c r="J142" s="3">
        <f>'GS TOU'!B215</f>
        <v>-48150.97999999999</v>
      </c>
      <c r="K142" s="3">
        <f>'GS TOU'!E215</f>
        <v>75290.03</v>
      </c>
      <c r="L142" s="3">
        <f t="shared" si="19"/>
        <v>75290.03</v>
      </c>
      <c r="M142" s="24">
        <f t="shared" si="20"/>
        <v>0.08585201931987804</v>
      </c>
    </row>
    <row r="143" spans="1:13" ht="12.75">
      <c r="A143" t="s">
        <v>8</v>
      </c>
      <c r="B143" s="1">
        <f>'GS TOU'!E31</f>
        <v>71598.94</v>
      </c>
      <c r="E143" s="1">
        <f>'GS TOU'!C142</f>
        <v>33231940.24</v>
      </c>
      <c r="G143" s="1">
        <f t="shared" si="18"/>
        <v>33231940.24</v>
      </c>
      <c r="J143" s="3">
        <f>'GS TOU'!B219</f>
        <v>-42959.39</v>
      </c>
      <c r="K143" s="3">
        <f>'GS TOU'!E219</f>
        <v>71598.94</v>
      </c>
      <c r="L143" s="3">
        <f t="shared" si="19"/>
        <v>71598.94</v>
      </c>
      <c r="M143" s="24">
        <f t="shared" si="20"/>
        <v>0.08164312831543286</v>
      </c>
    </row>
    <row r="144" spans="1:13" ht="12.75">
      <c r="A144" t="s">
        <v>9</v>
      </c>
      <c r="B144" s="1">
        <f>'GS TOU'!E35</f>
        <v>74192.33</v>
      </c>
      <c r="E144" s="1">
        <f>'GS TOU'!C148</f>
        <v>33476339.9</v>
      </c>
      <c r="G144" s="1">
        <f t="shared" si="18"/>
        <v>33476339.9</v>
      </c>
      <c r="J144" s="3">
        <f>'GS TOU'!B223</f>
        <v>-44515.4</v>
      </c>
      <c r="K144" s="3">
        <f>'GS TOU'!E223</f>
        <v>74192.33</v>
      </c>
      <c r="L144" s="3">
        <f t="shared" si="19"/>
        <v>74192.33</v>
      </c>
      <c r="M144" s="24">
        <f t="shared" si="20"/>
        <v>0.08460032953296429</v>
      </c>
    </row>
    <row r="145" spans="1:13" ht="12.75">
      <c r="A145" t="s">
        <v>10</v>
      </c>
      <c r="B145" s="1">
        <f>'GS TOU'!E39</f>
        <v>74208.23</v>
      </c>
      <c r="E145" s="1">
        <f>'GS TOU'!C154</f>
        <v>34172838.379999995</v>
      </c>
      <c r="G145" s="1">
        <f t="shared" si="18"/>
        <v>34172838.379999995</v>
      </c>
      <c r="J145" s="3">
        <f>'GS TOU'!B227</f>
        <v>-44524.9</v>
      </c>
      <c r="K145" s="3">
        <f>'GS TOU'!E227</f>
        <v>74208.23</v>
      </c>
      <c r="L145" s="3">
        <f t="shared" si="19"/>
        <v>74208.23</v>
      </c>
      <c r="M145" s="24">
        <f t="shared" si="20"/>
        <v>0.08461846004914533</v>
      </c>
    </row>
    <row r="146" spans="1:13" ht="12.75">
      <c r="A146" t="s">
        <v>11</v>
      </c>
      <c r="B146" s="1">
        <f>'GS TOU'!E43</f>
        <v>74474.56</v>
      </c>
      <c r="E146" s="1">
        <f>'GS TOU'!C160</f>
        <v>35368578.93</v>
      </c>
      <c r="G146" s="1">
        <f t="shared" si="18"/>
        <v>35368578.93</v>
      </c>
      <c r="J146" s="3">
        <f>'GS TOU'!B231</f>
        <v>-44684.73</v>
      </c>
      <c r="K146" s="3">
        <f>'GS TOU'!E231</f>
        <v>74474.56</v>
      </c>
      <c r="L146" s="3">
        <f t="shared" si="19"/>
        <v>74474.56</v>
      </c>
      <c r="M146" s="24">
        <f t="shared" si="20"/>
        <v>0.08492215189659795</v>
      </c>
    </row>
    <row r="147" spans="1:13" ht="12.75">
      <c r="A147" t="s">
        <v>12</v>
      </c>
      <c r="B147" s="1">
        <f>'GS TOU'!E47</f>
        <v>74317.92</v>
      </c>
      <c r="E147" s="1">
        <f>'GS TOU'!C166</f>
        <v>33924233.92</v>
      </c>
      <c r="G147" s="1">
        <f t="shared" si="18"/>
        <v>33924233.92</v>
      </c>
      <c r="J147" s="3">
        <f>'GS TOU'!B235</f>
        <v>-44590.73</v>
      </c>
      <c r="K147" s="3">
        <f>'GS TOU'!E235</f>
        <v>74317.92</v>
      </c>
      <c r="L147" s="3">
        <f t="shared" si="19"/>
        <v>74317.92</v>
      </c>
      <c r="M147" s="24">
        <f t="shared" si="20"/>
        <v>0.08474353780511377</v>
      </c>
    </row>
    <row r="148" spans="1:13" ht="12.75">
      <c r="A148" t="s">
        <v>13</v>
      </c>
      <c r="B148" s="1">
        <f>'GS TOU'!E51</f>
        <v>74136.13</v>
      </c>
      <c r="E148" s="1">
        <f>'GS TOU'!C172</f>
        <v>34511310.27</v>
      </c>
      <c r="G148" s="1">
        <f t="shared" si="18"/>
        <v>34511310.27</v>
      </c>
      <c r="J148" s="3">
        <f>'GS TOU'!B239</f>
        <v>-44481.68</v>
      </c>
      <c r="K148" s="3">
        <f>'GS TOU'!E239</f>
        <v>74136.13</v>
      </c>
      <c r="L148" s="3">
        <f t="shared" si="19"/>
        <v>74136.13</v>
      </c>
      <c r="M148" s="24">
        <f t="shared" si="20"/>
        <v>0.08453624557011055</v>
      </c>
    </row>
    <row r="149" spans="1:13" s="83" customFormat="1" ht="12.75">
      <c r="A149" s="7" t="s">
        <v>14</v>
      </c>
      <c r="B149" s="8">
        <f>'GS TOU'!E55</f>
        <v>69938.18</v>
      </c>
      <c r="C149" s="8"/>
      <c r="D149" s="8"/>
      <c r="E149" s="8">
        <f>'GS TOU'!C178</f>
        <v>32493153.02</v>
      </c>
      <c r="F149" s="28"/>
      <c r="G149" s="8">
        <f t="shared" si="18"/>
        <v>32493153.02</v>
      </c>
      <c r="H149" s="28"/>
      <c r="I149" s="31"/>
      <c r="J149" s="10">
        <f>'GS TOU'!B243</f>
        <v>-41962.89</v>
      </c>
      <c r="K149" s="10">
        <f>'GS TOU'!E243</f>
        <v>69938.18</v>
      </c>
      <c r="L149" s="49">
        <f>B156</f>
        <v>74500</v>
      </c>
      <c r="M149" s="31">
        <f t="shared" si="20"/>
        <v>0.08495116072248762</v>
      </c>
    </row>
    <row r="150" ht="12.75">
      <c r="G150" s="1"/>
    </row>
    <row r="151" spans="2:12" ht="12.75">
      <c r="B151" s="1">
        <f>SUM(B138:B150)</f>
        <v>872412.6599999999</v>
      </c>
      <c r="E151" s="1">
        <f>SUM(D138:E149)</f>
        <v>395470985.94</v>
      </c>
      <c r="F151" s="27">
        <v>412000</v>
      </c>
      <c r="G151" s="1">
        <f>SUM(G138:G149)</f>
        <v>395470985.94</v>
      </c>
      <c r="H151" s="27">
        <v>194577000</v>
      </c>
      <c r="I151" s="24">
        <f>E151/H151</f>
        <v>2.0324652242556933</v>
      </c>
      <c r="J151" s="3">
        <f>SUM(J138:J149)</f>
        <v>-490572.06</v>
      </c>
      <c r="K151" s="3">
        <f>SUM(K138:K149)</f>
        <v>799663.4199999999</v>
      </c>
      <c r="L151" s="3">
        <f>SUM(L138:L149)</f>
        <v>876974.48</v>
      </c>
    </row>
    <row r="153" spans="1:10" s="27" customFormat="1" ht="12.75">
      <c r="A153" s="27" t="s">
        <v>107</v>
      </c>
      <c r="B153" s="27">
        <v>732450</v>
      </c>
      <c r="C153" s="27">
        <v>1341633.32</v>
      </c>
      <c r="D153" s="27">
        <v>192099.61</v>
      </c>
      <c r="G153" s="27">
        <v>328466523</v>
      </c>
      <c r="J153" s="27">
        <v>-404127.49</v>
      </c>
    </row>
    <row r="154" spans="1:7" s="27" customFormat="1" ht="12.75">
      <c r="A154" s="27" t="s">
        <v>105</v>
      </c>
      <c r="B154" s="27">
        <v>0</v>
      </c>
      <c r="G154" s="27">
        <v>0</v>
      </c>
    </row>
    <row r="155" spans="1:10" s="27" customFormat="1" ht="12.75">
      <c r="A155" s="27" t="s">
        <v>106</v>
      </c>
      <c r="B155" s="27">
        <v>74500</v>
      </c>
      <c r="C155" s="27">
        <f>B155*2.0182</f>
        <v>150355.90000000002</v>
      </c>
      <c r="D155" s="27">
        <f>'[1]No of Customers'!$D$33*517.45</f>
        <v>19145.65</v>
      </c>
      <c r="G155" s="27">
        <v>34000000</v>
      </c>
      <c r="J155" s="27">
        <v>-45000</v>
      </c>
    </row>
    <row r="156" spans="1:10" s="27" customFormat="1" ht="12.75">
      <c r="A156" s="27" t="s">
        <v>14</v>
      </c>
      <c r="B156" s="27">
        <v>74500</v>
      </c>
      <c r="C156" s="27">
        <f>B156*2.0182</f>
        <v>150355.90000000002</v>
      </c>
      <c r="D156" s="27">
        <f>'[1]No of Customers'!$E$33*517.45</f>
        <v>19783.838333333337</v>
      </c>
      <c r="G156" s="27">
        <v>34000000</v>
      </c>
      <c r="J156" s="27">
        <v>-45000</v>
      </c>
    </row>
    <row r="157" s="27" customFormat="1" ht="12.75"/>
    <row r="158" spans="2:10" s="27" customFormat="1" ht="12.75">
      <c r="B158" s="27">
        <f>ROUND(SUM(B153:B157),-3)</f>
        <v>881000</v>
      </c>
      <c r="C158" s="27">
        <f>ROUND(SUM(C153:C156),-3)</f>
        <v>1642000</v>
      </c>
      <c r="D158" s="27">
        <f>ROUND(SUM(D153:D156),-3)</f>
        <v>231000</v>
      </c>
      <c r="G158" s="27">
        <f>ROUND(SUM(G153:G157),-6)</f>
        <v>396000000</v>
      </c>
      <c r="J158" s="27">
        <f>ROUND(SUM(J153:J156),-3)</f>
        <v>-494000</v>
      </c>
    </row>
    <row r="159" ht="13.5" thickBot="1">
      <c r="J159" s="27">
        <f>-J158/0.6</f>
        <v>823333.3333333334</v>
      </c>
    </row>
    <row r="160" spans="1:8" ht="12.75">
      <c r="A160" s="106"/>
      <c r="B160" s="107"/>
      <c r="C160" s="107"/>
      <c r="D160" s="107"/>
      <c r="E160" s="107"/>
      <c r="F160" s="108"/>
      <c r="G160" s="109" t="s">
        <v>191</v>
      </c>
      <c r="H160" s="110"/>
    </row>
    <row r="161" spans="1:8" ht="12.75">
      <c r="A161" s="82"/>
      <c r="B161" s="100"/>
      <c r="C161" s="100"/>
      <c r="D161" s="100"/>
      <c r="E161" s="100"/>
      <c r="F161" s="101"/>
      <c r="G161" s="112">
        <f>+Stats!H63</f>
        <v>0.120059</v>
      </c>
      <c r="H161" s="113">
        <f>+Stats!J63</f>
        <v>0.384498</v>
      </c>
    </row>
    <row r="162" spans="1:8" ht="15">
      <c r="A162" s="82"/>
      <c r="B162" s="128" t="s">
        <v>164</v>
      </c>
      <c r="C162" s="100"/>
      <c r="D162" s="100"/>
      <c r="E162" s="100"/>
      <c r="F162" s="101"/>
      <c r="G162" s="114">
        <v>2001</v>
      </c>
      <c r="H162" s="115">
        <v>2002</v>
      </c>
    </row>
    <row r="163" spans="1:8" ht="12.75">
      <c r="A163" s="116" t="s">
        <v>152</v>
      </c>
      <c r="B163" s="100">
        <f>+'GS TOU'!K16+'GS TOU'!K18</f>
        <v>82.76999999999998</v>
      </c>
      <c r="C163" s="100"/>
      <c r="D163" s="100"/>
      <c r="E163" s="100"/>
      <c r="F163" s="101"/>
      <c r="G163" s="118">
        <f>+B163*$G$161</f>
        <v>9.937283429999997</v>
      </c>
      <c r="H163" s="119">
        <f>+B163*$H$161</f>
        <v>31.824899459999994</v>
      </c>
    </row>
    <row r="164" spans="1:8" ht="12.75">
      <c r="A164" s="116" t="s">
        <v>144</v>
      </c>
      <c r="B164" s="100">
        <f>+'GS TOU'!K21</f>
        <v>72009.33</v>
      </c>
      <c r="C164" s="100"/>
      <c r="D164" s="100"/>
      <c r="E164" s="100"/>
      <c r="F164" s="101"/>
      <c r="G164" s="118">
        <f aca="true" t="shared" si="21" ref="G164:G173">+B164*$G$161</f>
        <v>8645.36815047</v>
      </c>
      <c r="H164" s="119">
        <f aca="true" t="shared" si="22" ref="H164:H173">+B164*$H$161</f>
        <v>27687.44336634</v>
      </c>
    </row>
    <row r="165" spans="1:8" ht="12.75">
      <c r="A165" s="116" t="s">
        <v>7</v>
      </c>
      <c r="B165" s="100">
        <f>+'GS TOU'!K25+'GS TOU'!K26</f>
        <v>75290.03</v>
      </c>
      <c r="C165" s="100"/>
      <c r="D165" s="100"/>
      <c r="E165" s="100"/>
      <c r="F165" s="101"/>
      <c r="G165" s="118">
        <f t="shared" si="21"/>
        <v>9039.24571177</v>
      </c>
      <c r="H165" s="119">
        <f t="shared" si="22"/>
        <v>28948.86595494</v>
      </c>
    </row>
    <row r="166" spans="1:8" ht="12.75">
      <c r="A166" s="116" t="s">
        <v>145</v>
      </c>
      <c r="B166" s="100">
        <f>+'GS TOU'!K29</f>
        <v>71598.94</v>
      </c>
      <c r="C166" s="100"/>
      <c r="D166" s="100"/>
      <c r="E166" s="100"/>
      <c r="F166" s="101"/>
      <c r="G166" s="118">
        <f t="shared" si="21"/>
        <v>8596.09713746</v>
      </c>
      <c r="H166" s="119">
        <f t="shared" si="22"/>
        <v>27529.649232120002</v>
      </c>
    </row>
    <row r="167" spans="1:8" ht="12.75">
      <c r="A167" s="116" t="s">
        <v>146</v>
      </c>
      <c r="B167" s="100">
        <f>+'GS TOU'!K33</f>
        <v>74192.33</v>
      </c>
      <c r="C167" s="100"/>
      <c r="D167" s="100"/>
      <c r="E167" s="100"/>
      <c r="F167" s="101"/>
      <c r="G167" s="118">
        <f t="shared" si="21"/>
        <v>8907.45694747</v>
      </c>
      <c r="H167" s="119">
        <f t="shared" si="22"/>
        <v>28526.80250034</v>
      </c>
    </row>
    <row r="168" spans="1:8" ht="12.75">
      <c r="A168" s="116" t="s">
        <v>147</v>
      </c>
      <c r="B168" s="100">
        <f>+'GS TOU'!K37+'GS TOU'!K38</f>
        <v>74208.23</v>
      </c>
      <c r="C168" s="100"/>
      <c r="D168" s="100"/>
      <c r="E168" s="100"/>
      <c r="F168" s="101"/>
      <c r="G168" s="118">
        <f t="shared" si="21"/>
        <v>8909.36588557</v>
      </c>
      <c r="H168" s="119">
        <f t="shared" si="22"/>
        <v>28532.91601854</v>
      </c>
    </row>
    <row r="169" spans="1:8" ht="12.75">
      <c r="A169" s="116" t="s">
        <v>148</v>
      </c>
      <c r="B169" s="100">
        <f>+'GS TOU'!K41</f>
        <v>74474.56</v>
      </c>
      <c r="C169" s="100"/>
      <c r="D169" s="100"/>
      <c r="E169" s="100"/>
      <c r="F169" s="101"/>
      <c r="G169" s="118">
        <f t="shared" si="21"/>
        <v>8941.34119904</v>
      </c>
      <c r="H169" s="119">
        <f t="shared" si="22"/>
        <v>28635.31937088</v>
      </c>
    </row>
    <row r="170" spans="1:8" ht="12.75">
      <c r="A170" s="116" t="s">
        <v>149</v>
      </c>
      <c r="B170" s="100">
        <f>+'GS TOU'!K45</f>
        <v>74317.92</v>
      </c>
      <c r="C170" s="100"/>
      <c r="D170" s="100"/>
      <c r="E170" s="100"/>
      <c r="F170" s="101"/>
      <c r="G170" s="118">
        <f t="shared" si="21"/>
        <v>8922.53515728</v>
      </c>
      <c r="H170" s="119">
        <f t="shared" si="22"/>
        <v>28575.09160416</v>
      </c>
    </row>
    <row r="171" spans="1:8" ht="12.75">
      <c r="A171" s="116" t="s">
        <v>150</v>
      </c>
      <c r="B171" s="100">
        <f>+'GS TOU'!K49</f>
        <v>74136.13</v>
      </c>
      <c r="C171" s="100"/>
      <c r="D171" s="100"/>
      <c r="E171" s="100"/>
      <c r="F171" s="101"/>
      <c r="G171" s="118">
        <f t="shared" si="21"/>
        <v>8900.70963167</v>
      </c>
      <c r="H171" s="119">
        <f t="shared" si="22"/>
        <v>28505.19371274</v>
      </c>
    </row>
    <row r="172" spans="1:8" ht="12.75">
      <c r="A172" s="116" t="s">
        <v>151</v>
      </c>
      <c r="B172" s="100">
        <f>+'GS TOU'!K53</f>
        <v>69938.18</v>
      </c>
      <c r="C172" s="100"/>
      <c r="D172" s="100"/>
      <c r="E172" s="100"/>
      <c r="F172" s="101"/>
      <c r="G172" s="118">
        <f t="shared" si="21"/>
        <v>8396.70795262</v>
      </c>
      <c r="H172" s="119">
        <f t="shared" si="22"/>
        <v>26891.090333639997</v>
      </c>
    </row>
    <row r="173" spans="1:8" ht="12.75">
      <c r="A173" s="116" t="s">
        <v>156</v>
      </c>
      <c r="B173" s="100">
        <f>+Stats!F63</f>
        <v>68606.98</v>
      </c>
      <c r="C173" s="100"/>
      <c r="D173" s="100"/>
      <c r="E173" s="100"/>
      <c r="F173" s="101"/>
      <c r="G173" s="118">
        <f t="shared" si="21"/>
        <v>8236.88541182</v>
      </c>
      <c r="H173" s="119">
        <f t="shared" si="22"/>
        <v>26379.24659604</v>
      </c>
    </row>
    <row r="174" spans="1:8" ht="13.5" thickBot="1">
      <c r="A174" s="116"/>
      <c r="B174" s="12">
        <f>SUM(B163:B173)</f>
        <v>728855.3999999999</v>
      </c>
      <c r="C174" s="100"/>
      <c r="D174" s="100"/>
      <c r="E174" s="100"/>
      <c r="F174" s="101"/>
      <c r="G174" s="72">
        <f>SUM(G163:G173)</f>
        <v>87505.65046859998</v>
      </c>
      <c r="H174" s="122">
        <f>SUM(H163:H173)</f>
        <v>280243.44358920003</v>
      </c>
    </row>
    <row r="175" spans="1:8" ht="13.5" thickBot="1">
      <c r="A175" s="84"/>
      <c r="B175" s="16"/>
      <c r="C175" s="16"/>
      <c r="D175" s="16"/>
      <c r="E175" s="16"/>
      <c r="F175" s="124"/>
      <c r="G175" s="16">
        <f>+G174-Stats!D63</f>
        <v>0</v>
      </c>
      <c r="H175" s="125">
        <f>+H174-Stats!E63</f>
        <v>0.44358920003287494</v>
      </c>
    </row>
    <row r="184" ht="12.75">
      <c r="A184" t="s">
        <v>76</v>
      </c>
    </row>
    <row r="186" spans="2:9" s="4" customFormat="1" ht="25.5">
      <c r="B186" s="5" t="s">
        <v>67</v>
      </c>
      <c r="C186" s="5" t="s">
        <v>68</v>
      </c>
      <c r="D186" s="5" t="s">
        <v>65</v>
      </c>
      <c r="E186" s="5" t="s">
        <v>69</v>
      </c>
      <c r="F186" s="26" t="s">
        <v>74</v>
      </c>
      <c r="G186" s="30"/>
      <c r="H186" s="26" t="s">
        <v>75</v>
      </c>
      <c r="I186" s="30"/>
    </row>
    <row r="188" spans="1:8" ht="12.75">
      <c r="A188" t="s">
        <v>63</v>
      </c>
      <c r="E188" s="1">
        <f>B63</f>
        <v>133337821.56000002</v>
      </c>
      <c r="H188" s="27">
        <f>D63</f>
        <v>104468000</v>
      </c>
    </row>
    <row r="189" spans="1:8" ht="12.75">
      <c r="A189" t="s">
        <v>66</v>
      </c>
      <c r="B189" s="1">
        <f>B107</f>
        <v>902987.49</v>
      </c>
      <c r="E189" s="1">
        <f>E107</f>
        <v>339992424.48</v>
      </c>
      <c r="F189" s="27">
        <f>F107</f>
        <v>1452000</v>
      </c>
      <c r="H189" s="27">
        <f>H107</f>
        <v>617065000</v>
      </c>
    </row>
    <row r="190" spans="1:256" s="7" customFormat="1" ht="12.75">
      <c r="A190" s="7" t="s">
        <v>70</v>
      </c>
      <c r="B190" s="8">
        <f>B151</f>
        <v>872412.6599999999</v>
      </c>
      <c r="C190" s="8"/>
      <c r="D190" s="8"/>
      <c r="E190" s="8">
        <f>E151</f>
        <v>395470985.94</v>
      </c>
      <c r="F190" s="28">
        <f>F151</f>
        <v>412000</v>
      </c>
      <c r="G190" s="31"/>
      <c r="H190" s="28">
        <f>H151</f>
        <v>194577000</v>
      </c>
      <c r="I190" s="31"/>
      <c r="IV190" s="10"/>
    </row>
    <row r="192" spans="2:9" ht="12.75">
      <c r="B192" s="1">
        <f>SUM(B188:B190)</f>
        <v>1775400.15</v>
      </c>
      <c r="E192" s="1">
        <f>SUM(E188:E190)</f>
        <v>868801231.98</v>
      </c>
      <c r="F192" s="27">
        <f>SUM(F188:F190)</f>
        <v>1864000</v>
      </c>
      <c r="G192" s="24">
        <f>B192/F192</f>
        <v>0.9524678916309013</v>
      </c>
      <c r="H192" s="27">
        <f>SUM(H188:H190)</f>
        <v>916110000</v>
      </c>
      <c r="I192" s="24">
        <f>E192/H192</f>
        <v>0.9483590747617644</v>
      </c>
    </row>
    <row r="194" spans="1:5" ht="12.75">
      <c r="A194" t="s">
        <v>63</v>
      </c>
      <c r="E194" s="1">
        <v>9000000</v>
      </c>
    </row>
    <row r="195" spans="1:5" ht="12.75">
      <c r="A195" t="s">
        <v>66</v>
      </c>
      <c r="B195" s="1">
        <v>40000</v>
      </c>
      <c r="E195" s="1">
        <v>13000000</v>
      </c>
    </row>
    <row r="196" spans="1:9" s="7" customFormat="1" ht="12.75">
      <c r="A196" s="7" t="s">
        <v>70</v>
      </c>
      <c r="B196" s="8"/>
      <c r="C196" s="8"/>
      <c r="D196" s="8"/>
      <c r="E196" s="8"/>
      <c r="F196" s="28"/>
      <c r="G196" s="31"/>
      <c r="H196" s="28"/>
      <c r="I196" s="31"/>
    </row>
    <row r="197" spans="2:9" ht="12.75">
      <c r="B197" s="1">
        <f>SUM(B192:B196)</f>
        <v>1815400.15</v>
      </c>
      <c r="E197" s="1">
        <f>SUM(E192:E196)</f>
        <v>890801231.98</v>
      </c>
      <c r="F197" s="27">
        <f>F192</f>
        <v>1864000</v>
      </c>
      <c r="G197" s="24">
        <f>B197/F197</f>
        <v>0.9739271190987124</v>
      </c>
      <c r="H197" s="27">
        <f>H192</f>
        <v>916110000</v>
      </c>
      <c r="I197" s="24">
        <f>E197/H197</f>
        <v>0.972373658163321</v>
      </c>
    </row>
    <row r="199" ht="12.75">
      <c r="G199" s="24">
        <f>9/12</f>
        <v>0.75</v>
      </c>
    </row>
    <row r="224" ht="13.5" thickBot="1"/>
    <row r="225" spans="1:9" s="20" customFormat="1" ht="16.5" thickBot="1">
      <c r="A225" s="98" t="s">
        <v>72</v>
      </c>
      <c r="B225" s="75" t="s">
        <v>182</v>
      </c>
      <c r="C225" s="75"/>
      <c r="D225" s="21"/>
      <c r="E225" s="21"/>
      <c r="F225" s="25"/>
      <c r="G225" s="29"/>
      <c r="H225" s="25"/>
      <c r="I225" s="29"/>
    </row>
    <row r="227" spans="2:11" s="4" customFormat="1" ht="25.5">
      <c r="B227" s="5" t="s">
        <v>67</v>
      </c>
      <c r="C227" s="5" t="s">
        <v>68</v>
      </c>
      <c r="D227" s="5" t="s">
        <v>65</v>
      </c>
      <c r="E227" s="5" t="s">
        <v>69</v>
      </c>
      <c r="F227" s="26" t="s">
        <v>74</v>
      </c>
      <c r="G227" s="30" t="s">
        <v>97</v>
      </c>
      <c r="H227" s="26" t="s">
        <v>75</v>
      </c>
      <c r="I227" s="30"/>
      <c r="J227" s="4" t="s">
        <v>98</v>
      </c>
      <c r="K227" s="4" t="s">
        <v>99</v>
      </c>
    </row>
    <row r="228" spans="2:9" s="4" customFormat="1" ht="12.75">
      <c r="B228" s="5">
        <v>2002</v>
      </c>
      <c r="C228" s="5">
        <v>2002</v>
      </c>
      <c r="D228" s="5"/>
      <c r="E228" s="5"/>
      <c r="F228" s="26"/>
      <c r="G228" s="30"/>
      <c r="H228" s="26"/>
      <c r="I228" s="30"/>
    </row>
    <row r="230" spans="1:14" ht="12.75">
      <c r="A230" t="s">
        <v>3</v>
      </c>
      <c r="B230" s="1">
        <f>LU!E9</f>
        <v>31178.46</v>
      </c>
      <c r="C230" s="1">
        <f>LU!E74</f>
        <v>31178.46</v>
      </c>
      <c r="D230" s="1">
        <f>LU!C74</f>
        <v>16455276.09</v>
      </c>
      <c r="G230" s="1">
        <f>D230+E230</f>
        <v>16455276.09</v>
      </c>
      <c r="J230" s="3">
        <f>LU!B202</f>
        <v>0</v>
      </c>
      <c r="K230" s="3">
        <f>LU!E202</f>
        <v>0</v>
      </c>
      <c r="M230" s="3">
        <f>B230</f>
        <v>31178.46</v>
      </c>
      <c r="N230" s="24">
        <f>M230/M$243</f>
        <v>0.07430183271734199</v>
      </c>
    </row>
    <row r="231" spans="1:14" ht="12.75">
      <c r="A231" t="s">
        <v>4</v>
      </c>
      <c r="B231" s="1">
        <f>LU!E13</f>
        <v>31288.55</v>
      </c>
      <c r="C231" s="1">
        <f>LU!E84</f>
        <v>31288.559999999998</v>
      </c>
      <c r="D231" s="1">
        <f>LU!C84</f>
        <v>18649964.52</v>
      </c>
      <c r="G231" s="1">
        <f aca="true" t="shared" si="23" ref="G231:G241">D231+E231</f>
        <v>18649964.52</v>
      </c>
      <c r="J231" s="3">
        <f>LU!B207</f>
        <v>-18619.52</v>
      </c>
      <c r="K231" s="3">
        <f>LU!E207</f>
        <v>31032.54</v>
      </c>
      <c r="M231" s="3">
        <f aca="true" t="shared" si="24" ref="M231:M240">B231</f>
        <v>31288.55</v>
      </c>
      <c r="N231" s="24">
        <f aca="true" t="shared" si="25" ref="N231:N241">M231/M$243</f>
        <v>0.07456418976653083</v>
      </c>
    </row>
    <row r="232" spans="1:14" ht="12.75">
      <c r="A232" t="s">
        <v>5</v>
      </c>
      <c r="B232" s="1">
        <f>LU!E19</f>
        <v>31555.06</v>
      </c>
      <c r="C232" s="1">
        <f>LU!E94</f>
        <v>31555.06</v>
      </c>
      <c r="D232" s="1">
        <f>LU!C94</f>
        <v>17185634.73</v>
      </c>
      <c r="G232" s="1">
        <f t="shared" si="23"/>
        <v>17185634.73</v>
      </c>
      <c r="J232" s="3">
        <f>LU!B212</f>
        <v>-18933.04</v>
      </c>
      <c r="K232" s="3">
        <f>LU!E212</f>
        <v>31555.06</v>
      </c>
      <c r="M232" s="3">
        <f t="shared" si="24"/>
        <v>31555.06</v>
      </c>
      <c r="N232" s="24">
        <f t="shared" si="25"/>
        <v>0.07519931354870284</v>
      </c>
    </row>
    <row r="233" spans="1:14" ht="12.75">
      <c r="A233" t="s">
        <v>6</v>
      </c>
      <c r="B233" s="1">
        <f>LU!E23</f>
        <v>31342.01</v>
      </c>
      <c r="C233" s="1">
        <f>LU!E104</f>
        <v>31342.010000000002</v>
      </c>
      <c r="D233" s="1">
        <f>LU!C104</f>
        <v>18444494.97</v>
      </c>
      <c r="G233" s="1">
        <f t="shared" si="23"/>
        <v>18444494.97</v>
      </c>
      <c r="J233" s="3">
        <f>LU!B216</f>
        <v>-18805.21</v>
      </c>
      <c r="K233" s="3">
        <f>LU!E216</f>
        <v>31342.01</v>
      </c>
      <c r="M233" s="3">
        <f t="shared" si="24"/>
        <v>31342.01</v>
      </c>
      <c r="N233" s="24">
        <f t="shared" si="25"/>
        <v>0.07469159105501874</v>
      </c>
    </row>
    <row r="234" spans="1:14" ht="12.75">
      <c r="A234" t="s">
        <v>7</v>
      </c>
      <c r="B234" s="1">
        <f>LU!E27</f>
        <v>35663.85</v>
      </c>
      <c r="C234" s="1">
        <f>LU!E114</f>
        <v>35663.850000000006</v>
      </c>
      <c r="D234" s="1">
        <f>LU!C114</f>
        <v>18704815.469999995</v>
      </c>
      <c r="G234" s="1">
        <f t="shared" si="23"/>
        <v>18704815.469999995</v>
      </c>
      <c r="J234" s="3">
        <f>LU!B221</f>
        <v>-21398.309999999998</v>
      </c>
      <c r="K234" s="3">
        <f>LU!E221</f>
        <v>35663.85</v>
      </c>
      <c r="M234" s="3">
        <f t="shared" si="24"/>
        <v>35663.85</v>
      </c>
      <c r="N234" s="24">
        <f t="shared" si="25"/>
        <v>0.08499102960044777</v>
      </c>
    </row>
    <row r="235" spans="1:14" ht="12.75">
      <c r="A235" t="s">
        <v>8</v>
      </c>
      <c r="B235" s="1">
        <f>LU!E31</f>
        <v>34778.5</v>
      </c>
      <c r="E235" s="1">
        <f>LU!C150</f>
        <v>19051306.56</v>
      </c>
      <c r="G235" s="1">
        <f t="shared" si="23"/>
        <v>19051306.56</v>
      </c>
      <c r="J235" s="3">
        <f>LU!B225</f>
        <v>-20867.1</v>
      </c>
      <c r="K235" s="3">
        <f>LU!E225</f>
        <v>34778.5</v>
      </c>
      <c r="M235" s="3">
        <f t="shared" si="24"/>
        <v>34778.5</v>
      </c>
      <c r="N235" s="24">
        <f t="shared" si="25"/>
        <v>0.08288113938790044</v>
      </c>
    </row>
    <row r="236" spans="1:14" ht="12.75">
      <c r="A236" t="s">
        <v>9</v>
      </c>
      <c r="B236" s="1">
        <f>LU!E35</f>
        <v>36257.26</v>
      </c>
      <c r="E236" s="1">
        <f>LU!C156</f>
        <v>18983315.34</v>
      </c>
      <c r="G236" s="1">
        <f t="shared" si="23"/>
        <v>18983315.34</v>
      </c>
      <c r="J236" s="3">
        <f>LU!B229</f>
        <v>-21754.35</v>
      </c>
      <c r="K236" s="3">
        <f>LU!E229</f>
        <v>36257.26</v>
      </c>
      <c r="M236" s="3">
        <f t="shared" si="24"/>
        <v>36257.26</v>
      </c>
      <c r="N236" s="24">
        <f t="shared" si="25"/>
        <v>0.08640519343512076</v>
      </c>
    </row>
    <row r="237" spans="1:14" ht="12.75">
      <c r="A237" t="s">
        <v>10</v>
      </c>
      <c r="B237" s="1">
        <f>LU!E39</f>
        <v>38016.68</v>
      </c>
      <c r="E237" s="1">
        <f>LU!C162</f>
        <v>19326547.35</v>
      </c>
      <c r="G237" s="1">
        <f t="shared" si="23"/>
        <v>19326547.35</v>
      </c>
      <c r="J237" s="3">
        <f>LU!B233</f>
        <v>-22810.01</v>
      </c>
      <c r="K237" s="3">
        <f>LU!E233</f>
        <v>38016.68</v>
      </c>
      <c r="M237" s="3">
        <f t="shared" si="24"/>
        <v>38016.68</v>
      </c>
      <c r="N237" s="24">
        <f t="shared" si="25"/>
        <v>0.09059809233133134</v>
      </c>
    </row>
    <row r="238" spans="1:14" ht="12.75">
      <c r="A238" t="s">
        <v>11</v>
      </c>
      <c r="B238" s="1">
        <f>LU!E43</f>
        <v>36614.25</v>
      </c>
      <c r="E238" s="1">
        <f>LU!C168</f>
        <v>20450057.76</v>
      </c>
      <c r="G238" s="1">
        <f t="shared" si="23"/>
        <v>20450057.76</v>
      </c>
      <c r="J238" s="3">
        <f>LU!B237</f>
        <v>-21968.55</v>
      </c>
      <c r="K238" s="3">
        <f>LU!E237</f>
        <v>36614.25</v>
      </c>
      <c r="M238" s="3">
        <f t="shared" si="24"/>
        <v>36614.25</v>
      </c>
      <c r="N238" s="24">
        <f t="shared" si="25"/>
        <v>0.0872559413957886</v>
      </c>
    </row>
    <row r="239" spans="1:14" ht="12.75">
      <c r="A239" t="s">
        <v>12</v>
      </c>
      <c r="B239" s="1">
        <f>LU!E47</f>
        <v>37696.32</v>
      </c>
      <c r="E239" s="1">
        <f>LU!C174</f>
        <v>20099577.96</v>
      </c>
      <c r="G239" s="1">
        <f t="shared" si="23"/>
        <v>20099577.96</v>
      </c>
      <c r="J239" s="3">
        <f>LU!B241</f>
        <v>-22617.79</v>
      </c>
      <c r="K239" s="3">
        <f>LU!E241</f>
        <v>37696.32</v>
      </c>
      <c r="M239" s="3">
        <f t="shared" si="24"/>
        <v>37696.32</v>
      </c>
      <c r="N239" s="24">
        <f t="shared" si="25"/>
        <v>0.08983463784610891</v>
      </c>
    </row>
    <row r="240" spans="1:14" ht="12.75">
      <c r="A240" t="s">
        <v>13</v>
      </c>
      <c r="B240" s="1">
        <f>LU!E51</f>
        <v>37228.05</v>
      </c>
      <c r="E240" s="1">
        <f>LU!C180</f>
        <v>20189549.16</v>
      </c>
      <c r="G240" s="1">
        <f t="shared" si="23"/>
        <v>20189549.16</v>
      </c>
      <c r="J240" s="3">
        <f>LU!B245</f>
        <v>-22336.83</v>
      </c>
      <c r="K240" s="3">
        <f>LU!E245</f>
        <v>37228.05</v>
      </c>
      <c r="M240" s="3">
        <f t="shared" si="24"/>
        <v>37228.05</v>
      </c>
      <c r="N240" s="24">
        <f t="shared" si="25"/>
        <v>0.08871869693027955</v>
      </c>
    </row>
    <row r="241" spans="1:14" s="83" customFormat="1" ht="12.75">
      <c r="A241" s="7" t="s">
        <v>14</v>
      </c>
      <c r="B241" s="8">
        <f>LU!E55</f>
        <v>31930.47</v>
      </c>
      <c r="C241" s="8"/>
      <c r="D241" s="8"/>
      <c r="E241" s="8">
        <f>LU!C186</f>
        <v>18762111.72</v>
      </c>
      <c r="F241" s="28"/>
      <c r="G241" s="8">
        <f t="shared" si="23"/>
        <v>18762111.72</v>
      </c>
      <c r="H241" s="28"/>
      <c r="I241" s="31"/>
      <c r="J241" s="10">
        <f>LU!B249</f>
        <v>-19158.28</v>
      </c>
      <c r="K241" s="10">
        <f>LU!E249</f>
        <v>31930.47</v>
      </c>
      <c r="L241" s="7"/>
      <c r="M241" s="49">
        <f>B250</f>
        <v>38000</v>
      </c>
      <c r="N241" s="31">
        <f t="shared" si="25"/>
        <v>0.09055834198542825</v>
      </c>
    </row>
    <row r="242" ht="12.75">
      <c r="G242" s="1"/>
    </row>
    <row r="243" spans="2:13" ht="12.75">
      <c r="B243" s="1">
        <f>SUM(B230:B242)</f>
        <v>413549.45999999996</v>
      </c>
      <c r="E243" s="1">
        <f>SUM(D230:E241)</f>
        <v>226302651.63</v>
      </c>
      <c r="F243" s="27">
        <v>379000</v>
      </c>
      <c r="G243" s="1">
        <f>SUM(G230:G241)</f>
        <v>226302651.63</v>
      </c>
      <c r="H243" s="27">
        <v>233996000</v>
      </c>
      <c r="I243" s="24">
        <f>E243/H243</f>
        <v>0.967121880844117</v>
      </c>
      <c r="J243" s="3">
        <f>SUM(J230:J241)</f>
        <v>-229268.99000000002</v>
      </c>
      <c r="K243" s="3">
        <f>SUM(K230:K241)</f>
        <v>382114.99</v>
      </c>
      <c r="M243" s="3">
        <f>SUM(M230:M242)</f>
        <v>419618.99</v>
      </c>
    </row>
    <row r="244" ht="12.75">
      <c r="G244" s="1"/>
    </row>
    <row r="247" spans="1:10" s="27" customFormat="1" ht="12.75">
      <c r="A247" s="27" t="s">
        <v>107</v>
      </c>
      <c r="B247" s="27">
        <v>344390.94</v>
      </c>
      <c r="C247" s="27">
        <v>572958.16</v>
      </c>
      <c r="D247" s="27">
        <v>22300.41</v>
      </c>
      <c r="G247" s="27">
        <v>187350990.75</v>
      </c>
      <c r="J247" s="27">
        <f>-187773.88-18860.68</f>
        <v>-206634.56</v>
      </c>
    </row>
    <row r="248" spans="1:7" s="27" customFormat="1" ht="12.75">
      <c r="A248" s="27" t="s">
        <v>105</v>
      </c>
      <c r="B248" s="27">
        <v>0</v>
      </c>
      <c r="G248" s="27">
        <v>0</v>
      </c>
    </row>
    <row r="249" spans="1:10" s="27" customFormat="1" ht="12.75">
      <c r="A249" s="27" t="s">
        <v>106</v>
      </c>
      <c r="B249" s="27">
        <v>38000</v>
      </c>
      <c r="C249" s="27">
        <f>B249*1.8009</f>
        <v>68434.2</v>
      </c>
      <c r="D249" s="27">
        <f>3*750.57</f>
        <v>2251.71</v>
      </c>
      <c r="G249" s="27">
        <v>20000000</v>
      </c>
      <c r="J249" s="27">
        <v>-22000</v>
      </c>
    </row>
    <row r="250" spans="1:10" s="27" customFormat="1" ht="12.75">
      <c r="A250" s="27" t="s">
        <v>14</v>
      </c>
      <c r="B250" s="27">
        <v>38000</v>
      </c>
      <c r="C250" s="27">
        <f>B250*1.8009</f>
        <v>68434.2</v>
      </c>
      <c r="D250" s="27">
        <f>3*750.57/30*31</f>
        <v>2326.7670000000003</v>
      </c>
      <c r="G250" s="27">
        <v>20000000</v>
      </c>
      <c r="J250" s="27">
        <v>-22000</v>
      </c>
    </row>
    <row r="251" s="27" customFormat="1" ht="12.75"/>
    <row r="252" spans="2:10" s="27" customFormat="1" ht="12.75">
      <c r="B252" s="27">
        <f>ROUND(SUM(B247:B251),-3)</f>
        <v>420000</v>
      </c>
      <c r="C252" s="27">
        <f>ROUND(SUM(C247:C251),-3)</f>
        <v>710000</v>
      </c>
      <c r="D252" s="27">
        <f>ROUND(SUM(D247:D251),-3)</f>
        <v>27000</v>
      </c>
      <c r="G252" s="27">
        <f>ROUND(SUM(G247:G251),-6)</f>
        <v>227000000</v>
      </c>
      <c r="J252" s="27">
        <f>ROUND(SUM(J247:J251),-3)</f>
        <v>-251000</v>
      </c>
    </row>
    <row r="254" ht="13.5" thickBot="1">
      <c r="J254" s="27">
        <f>-J252/0.6</f>
        <v>418333.3333333334</v>
      </c>
    </row>
    <row r="255" spans="1:10" ht="12.75">
      <c r="A255" s="106"/>
      <c r="B255" s="107"/>
      <c r="C255" s="107"/>
      <c r="D255" s="107"/>
      <c r="E255" s="107"/>
      <c r="F255" s="108"/>
      <c r="G255" s="109" t="s">
        <v>153</v>
      </c>
      <c r="H255" s="110"/>
      <c r="J255" s="27"/>
    </row>
    <row r="256" spans="1:10" ht="12.75">
      <c r="A256" s="82"/>
      <c r="B256" s="100"/>
      <c r="C256" s="100"/>
      <c r="D256" s="100"/>
      <c r="E256" s="100"/>
      <c r="F256" s="101"/>
      <c r="G256" s="112">
        <f>+Stats!H64</f>
        <v>0.097704</v>
      </c>
      <c r="H256" s="113">
        <f>+Stats!J64</f>
        <v>0.312905</v>
      </c>
      <c r="J256" s="27"/>
    </row>
    <row r="257" spans="1:10" ht="15">
      <c r="A257" s="82"/>
      <c r="B257" s="128" t="s">
        <v>165</v>
      </c>
      <c r="C257" s="100"/>
      <c r="D257" s="100"/>
      <c r="E257" s="100"/>
      <c r="F257" s="101"/>
      <c r="G257" s="114">
        <v>2001</v>
      </c>
      <c r="H257" s="115">
        <v>2002</v>
      </c>
      <c r="J257" s="27"/>
    </row>
    <row r="258" spans="1:10" ht="12.75">
      <c r="A258" s="116" t="s">
        <v>152</v>
      </c>
      <c r="B258" s="100">
        <f>+LU!K19</f>
        <v>0</v>
      </c>
      <c r="C258" s="100"/>
      <c r="D258" s="100"/>
      <c r="E258" s="100"/>
      <c r="F258" s="101"/>
      <c r="G258" s="118">
        <f>+B258*$G$161</f>
        <v>0</v>
      </c>
      <c r="H258" s="119">
        <f>+B258*$H$161</f>
        <v>0</v>
      </c>
      <c r="J258" s="27"/>
    </row>
    <row r="259" spans="1:10" ht="12.75">
      <c r="A259" s="116" t="s">
        <v>144</v>
      </c>
      <c r="B259" s="100">
        <f>+LU!K21</f>
        <v>31342.01</v>
      </c>
      <c r="C259" s="100"/>
      <c r="D259" s="100"/>
      <c r="E259" s="100"/>
      <c r="F259" s="101"/>
      <c r="G259" s="118">
        <f aca="true" t="shared" si="26" ref="G259:G268">+B259*$G$256</f>
        <v>3062.23974504</v>
      </c>
      <c r="H259" s="119">
        <f aca="true" t="shared" si="27" ref="H259:H268">+B259*$H$256</f>
        <v>9807.071639049998</v>
      </c>
      <c r="J259" s="27"/>
    </row>
    <row r="260" spans="1:10" ht="12.75">
      <c r="A260" s="116" t="s">
        <v>7</v>
      </c>
      <c r="B260" s="100">
        <f>+LU!K25+LU!K26</f>
        <v>35663.85</v>
      </c>
      <c r="C260" s="100"/>
      <c r="D260" s="100"/>
      <c r="E260" s="100"/>
      <c r="F260" s="101"/>
      <c r="G260" s="118">
        <f t="shared" si="26"/>
        <v>3484.5008003999997</v>
      </c>
      <c r="H260" s="119">
        <f t="shared" si="27"/>
        <v>11159.39698425</v>
      </c>
      <c r="J260" s="27"/>
    </row>
    <row r="261" spans="1:10" ht="12.75">
      <c r="A261" s="116" t="s">
        <v>145</v>
      </c>
      <c r="B261" s="100">
        <f>+LU!K29</f>
        <v>34778.5</v>
      </c>
      <c r="C261" s="100"/>
      <c r="D261" s="100"/>
      <c r="E261" s="100"/>
      <c r="F261" s="101"/>
      <c r="G261" s="118">
        <f t="shared" si="26"/>
        <v>3397.998564</v>
      </c>
      <c r="H261" s="119">
        <f t="shared" si="27"/>
        <v>10882.3665425</v>
      </c>
      <c r="J261" s="27"/>
    </row>
    <row r="262" spans="1:10" ht="12.75">
      <c r="A262" s="116" t="s">
        <v>146</v>
      </c>
      <c r="B262" s="100">
        <f>+LU!K33</f>
        <v>36257.26</v>
      </c>
      <c r="C262" s="100"/>
      <c r="D262" s="100"/>
      <c r="E262" s="100"/>
      <c r="F262" s="101"/>
      <c r="G262" s="118">
        <f t="shared" si="26"/>
        <v>3542.47933104</v>
      </c>
      <c r="H262" s="119">
        <f t="shared" si="27"/>
        <v>11345.0779403</v>
      </c>
      <c r="J262" s="27"/>
    </row>
    <row r="263" spans="1:10" ht="12.75">
      <c r="A263" s="116" t="s">
        <v>147</v>
      </c>
      <c r="B263" s="100">
        <f>+LU!K37</f>
        <v>38016.68</v>
      </c>
      <c r="C263" s="100"/>
      <c r="D263" s="100"/>
      <c r="E263" s="100"/>
      <c r="F263" s="101"/>
      <c r="G263" s="118">
        <f t="shared" si="26"/>
        <v>3714.38170272</v>
      </c>
      <c r="H263" s="119">
        <f t="shared" si="27"/>
        <v>11895.609255399999</v>
      </c>
      <c r="J263" s="27"/>
    </row>
    <row r="264" spans="1:10" ht="12.75">
      <c r="A264" s="116" t="s">
        <v>148</v>
      </c>
      <c r="B264" s="100">
        <f>+LU!K41</f>
        <v>36614.25</v>
      </c>
      <c r="C264" s="100"/>
      <c r="D264" s="100"/>
      <c r="E264" s="100"/>
      <c r="F264" s="101"/>
      <c r="G264" s="118">
        <f t="shared" si="26"/>
        <v>3577.358682</v>
      </c>
      <c r="H264" s="119">
        <f t="shared" si="27"/>
        <v>11456.781896249999</v>
      </c>
      <c r="J264" s="27"/>
    </row>
    <row r="265" spans="1:10" ht="12.75">
      <c r="A265" s="116" t="s">
        <v>149</v>
      </c>
      <c r="B265" s="100">
        <f>+LU!K45</f>
        <v>37696.32</v>
      </c>
      <c r="C265" s="100"/>
      <c r="D265" s="100"/>
      <c r="E265" s="100"/>
      <c r="F265" s="101"/>
      <c r="G265" s="118">
        <f t="shared" si="26"/>
        <v>3683.08124928</v>
      </c>
      <c r="H265" s="119">
        <f t="shared" si="27"/>
        <v>11795.367009599999</v>
      </c>
      <c r="J265" s="27"/>
    </row>
    <row r="266" spans="1:10" ht="12.75">
      <c r="A266" s="116" t="s">
        <v>150</v>
      </c>
      <c r="B266" s="100">
        <f>+LU!K49</f>
        <v>37228.05</v>
      </c>
      <c r="C266" s="100"/>
      <c r="D266" s="100"/>
      <c r="E266" s="100"/>
      <c r="F266" s="101"/>
      <c r="G266" s="118">
        <f t="shared" si="26"/>
        <v>3637.3293972</v>
      </c>
      <c r="H266" s="119">
        <f t="shared" si="27"/>
        <v>11648.842985250001</v>
      </c>
      <c r="J266" s="27"/>
    </row>
    <row r="267" spans="1:10" ht="12.75">
      <c r="A267" s="116" t="s">
        <v>151</v>
      </c>
      <c r="B267" s="100">
        <f>+LU!K53</f>
        <v>31930.47</v>
      </c>
      <c r="C267" s="100"/>
      <c r="D267" s="100"/>
      <c r="E267" s="100"/>
      <c r="F267" s="101"/>
      <c r="G267" s="118">
        <f t="shared" si="26"/>
        <v>3119.73464088</v>
      </c>
      <c r="H267" s="119">
        <f t="shared" si="27"/>
        <v>9991.20371535</v>
      </c>
      <c r="J267" s="27"/>
    </row>
    <row r="268" spans="1:10" ht="12.75">
      <c r="A268" s="116" t="s">
        <v>156</v>
      </c>
      <c r="B268" s="100">
        <f>+Stats!F64</f>
        <v>30939.48</v>
      </c>
      <c r="C268" s="100"/>
      <c r="D268" s="100"/>
      <c r="E268" s="100"/>
      <c r="F268" s="101"/>
      <c r="G268" s="118">
        <f t="shared" si="26"/>
        <v>3022.91095392</v>
      </c>
      <c r="H268" s="119">
        <f t="shared" si="27"/>
        <v>9681.1179894</v>
      </c>
      <c r="J268" s="27"/>
    </row>
    <row r="269" spans="1:10" ht="13.5" thickBot="1">
      <c r="A269" s="116"/>
      <c r="B269" s="12">
        <f>SUM(B258:B268)</f>
        <v>350466.87</v>
      </c>
      <c r="C269" s="100"/>
      <c r="D269" s="100"/>
      <c r="E269" s="100"/>
      <c r="F269" s="101"/>
      <c r="G269" s="72">
        <f>SUM(G258:G268)</f>
        <v>34242.015066479995</v>
      </c>
      <c r="H269" s="122">
        <f>SUM(H258:H268)</f>
        <v>109662.83595734998</v>
      </c>
      <c r="J269" s="27"/>
    </row>
    <row r="270" spans="1:8" ht="13.5" thickBot="1">
      <c r="A270" s="84"/>
      <c r="B270" s="16"/>
      <c r="C270" s="16"/>
      <c r="D270" s="16"/>
      <c r="E270" s="16"/>
      <c r="F270" s="124"/>
      <c r="G270" s="16">
        <f>+G269-Stats!D64</f>
        <v>0</v>
      </c>
      <c r="H270" s="125">
        <f>+H269-Stats!E64</f>
        <v>-0.1640426500234753</v>
      </c>
    </row>
    <row r="286" ht="13.5" thickBot="1"/>
    <row r="287" spans="1:3" ht="13.5" thickBot="1">
      <c r="A287" s="99" t="s">
        <v>104</v>
      </c>
      <c r="B287" s="75" t="s">
        <v>182</v>
      </c>
      <c r="C287" s="75"/>
    </row>
    <row r="290" spans="2:9" s="45" customFormat="1" ht="25.5">
      <c r="B290" s="46" t="s">
        <v>77</v>
      </c>
      <c r="C290" s="46" t="s">
        <v>35</v>
      </c>
      <c r="D290" s="46" t="s">
        <v>16</v>
      </c>
      <c r="E290" s="46"/>
      <c r="F290" s="47"/>
      <c r="G290" s="48"/>
      <c r="H290" s="47"/>
      <c r="I290" s="48"/>
    </row>
    <row r="292" spans="1:4" ht="12.75">
      <c r="A292" t="s">
        <v>3</v>
      </c>
      <c r="B292" s="1">
        <f>'ST LGT'!B8</f>
        <v>10698</v>
      </c>
      <c r="C292" s="1">
        <f>'ST LGT'!C8</f>
        <v>1862.3</v>
      </c>
      <c r="D292" s="1">
        <f>'ST LGT'!D8</f>
        <v>681806.6529999999</v>
      </c>
    </row>
    <row r="293" spans="1:4" ht="12.75">
      <c r="A293" t="s">
        <v>4</v>
      </c>
      <c r="B293" s="1">
        <f>'ST LGT'!B9</f>
        <v>10698</v>
      </c>
      <c r="C293" s="1">
        <f>'ST LGT'!C9</f>
        <v>1862.3</v>
      </c>
      <c r="D293" s="1">
        <f>'ST LGT'!D9</f>
        <v>615825.3640000001</v>
      </c>
    </row>
    <row r="294" spans="1:4" ht="12.75">
      <c r="A294" t="s">
        <v>5</v>
      </c>
      <c r="B294" s="1">
        <f>'ST LGT'!B10</f>
        <v>10726</v>
      </c>
      <c r="C294" s="1">
        <f>'ST LGT'!C10</f>
        <v>1865.94</v>
      </c>
      <c r="D294" s="1">
        <f>'ST LGT'!D10</f>
        <v>683139.2934</v>
      </c>
    </row>
    <row r="295" spans="1:4" ht="12.75">
      <c r="A295" t="s">
        <v>6</v>
      </c>
      <c r="B295" s="1">
        <f>'ST LGT'!B11</f>
        <v>10726</v>
      </c>
      <c r="C295" s="1">
        <f>'ST LGT'!C11</f>
        <v>1865.94</v>
      </c>
      <c r="D295" s="1">
        <f>'ST LGT'!D11</f>
        <v>661102.5420000001</v>
      </c>
    </row>
    <row r="296" spans="1:4" ht="12.75">
      <c r="A296" t="s">
        <v>7</v>
      </c>
      <c r="B296" s="1">
        <f>'ST LGT'!B13</f>
        <v>10622</v>
      </c>
      <c r="C296" s="1">
        <f>'ST LGT'!C13</f>
        <v>1827.069152609253</v>
      </c>
      <c r="D296" s="1">
        <f>'ST LGT'!D13</f>
        <v>637188.94</v>
      </c>
    </row>
    <row r="297" spans="1:4" ht="12.75">
      <c r="A297" t="s">
        <v>8</v>
      </c>
      <c r="B297" s="1">
        <f>'ST LGT'!B14</f>
        <v>10618</v>
      </c>
      <c r="C297" s="1">
        <f>'ST LGT'!C14</f>
        <v>1825.83</v>
      </c>
      <c r="D297" s="1">
        <f>'ST LGT'!D14</f>
        <v>637188.94</v>
      </c>
    </row>
    <row r="298" spans="1:4" ht="12.75">
      <c r="A298" t="s">
        <v>9</v>
      </c>
      <c r="B298" s="1">
        <f>'ST LGT'!B15</f>
        <v>10618</v>
      </c>
      <c r="C298" s="1">
        <f>'ST LGT'!C15</f>
        <v>1825.83</v>
      </c>
      <c r="D298" s="1">
        <f>'ST LGT'!D15</f>
        <v>501708.65</v>
      </c>
    </row>
    <row r="299" spans="1:4" ht="12.75">
      <c r="A299" t="s">
        <v>10</v>
      </c>
      <c r="B299" s="1">
        <f>'ST LGT'!B16</f>
        <v>10618</v>
      </c>
      <c r="C299" s="1">
        <f>'ST LGT'!C16</f>
        <v>1825.83</v>
      </c>
      <c r="D299" s="1">
        <f>'ST LGT'!D16</f>
        <v>486198.9</v>
      </c>
    </row>
    <row r="300" spans="1:4" ht="12.75">
      <c r="A300" t="s">
        <v>11</v>
      </c>
      <c r="B300" s="1">
        <f>'ST LGT'!B17</f>
        <v>10672</v>
      </c>
      <c r="C300" s="1">
        <f>'ST LGT'!C17</f>
        <v>1832.84</v>
      </c>
      <c r="D300" s="1">
        <f>'ST LGT'!D17</f>
        <v>472323.38</v>
      </c>
    </row>
    <row r="301" spans="1:4" ht="12.75">
      <c r="A301" t="s">
        <v>12</v>
      </c>
      <c r="B301" s="1">
        <f>'ST LGT'!B18</f>
        <v>10728</v>
      </c>
      <c r="C301" s="1">
        <f>'ST LGT'!C18</f>
        <v>1844.26</v>
      </c>
      <c r="D301" s="1">
        <f>'ST LGT'!D18</f>
        <v>700360.56</v>
      </c>
    </row>
    <row r="302" spans="1:4" ht="12.75">
      <c r="A302" t="s">
        <v>13</v>
      </c>
      <c r="B302" s="1">
        <f>'ST LGT'!B19</f>
        <v>10737</v>
      </c>
      <c r="C302" s="1">
        <f>'ST LGT'!C19</f>
        <v>1846.59</v>
      </c>
      <c r="D302" s="1">
        <f>'ST LGT'!D19</f>
        <v>678623.02</v>
      </c>
    </row>
    <row r="303" spans="1:9" s="83" customFormat="1" ht="12.75">
      <c r="A303" s="7" t="s">
        <v>14</v>
      </c>
      <c r="B303" s="8">
        <f>'ST LGT'!B20</f>
        <v>0</v>
      </c>
      <c r="C303" s="8">
        <f>'ST LGT'!C20</f>
        <v>0</v>
      </c>
      <c r="D303" s="8">
        <f>'ST LGT'!D20</f>
        <v>0</v>
      </c>
      <c r="E303" s="100"/>
      <c r="F303" s="101"/>
      <c r="G303" s="102"/>
      <c r="H303" s="101"/>
      <c r="I303" s="102"/>
    </row>
    <row r="305" spans="2:4" ht="12.75">
      <c r="B305" s="1">
        <f>SUM(B292:B304)</f>
        <v>117461</v>
      </c>
      <c r="C305" s="1">
        <f>SUM(C292:C304)</f>
        <v>20284.72915260925</v>
      </c>
      <c r="D305" s="1">
        <f>SUM(D292:D304)</f>
        <v>6755466.2424</v>
      </c>
    </row>
    <row r="309" spans="1:6" s="27" customFormat="1" ht="12.75">
      <c r="A309" s="27" t="s">
        <v>107</v>
      </c>
      <c r="B309" s="27">
        <v>74760</v>
      </c>
      <c r="C309" s="27">
        <v>16593.88</v>
      </c>
      <c r="D309" s="27">
        <v>5421377.682400001</v>
      </c>
      <c r="E309" s="27">
        <v>15106.16</v>
      </c>
      <c r="F309" s="27">
        <v>11759.79</v>
      </c>
    </row>
    <row r="310" spans="1:6" s="27" customFormat="1" ht="12.75">
      <c r="A310" s="27" t="s">
        <v>105</v>
      </c>
      <c r="B310" s="27">
        <f>10650*2</f>
        <v>21300</v>
      </c>
      <c r="C310" s="27">
        <v>1865</v>
      </c>
      <c r="D310" s="27">
        <v>685000</v>
      </c>
      <c r="F310" s="27">
        <f>B310*0.16</f>
        <v>3408</v>
      </c>
    </row>
    <row r="311" spans="1:6" s="27" customFormat="1" ht="12.75">
      <c r="A311" s="27" t="s">
        <v>106</v>
      </c>
      <c r="B311" s="27">
        <v>10675</v>
      </c>
      <c r="C311" s="27">
        <v>1865</v>
      </c>
      <c r="D311" s="27">
        <v>685000</v>
      </c>
      <c r="E311" s="27">
        <f>C311*1.0137</f>
        <v>1890.5505</v>
      </c>
      <c r="F311" s="27">
        <f>B311*0.16</f>
        <v>1708</v>
      </c>
    </row>
    <row r="312" spans="1:6" s="27" customFormat="1" ht="12.75">
      <c r="A312" s="27" t="s">
        <v>14</v>
      </c>
      <c r="B312" s="27">
        <v>10675</v>
      </c>
      <c r="C312" s="27">
        <v>1865</v>
      </c>
      <c r="D312" s="27">
        <v>685000</v>
      </c>
      <c r="E312" s="27">
        <f>C312*1.0137</f>
        <v>1890.5505</v>
      </c>
      <c r="F312" s="27">
        <f>B312*0.16</f>
        <v>1708</v>
      </c>
    </row>
    <row r="313" s="27" customFormat="1" ht="12.75"/>
    <row r="314" spans="2:6" s="27" customFormat="1" ht="12.75">
      <c r="B314" s="27">
        <f>SUM(B309:B313)</f>
        <v>117410</v>
      </c>
      <c r="C314" s="27">
        <f>ROUND(SUM(C309:C313),-3)</f>
        <v>22000</v>
      </c>
      <c r="D314" s="27">
        <f>ROUND(SUM(D309:D313),-3)</f>
        <v>7476000</v>
      </c>
      <c r="E314" s="27">
        <f>ROUND(SUM(E309:E313),-3)</f>
        <v>19000</v>
      </c>
      <c r="F314" s="27">
        <f>ROUND(SUM(F309:F313),-3)</f>
        <v>19000</v>
      </c>
    </row>
    <row r="317" spans="7:8" ht="12.75">
      <c r="G317" s="63" t="s">
        <v>153</v>
      </c>
      <c r="H317" s="28"/>
    </row>
    <row r="318" spans="7:8" ht="12.75">
      <c r="G318" s="58">
        <f>+Stats!H65</f>
        <v>0.101043</v>
      </c>
      <c r="H318" s="58">
        <f>+Stats!J65</f>
        <v>0.323597</v>
      </c>
    </row>
    <row r="319" spans="2:8" ht="15">
      <c r="B319" s="74" t="s">
        <v>166</v>
      </c>
      <c r="G319" s="60">
        <v>2001</v>
      </c>
      <c r="H319" s="61">
        <v>2002</v>
      </c>
    </row>
    <row r="320" spans="1:8" ht="12.75">
      <c r="A320" s="62" t="s">
        <v>152</v>
      </c>
      <c r="B320" s="1">
        <f>+'ST LGT'!I10</f>
        <v>1891.5</v>
      </c>
      <c r="G320" s="71">
        <f>+B320*$G$318</f>
        <v>191.12283449999998</v>
      </c>
      <c r="H320" s="71">
        <f>+B320*$H$318</f>
        <v>612.0837255</v>
      </c>
    </row>
    <row r="321" spans="1:8" ht="12.75">
      <c r="A321" s="62" t="s">
        <v>144</v>
      </c>
      <c r="B321" s="1">
        <f>+'ST LGT'!I11</f>
        <v>1891.5</v>
      </c>
      <c r="G321" s="71">
        <f aca="true" t="shared" si="28" ref="G321:G330">+B321*$G$318</f>
        <v>191.12283449999998</v>
      </c>
      <c r="H321" s="71">
        <f aca="true" t="shared" si="29" ref="H321:H330">+B321*$H$318</f>
        <v>612.0837255</v>
      </c>
    </row>
    <row r="322" spans="1:8" ht="12.75">
      <c r="A322" s="62" t="s">
        <v>7</v>
      </c>
      <c r="B322" s="1">
        <f>+'ST LGT'!I13</f>
        <v>1852.1</v>
      </c>
      <c r="G322" s="71">
        <f t="shared" si="28"/>
        <v>187.14174029999998</v>
      </c>
      <c r="H322" s="71">
        <f t="shared" si="29"/>
        <v>599.3340037</v>
      </c>
    </row>
    <row r="323" spans="1:8" ht="12.75">
      <c r="A323" s="62" t="s">
        <v>145</v>
      </c>
      <c r="B323" s="1">
        <f>+'ST LGT'!I14</f>
        <v>1850.84</v>
      </c>
      <c r="G323" s="71">
        <f t="shared" si="28"/>
        <v>187.01442611999997</v>
      </c>
      <c r="H323" s="71">
        <f t="shared" si="29"/>
        <v>598.92627148</v>
      </c>
    </row>
    <row r="324" spans="1:8" ht="12.75">
      <c r="A324" s="62" t="s">
        <v>146</v>
      </c>
      <c r="B324" s="1">
        <f>+'ST LGT'!I15</f>
        <v>1850.84</v>
      </c>
      <c r="G324" s="71">
        <f t="shared" si="28"/>
        <v>187.01442611999997</v>
      </c>
      <c r="H324" s="71">
        <f t="shared" si="29"/>
        <v>598.92627148</v>
      </c>
    </row>
    <row r="325" spans="1:8" ht="12.75">
      <c r="A325" s="62" t="s">
        <v>147</v>
      </c>
      <c r="B325" s="1">
        <f>+'ST LGT'!I16</f>
        <v>1850.84</v>
      </c>
      <c r="G325" s="71">
        <f t="shared" si="28"/>
        <v>187.01442611999997</v>
      </c>
      <c r="H325" s="71">
        <f t="shared" si="29"/>
        <v>598.92627148</v>
      </c>
    </row>
    <row r="326" spans="1:8" ht="12.75">
      <c r="A326" s="62" t="s">
        <v>148</v>
      </c>
      <c r="B326" s="1">
        <f>+'ST LGT'!I17</f>
        <v>1857.95</v>
      </c>
      <c r="G326" s="71">
        <f t="shared" si="28"/>
        <v>187.73284185</v>
      </c>
      <c r="H326" s="71">
        <f t="shared" si="29"/>
        <v>601.2270461500001</v>
      </c>
    </row>
    <row r="327" spans="1:8" ht="12.75">
      <c r="A327" s="62" t="s">
        <v>149</v>
      </c>
      <c r="B327" s="1">
        <f>+'ST LGT'!I18</f>
        <v>1869.53</v>
      </c>
      <c r="G327" s="71">
        <f t="shared" si="28"/>
        <v>188.90291979</v>
      </c>
      <c r="H327" s="71">
        <f t="shared" si="29"/>
        <v>604.9742994100001</v>
      </c>
    </row>
    <row r="328" spans="1:8" ht="12.75">
      <c r="A328" s="62" t="s">
        <v>150</v>
      </c>
      <c r="B328" s="1">
        <f>+'ST LGT'!I19</f>
        <v>1871.89</v>
      </c>
      <c r="G328" s="71">
        <f t="shared" si="28"/>
        <v>189.14138127</v>
      </c>
      <c r="H328" s="71">
        <f t="shared" si="29"/>
        <v>605.7379883300001</v>
      </c>
    </row>
    <row r="329" spans="1:8" ht="12.75">
      <c r="A329" s="62" t="s">
        <v>151</v>
      </c>
      <c r="G329" s="71">
        <f t="shared" si="28"/>
        <v>0</v>
      </c>
      <c r="H329" s="71">
        <f t="shared" si="29"/>
        <v>0</v>
      </c>
    </row>
    <row r="330" spans="1:8" ht="12.75">
      <c r="A330" s="62" t="s">
        <v>156</v>
      </c>
      <c r="B330" s="1">
        <f>+Stats!F65</f>
        <v>1696.2099999999998</v>
      </c>
      <c r="G330" s="71">
        <f t="shared" si="28"/>
        <v>171.39014702999998</v>
      </c>
      <c r="H330" s="71">
        <f t="shared" si="29"/>
        <v>548.88846737</v>
      </c>
    </row>
    <row r="331" spans="1:8" ht="13.5" thickBot="1">
      <c r="A331" s="62"/>
      <c r="B331" s="12">
        <f>SUM(B320:B330)</f>
        <v>18483.2</v>
      </c>
      <c r="G331" s="72">
        <f>SUM(G320:G330)</f>
        <v>1867.5979776</v>
      </c>
      <c r="H331" s="72">
        <f>SUM(H320:H330)</f>
        <v>5981.1080704</v>
      </c>
    </row>
    <row r="332" spans="7:8" ht="12.75">
      <c r="G332" s="1">
        <f>+G331-Stats!D65</f>
        <v>0</v>
      </c>
      <c r="H332" s="27">
        <f>+H331-Stats!E65</f>
        <v>0.10807039999963308</v>
      </c>
    </row>
    <row r="335" ht="13.5" thickBot="1"/>
    <row r="336" spans="1:2" ht="13.5" thickBot="1">
      <c r="A336" s="164" t="s">
        <v>181</v>
      </c>
      <c r="B336" s="75" t="s">
        <v>182</v>
      </c>
    </row>
    <row r="339" spans="2:9" s="45" customFormat="1" ht="12.75">
      <c r="B339" s="46"/>
      <c r="C339" s="46" t="s">
        <v>35</v>
      </c>
      <c r="D339" s="46" t="s">
        <v>16</v>
      </c>
      <c r="E339" s="46"/>
      <c r="F339" s="47"/>
      <c r="G339" s="48"/>
      <c r="H339" s="47"/>
      <c r="I339" s="48"/>
    </row>
    <row r="341" ht="12.75">
      <c r="A341" t="s">
        <v>3</v>
      </c>
    </row>
    <row r="342" ht="12.75">
      <c r="A342" t="s">
        <v>4</v>
      </c>
    </row>
    <row r="343" spans="1:3" ht="12.75">
      <c r="A343" t="s">
        <v>5</v>
      </c>
      <c r="C343" s="1">
        <f>+'SENT LT'!C10</f>
        <v>66.70752855348921</v>
      </c>
    </row>
    <row r="344" spans="1:3" ht="12.75">
      <c r="A344" t="s">
        <v>6</v>
      </c>
      <c r="C344" s="1">
        <f>+'SENT LT'!C11</f>
        <v>32.89033068229385</v>
      </c>
    </row>
    <row r="345" spans="1:3" ht="12.75">
      <c r="A345" t="s">
        <v>7</v>
      </c>
      <c r="C345" s="1">
        <f>+'SENT LT'!C12</f>
        <v>8.684147581175631</v>
      </c>
    </row>
    <row r="346" spans="1:3" ht="12.75">
      <c r="A346" t="s">
        <v>8</v>
      </c>
      <c r="C346" s="1">
        <f>+'SENT LT'!C13</f>
        <v>31.380434132631706</v>
      </c>
    </row>
    <row r="347" spans="1:3" ht="12.75">
      <c r="A347" t="s">
        <v>9</v>
      </c>
      <c r="C347" s="1">
        <f>+'SENT LT'!C14</f>
        <v>34.07731866291934</v>
      </c>
    </row>
    <row r="348" spans="1:3" ht="12.75">
      <c r="A348" t="s">
        <v>10</v>
      </c>
      <c r="C348" s="1">
        <f>+'SENT LT'!C15</f>
        <v>31.437242121628895</v>
      </c>
    </row>
    <row r="349" spans="1:3" ht="12.75">
      <c r="A349" t="s">
        <v>11</v>
      </c>
      <c r="C349" s="1">
        <f>+'SENT LT'!C16</f>
        <v>32.93667404173892</v>
      </c>
    </row>
    <row r="350" spans="1:3" ht="12.75">
      <c r="A350" t="s">
        <v>12</v>
      </c>
      <c r="C350" s="1">
        <f>+'SENT LT'!C17</f>
        <v>32.577886742809305</v>
      </c>
    </row>
    <row r="351" spans="1:3" ht="12.75">
      <c r="A351" t="s">
        <v>13</v>
      </c>
      <c r="C351" s="1">
        <f>+'SENT LT'!C18</f>
        <v>32.516593912575495</v>
      </c>
    </row>
    <row r="352" spans="1:9" s="83" customFormat="1" ht="12.75">
      <c r="A352" s="7" t="s">
        <v>14</v>
      </c>
      <c r="B352" s="8"/>
      <c r="C352" s="8">
        <f>+'SENT LT'!C19</f>
        <v>31.017161992465468</v>
      </c>
      <c r="D352" s="8"/>
      <c r="E352" s="100"/>
      <c r="F352" s="101"/>
      <c r="G352" s="102"/>
      <c r="H352" s="101"/>
      <c r="I352" s="102"/>
    </row>
    <row r="354" spans="2:4" ht="12.75">
      <c r="B354" s="1">
        <f>SUM(B341:B353)</f>
        <v>0</v>
      </c>
      <c r="C354" s="1">
        <f>SUM(C341:C353)</f>
        <v>334.2253184237278</v>
      </c>
      <c r="D354" s="1">
        <f>SUM(D341:D353)</f>
        <v>0</v>
      </c>
    </row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6" spans="7:8" ht="12.75">
      <c r="G366" s="63" t="s">
        <v>153</v>
      </c>
      <c r="H366" s="28"/>
    </row>
    <row r="367" spans="7:8" ht="12.75">
      <c r="G367" s="58">
        <f>+Stats!H66</f>
        <v>0.717076</v>
      </c>
      <c r="H367" s="58">
        <f>+Stats!J66</f>
        <v>2.296497</v>
      </c>
    </row>
    <row r="368" spans="2:8" ht="15">
      <c r="B368" s="74" t="s">
        <v>183</v>
      </c>
      <c r="G368" s="60" t="s">
        <v>184</v>
      </c>
      <c r="H368" s="61" t="s">
        <v>185</v>
      </c>
    </row>
    <row r="369" spans="1:8" ht="12.75">
      <c r="A369" s="62" t="s">
        <v>152</v>
      </c>
      <c r="B369" s="1">
        <f>+'SENT LT'!C10</f>
        <v>66.70752855348921</v>
      </c>
      <c r="G369" s="71">
        <f>+B369*$G$367</f>
        <v>47.83436774502184</v>
      </c>
      <c r="H369" s="71">
        <f>+B369*$H$367</f>
        <v>153.1936392005023</v>
      </c>
    </row>
    <row r="370" spans="1:8" ht="12.75">
      <c r="A370" s="62" t="s">
        <v>144</v>
      </c>
      <c r="B370" s="1">
        <f>+'SENT LT'!C11</f>
        <v>32.89033068229385</v>
      </c>
      <c r="G370" s="71">
        <f aca="true" t="shared" si="30" ref="G370:G378">+B370*$G$367</f>
        <v>23.584866764336546</v>
      </c>
      <c r="H370" s="71">
        <f aca="true" t="shared" si="31" ref="H370:H378">+B370*$H$367</f>
        <v>75.53254574089578</v>
      </c>
    </row>
    <row r="371" spans="1:8" ht="12.75">
      <c r="A371" s="62" t="s">
        <v>7</v>
      </c>
      <c r="B371" s="1">
        <f>+'SENT LT'!C12</f>
        <v>8.684147581175631</v>
      </c>
      <c r="G371" s="71">
        <f t="shared" si="30"/>
        <v>6.227193810919098</v>
      </c>
      <c r="H371" s="71">
        <f t="shared" si="31"/>
        <v>19.943118867727094</v>
      </c>
    </row>
    <row r="372" spans="1:8" ht="12.75">
      <c r="A372" s="62" t="s">
        <v>145</v>
      </c>
      <c r="B372" s="1">
        <f>+'SENT LT'!C13</f>
        <v>31.380434132631706</v>
      </c>
      <c r="G372" s="71">
        <f t="shared" si="30"/>
        <v>22.502156186091014</v>
      </c>
      <c r="H372" s="71">
        <f t="shared" si="31"/>
        <v>72.06507284428632</v>
      </c>
    </row>
    <row r="373" spans="1:8" ht="12.75">
      <c r="A373" s="62" t="s">
        <v>146</v>
      </c>
      <c r="B373" s="1">
        <f>+'SENT LT'!C14</f>
        <v>34.07731866291934</v>
      </c>
      <c r="G373" s="71">
        <f t="shared" si="30"/>
        <v>24.43602735753155</v>
      </c>
      <c r="H373" s="71">
        <f t="shared" si="31"/>
        <v>78.25846007743827</v>
      </c>
    </row>
    <row r="374" spans="1:8" ht="12.75">
      <c r="A374" s="62" t="s">
        <v>147</v>
      </c>
      <c r="B374" s="1">
        <f>+'SENT LT'!C15</f>
        <v>31.437242121628895</v>
      </c>
      <c r="G374" s="71">
        <f t="shared" si="30"/>
        <v>22.542891831609165</v>
      </c>
      <c r="H374" s="71">
        <f t="shared" si="31"/>
        <v>72.19553222059439</v>
      </c>
    </row>
    <row r="375" spans="1:8" ht="12.75">
      <c r="A375" s="62" t="s">
        <v>148</v>
      </c>
      <c r="B375" s="1">
        <f>+'SENT LT'!C16</f>
        <v>32.93667404173892</v>
      </c>
      <c r="G375" s="71">
        <f t="shared" si="30"/>
        <v>23.618098475153978</v>
      </c>
      <c r="H375" s="71">
        <f t="shared" si="31"/>
        <v>75.6389731268313</v>
      </c>
    </row>
    <row r="376" spans="1:8" ht="12.75">
      <c r="A376" s="62" t="s">
        <v>149</v>
      </c>
      <c r="B376" s="1">
        <f>+'SENT LT'!C17</f>
        <v>32.577886742809305</v>
      </c>
      <c r="G376" s="71">
        <f t="shared" si="30"/>
        <v>23.360820713986726</v>
      </c>
      <c r="H376" s="71">
        <f t="shared" si="31"/>
        <v>74.81501917120134</v>
      </c>
    </row>
    <row r="377" spans="1:8" ht="12.75">
      <c r="A377" s="62" t="s">
        <v>150</v>
      </c>
      <c r="B377" s="1">
        <f>+'SENT LT'!C18</f>
        <v>32.516593912575495</v>
      </c>
      <c r="G377" s="71">
        <f t="shared" si="30"/>
        <v>23.31686909645399</v>
      </c>
      <c r="H377" s="71">
        <f t="shared" si="31"/>
        <v>74.67426037044788</v>
      </c>
    </row>
    <row r="378" spans="1:8" ht="12.75">
      <c r="A378" s="62" t="s">
        <v>151</v>
      </c>
      <c r="B378" s="1">
        <f>+'SENT LT'!C19</f>
        <v>31.017161992465468</v>
      </c>
      <c r="G378" s="71">
        <f t="shared" si="30"/>
        <v>22.241662452909168</v>
      </c>
      <c r="H378" s="71">
        <f t="shared" si="31"/>
        <v>71.23081946421097</v>
      </c>
    </row>
    <row r="379" spans="1:8" ht="12.75">
      <c r="A379" s="62" t="s">
        <v>156</v>
      </c>
      <c r="B379" s="1">
        <f>+'SENT LT'!C20</f>
        <v>0</v>
      </c>
      <c r="G379" s="71">
        <f>+B379*$G$318</f>
        <v>0</v>
      </c>
      <c r="H379" s="71">
        <f>+B379*$H$318</f>
        <v>0</v>
      </c>
    </row>
    <row r="380" spans="1:8" ht="13.5" thickBot="1">
      <c r="A380" s="62"/>
      <c r="B380" s="12">
        <f>SUM(B369:B379)</f>
        <v>334.2253184237278</v>
      </c>
      <c r="G380" s="72">
        <f>SUM(G369:G379)</f>
        <v>239.66495443401305</v>
      </c>
      <c r="H380" s="72">
        <f>SUM(H369:H379)</f>
        <v>767.5474410841357</v>
      </c>
    </row>
    <row r="381" ht="13.5" thickBot="1">
      <c r="G381" s="1"/>
    </row>
    <row r="382" ht="13.5" thickBot="1">
      <c r="H382" s="174">
        <f>+H380+G380</f>
        <v>1007.2123955181487</v>
      </c>
    </row>
    <row r="392" ht="13.5" thickBot="1"/>
    <row r="393" spans="1:9" ht="12.75">
      <c r="A393" s="173" t="s">
        <v>189</v>
      </c>
      <c r="B393" s="155"/>
      <c r="C393" s="135"/>
      <c r="D393" s="138"/>
      <c r="E393" s="141"/>
      <c r="F393" s="144"/>
      <c r="G393" s="147"/>
      <c r="H393" s="167"/>
      <c r="I393" s="150"/>
    </row>
    <row r="394" spans="1:9" ht="12.75">
      <c r="A394" s="157" t="s">
        <v>167</v>
      </c>
      <c r="B394" s="154"/>
      <c r="C394" s="136"/>
      <c r="D394" s="139"/>
      <c r="E394" s="142"/>
      <c r="F394" s="145"/>
      <c r="G394" s="148"/>
      <c r="H394" s="168"/>
      <c r="I394" s="151"/>
    </row>
    <row r="395" spans="1:9" s="129" customFormat="1" ht="13.5" thickBot="1">
      <c r="A395" s="153" t="s">
        <v>176</v>
      </c>
      <c r="B395" s="156" t="s">
        <v>169</v>
      </c>
      <c r="C395" s="137" t="s">
        <v>170</v>
      </c>
      <c r="D395" s="140" t="s">
        <v>171</v>
      </c>
      <c r="E395" s="143" t="s">
        <v>168</v>
      </c>
      <c r="F395" s="146" t="s">
        <v>172</v>
      </c>
      <c r="G395" s="149" t="s">
        <v>173</v>
      </c>
      <c r="H395" s="169" t="s">
        <v>187</v>
      </c>
      <c r="I395" s="152" t="s">
        <v>174</v>
      </c>
    </row>
    <row r="396" spans="1:9" ht="12.75">
      <c r="A396" s="82"/>
      <c r="B396" s="130"/>
      <c r="C396" s="100"/>
      <c r="D396" s="130"/>
      <c r="E396" s="100"/>
      <c r="F396" s="133"/>
      <c r="G396" s="102"/>
      <c r="H396" s="133"/>
      <c r="I396" s="133"/>
    </row>
    <row r="397" spans="1:9" ht="12.75">
      <c r="A397" s="82" t="s">
        <v>175</v>
      </c>
      <c r="B397" s="130">
        <f>+G32+H32</f>
        <v>24608.05626293</v>
      </c>
      <c r="C397" s="100">
        <f aca="true" t="shared" si="32" ref="C397:C405">+G75+H75</f>
        <v>0</v>
      </c>
      <c r="D397" s="130">
        <f>+G119+H119</f>
        <v>30822.46005232</v>
      </c>
      <c r="E397" s="100">
        <f>+G163+H163</f>
        <v>41.76218288999999</v>
      </c>
      <c r="F397" s="133">
        <f>+G258+H258</f>
        <v>0</v>
      </c>
      <c r="G397" s="100">
        <f>+G320+H320</f>
        <v>803.20656</v>
      </c>
      <c r="H397" s="130">
        <f>+G369+H369</f>
        <v>201.02800694552414</v>
      </c>
      <c r="I397" s="130">
        <f>SUM(B397:H397)</f>
        <v>56476.51306508553</v>
      </c>
    </row>
    <row r="398" spans="1:9" ht="12.75">
      <c r="A398" s="82" t="s">
        <v>144</v>
      </c>
      <c r="B398" s="130">
        <f aca="true" t="shared" si="33" ref="B398:B405">+G33+H33</f>
        <v>163224.32909826998</v>
      </c>
      <c r="C398" s="100">
        <f t="shared" si="32"/>
        <v>59084.45797511999</v>
      </c>
      <c r="D398" s="130">
        <f aca="true" t="shared" si="34" ref="D398:D405">+G120+H120</f>
        <v>64300.46837812</v>
      </c>
      <c r="E398" s="100">
        <f aca="true" t="shared" si="35" ref="E398:E405">+G164+H164</f>
        <v>36332.811516810005</v>
      </c>
      <c r="F398" s="133">
        <f aca="true" t="shared" si="36" ref="F398:F405">+G259+H259</f>
        <v>12869.311384089999</v>
      </c>
      <c r="G398" s="100">
        <f aca="true" t="shared" si="37" ref="G398:G405">+G321+H321</f>
        <v>803.20656</v>
      </c>
      <c r="H398" s="130">
        <f aca="true" t="shared" si="38" ref="H398:H407">+G370+H370</f>
        <v>99.11741250523232</v>
      </c>
      <c r="I398" s="130">
        <f aca="true" t="shared" si="39" ref="I398:I407">SUM(B398:H398)</f>
        <v>336713.70232491515</v>
      </c>
    </row>
    <row r="399" spans="1:9" ht="12.75">
      <c r="A399" s="82" t="s">
        <v>7</v>
      </c>
      <c r="B399" s="130">
        <f t="shared" si="33"/>
        <v>145893.65164776</v>
      </c>
      <c r="C399" s="100">
        <f t="shared" si="32"/>
        <v>8020.287558579999</v>
      </c>
      <c r="D399" s="130">
        <f t="shared" si="34"/>
        <v>31411.164003859994</v>
      </c>
      <c r="E399" s="100">
        <f t="shared" si="35"/>
        <v>37988.11166671</v>
      </c>
      <c r="F399" s="133">
        <f t="shared" si="36"/>
        <v>14643.897784649998</v>
      </c>
      <c r="G399" s="100">
        <f t="shared" si="37"/>
        <v>786.4757440000001</v>
      </c>
      <c r="H399" s="130">
        <f t="shared" si="38"/>
        <v>26.17031267864619</v>
      </c>
      <c r="I399" s="130">
        <f t="shared" si="39"/>
        <v>238769.75871823865</v>
      </c>
    </row>
    <row r="400" spans="1:9" ht="12.75">
      <c r="A400" s="82" t="s">
        <v>145</v>
      </c>
      <c r="B400" s="130">
        <f t="shared" si="33"/>
        <v>177721.21771429</v>
      </c>
      <c r="C400" s="100">
        <f t="shared" si="32"/>
        <v>50094.30073068</v>
      </c>
      <c r="D400" s="130">
        <f t="shared" si="34"/>
        <v>64765.78880496</v>
      </c>
      <c r="E400" s="100">
        <f t="shared" si="35"/>
        <v>36125.74636958</v>
      </c>
      <c r="F400" s="133">
        <f t="shared" si="36"/>
        <v>14280.3651065</v>
      </c>
      <c r="G400" s="100">
        <f t="shared" si="37"/>
        <v>785.9406975999999</v>
      </c>
      <c r="H400" s="130">
        <f t="shared" si="38"/>
        <v>94.56722903037733</v>
      </c>
      <c r="I400" s="130">
        <f t="shared" si="39"/>
        <v>343867.92665264034</v>
      </c>
    </row>
    <row r="401" spans="1:9" ht="12.75">
      <c r="A401" s="82" t="s">
        <v>146</v>
      </c>
      <c r="B401" s="130">
        <f t="shared" si="33"/>
        <v>164399.18696934002</v>
      </c>
      <c r="C401" s="100">
        <f t="shared" si="32"/>
        <v>55811.78131245999</v>
      </c>
      <c r="D401" s="130">
        <f t="shared" si="34"/>
        <v>66569.43682465999</v>
      </c>
      <c r="E401" s="100">
        <f t="shared" si="35"/>
        <v>37434.25944781</v>
      </c>
      <c r="F401" s="133">
        <f t="shared" si="36"/>
        <v>14887.55727134</v>
      </c>
      <c r="G401" s="100">
        <f t="shared" si="37"/>
        <v>785.9406975999999</v>
      </c>
      <c r="H401" s="130">
        <f t="shared" si="38"/>
        <v>102.69448743496983</v>
      </c>
      <c r="I401" s="130">
        <f t="shared" si="39"/>
        <v>339990.857010645</v>
      </c>
    </row>
    <row r="402" spans="1:9" ht="12.75">
      <c r="A402" s="82" t="s">
        <v>147</v>
      </c>
      <c r="B402" s="130">
        <f t="shared" si="33"/>
        <v>225416.135301</v>
      </c>
      <c r="C402" s="100">
        <f t="shared" si="32"/>
        <v>61241.52501226</v>
      </c>
      <c r="D402" s="130">
        <f t="shared" si="34"/>
        <v>67516.39204129999</v>
      </c>
      <c r="E402" s="100">
        <f t="shared" si="35"/>
        <v>37442.28190411</v>
      </c>
      <c r="F402" s="133">
        <f t="shared" si="36"/>
        <v>15609.990958119999</v>
      </c>
      <c r="G402" s="100">
        <f t="shared" si="37"/>
        <v>785.9406975999999</v>
      </c>
      <c r="H402" s="130">
        <f t="shared" si="38"/>
        <v>94.73842405220356</v>
      </c>
      <c r="I402" s="130">
        <f t="shared" si="39"/>
        <v>408107.0043384422</v>
      </c>
    </row>
    <row r="403" spans="1:9" ht="12.75">
      <c r="A403" s="82" t="s">
        <v>148</v>
      </c>
      <c r="B403" s="130">
        <f t="shared" si="33"/>
        <v>208731.37722010998</v>
      </c>
      <c r="C403" s="100">
        <f t="shared" si="32"/>
        <v>61698.67601819999</v>
      </c>
      <c r="D403" s="130">
        <f t="shared" si="34"/>
        <v>65340.681351640014</v>
      </c>
      <c r="E403" s="100">
        <f t="shared" si="35"/>
        <v>37576.66056992</v>
      </c>
      <c r="F403" s="133">
        <f t="shared" si="36"/>
        <v>15034.140578249999</v>
      </c>
      <c r="G403" s="100">
        <f t="shared" si="37"/>
        <v>788.9598880000001</v>
      </c>
      <c r="H403" s="130">
        <f t="shared" si="38"/>
        <v>99.25707160198527</v>
      </c>
      <c r="I403" s="130">
        <f t="shared" si="39"/>
        <v>389269.752697722</v>
      </c>
    </row>
    <row r="404" spans="1:9" ht="12.75">
      <c r="A404" s="82" t="s">
        <v>149</v>
      </c>
      <c r="B404" s="130">
        <f t="shared" si="33"/>
        <v>204604.65493313002</v>
      </c>
      <c r="C404" s="100">
        <f t="shared" si="32"/>
        <v>59252.39833519999</v>
      </c>
      <c r="D404" s="130">
        <f t="shared" si="34"/>
        <v>72521.95536523999</v>
      </c>
      <c r="E404" s="100">
        <f t="shared" si="35"/>
        <v>37497.62676144</v>
      </c>
      <c r="F404" s="133">
        <f t="shared" si="36"/>
        <v>15478.448258879998</v>
      </c>
      <c r="G404" s="100">
        <f t="shared" si="37"/>
        <v>793.8772192000001</v>
      </c>
      <c r="H404" s="130">
        <f t="shared" si="38"/>
        <v>98.17583988518807</v>
      </c>
      <c r="I404" s="130">
        <f t="shared" si="39"/>
        <v>390247.1367129752</v>
      </c>
    </row>
    <row r="405" spans="1:9" ht="12.75">
      <c r="A405" s="82" t="s">
        <v>150</v>
      </c>
      <c r="B405" s="130">
        <f t="shared" si="33"/>
        <v>217632.02924466</v>
      </c>
      <c r="C405" s="100">
        <f t="shared" si="32"/>
        <v>57986.008592139995</v>
      </c>
      <c r="D405" s="130">
        <f t="shared" si="34"/>
        <v>66682.28330608</v>
      </c>
      <c r="E405" s="100">
        <f t="shared" si="35"/>
        <v>37405.903344410006</v>
      </c>
      <c r="F405" s="133">
        <f t="shared" si="36"/>
        <v>15286.17238245</v>
      </c>
      <c r="G405" s="100">
        <f t="shared" si="37"/>
        <v>794.8793696000001</v>
      </c>
      <c r="H405" s="130">
        <f t="shared" si="38"/>
        <v>97.99112946690187</v>
      </c>
      <c r="I405" s="130">
        <f t="shared" si="39"/>
        <v>395885.26736880693</v>
      </c>
    </row>
    <row r="406" spans="1:9" ht="12.75">
      <c r="A406" s="82" t="s">
        <v>151</v>
      </c>
      <c r="B406" s="130">
        <f>+G41+H41</f>
        <v>175055.31880900002</v>
      </c>
      <c r="C406" s="100">
        <f>+G84+H84</f>
        <v>49956.85219684</v>
      </c>
      <c r="D406" s="130">
        <f>+G128+H128</f>
        <v>66085.37293454</v>
      </c>
      <c r="E406" s="100">
        <f>+G172+H172</f>
        <v>35287.79828626</v>
      </c>
      <c r="F406" s="133">
        <f>+G267+H267</f>
        <v>13110.93835623</v>
      </c>
      <c r="G406" s="100">
        <f>+G329+H329</f>
        <v>0</v>
      </c>
      <c r="H406" s="130">
        <f t="shared" si="38"/>
        <v>93.47248191712013</v>
      </c>
      <c r="I406" s="130">
        <f t="shared" si="39"/>
        <v>339589.7530647871</v>
      </c>
    </row>
    <row r="407" spans="1:9" ht="12.75">
      <c r="A407" s="82" t="s">
        <v>177</v>
      </c>
      <c r="B407" s="130">
        <f>+G42+H42</f>
        <v>345379.3399778516</v>
      </c>
      <c r="C407" s="100">
        <f>+G85+H85</f>
        <v>81222.25261324042</v>
      </c>
      <c r="D407" s="130">
        <f>+G129+H129</f>
        <v>79806.99427974455</v>
      </c>
      <c r="E407" s="100">
        <f>+G173+H173</f>
        <v>34616.13200786</v>
      </c>
      <c r="F407" s="133">
        <f>+G268+H268</f>
        <v>12704.02894332</v>
      </c>
      <c r="G407" s="100">
        <f>+G330+H330</f>
        <v>720.2786143999999</v>
      </c>
      <c r="H407" s="130">
        <f t="shared" si="38"/>
        <v>0</v>
      </c>
      <c r="I407" s="130">
        <f t="shared" si="39"/>
        <v>554449.0264364165</v>
      </c>
    </row>
    <row r="408" spans="1:9" ht="13.5" thickBot="1">
      <c r="A408" s="82"/>
      <c r="B408" s="131">
        <f>SUM(B397:B407)</f>
        <v>2052665.2971783418</v>
      </c>
      <c r="C408" s="12">
        <f aca="true" t="shared" si="40" ref="C408:H408">SUM(C397:C407)</f>
        <v>544368.5403447204</v>
      </c>
      <c r="D408" s="131">
        <f t="shared" si="40"/>
        <v>675822.9973424646</v>
      </c>
      <c r="E408" s="12">
        <f t="shared" si="40"/>
        <v>367749.0940578</v>
      </c>
      <c r="F408" s="131">
        <f t="shared" si="40"/>
        <v>143904.85102383</v>
      </c>
      <c r="G408" s="12">
        <f t="shared" si="40"/>
        <v>7848.706048000001</v>
      </c>
      <c r="H408" s="131">
        <f t="shared" si="40"/>
        <v>1007.2123955181488</v>
      </c>
      <c r="I408" s="131">
        <f>SUM(I397:I407)</f>
        <v>3793366.6983906743</v>
      </c>
    </row>
    <row r="409" spans="1:9" ht="13.5" thickBot="1">
      <c r="A409" s="84"/>
      <c r="B409" s="132">
        <f>+B408-G43-H43</f>
        <v>0</v>
      </c>
      <c r="C409" s="16">
        <f>+C408-G86-H86</f>
        <v>0</v>
      </c>
      <c r="D409" s="132">
        <f>+D408-G130-H130</f>
        <v>0</v>
      </c>
      <c r="E409" s="16">
        <f>+E408-G174-H174</f>
        <v>0</v>
      </c>
      <c r="F409" s="134">
        <f>+F408-G269-H269</f>
        <v>0</v>
      </c>
      <c r="G409" s="16">
        <f>+G408-G331-H331</f>
        <v>0</v>
      </c>
      <c r="H409" s="132">
        <f>+H408-G380-H380</f>
        <v>0</v>
      </c>
      <c r="I409" s="134">
        <f>SUM(B408:H408)-I408</f>
        <v>0</v>
      </c>
    </row>
    <row r="410" ht="12.75">
      <c r="I410" s="27"/>
    </row>
    <row r="413" spans="1:3" ht="12.75">
      <c r="A413" s="165" t="s">
        <v>190</v>
      </c>
      <c r="B413" s="158"/>
      <c r="C413" s="158"/>
    </row>
    <row r="414" ht="12.75">
      <c r="A414" s="166" t="s">
        <v>186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56" r:id="rId2"/>
  <headerFooter alignWithMargins="0">
    <oddHeader>&amp;RDRAFT</oddHeader>
    <oddFooter>&amp;LI:\JD\Dec 31 02\GHESI\Stats\&amp;F&amp;A &amp;D&amp;T</oddFooter>
  </headerFooter>
  <rowBreaks count="8" manualBreakCount="8">
    <brk id="44" max="13" man="1"/>
    <brk id="88" max="255" man="1"/>
    <brk id="132" max="255" man="1"/>
    <brk id="183" max="13" man="1"/>
    <brk id="224" max="255" man="1"/>
    <brk id="286" max="13" man="1"/>
    <brk id="335" max="13" man="1"/>
    <brk id="39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2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L73" sqref="L73"/>
    </sheetView>
  </sheetViews>
  <sheetFormatPr defaultColWidth="9.140625" defaultRowHeight="12.75"/>
  <cols>
    <col min="1" max="1" width="7.421875" style="0" bestFit="1" customWidth="1"/>
    <col min="2" max="2" width="17.28125" style="0" bestFit="1" customWidth="1"/>
    <col min="3" max="3" width="13.421875" style="0" bestFit="1" customWidth="1"/>
    <col min="4" max="4" width="14.28125" style="0" bestFit="1" customWidth="1"/>
    <col min="5" max="5" width="16.140625" style="0" bestFit="1" customWidth="1"/>
    <col min="6" max="6" width="9.57421875" style="0" bestFit="1" customWidth="1"/>
    <col min="7" max="7" width="13.28125" style="0" bestFit="1" customWidth="1"/>
    <col min="8" max="8" width="7.8515625" style="0" bestFit="1" customWidth="1"/>
    <col min="9" max="9" width="1.7109375" style="0" customWidth="1"/>
    <col min="10" max="10" width="14.8515625" style="1" bestFit="1" customWidth="1"/>
    <col min="11" max="11" width="14.28125" style="1" bestFit="1" customWidth="1"/>
    <col min="12" max="12" width="17.140625" style="1" bestFit="1" customWidth="1"/>
    <col min="13" max="13" width="9.421875" style="2" bestFit="1" customWidth="1"/>
    <col min="14" max="14" width="13.421875" style="1" bestFit="1" customWidth="1"/>
    <col min="15" max="15" width="9.421875" style="1" bestFit="1" customWidth="1"/>
    <col min="16" max="16" width="1.7109375" style="0" customWidth="1"/>
    <col min="17" max="17" width="15.140625" style="0" bestFit="1" customWidth="1"/>
    <col min="18" max="19" width="15.00390625" style="0" bestFit="1" customWidth="1"/>
  </cols>
  <sheetData>
    <row r="1" spans="3:15" s="4" customFormat="1" ht="38.25">
      <c r="C1" s="5" t="s">
        <v>90</v>
      </c>
      <c r="D1" s="5" t="s">
        <v>91</v>
      </c>
      <c r="E1" s="5" t="s">
        <v>92</v>
      </c>
      <c r="F1" s="6" t="s">
        <v>17</v>
      </c>
      <c r="G1" s="5" t="s">
        <v>18</v>
      </c>
      <c r="H1" s="5" t="s">
        <v>89</v>
      </c>
      <c r="J1" s="5" t="s">
        <v>93</v>
      </c>
      <c r="K1" s="5" t="s">
        <v>94</v>
      </c>
      <c r="L1" s="5" t="s">
        <v>95</v>
      </c>
      <c r="M1" s="6" t="s">
        <v>17</v>
      </c>
      <c r="N1" s="5" t="s">
        <v>18</v>
      </c>
      <c r="O1" s="5" t="s">
        <v>89</v>
      </c>
    </row>
    <row r="2" spans="3:7" ht="12.75">
      <c r="C2" s="1"/>
      <c r="D2" s="1"/>
      <c r="E2" s="1"/>
      <c r="F2" s="2"/>
      <c r="G2" s="1"/>
    </row>
    <row r="3" spans="1:8" ht="12.75">
      <c r="A3" t="s">
        <v>3</v>
      </c>
      <c r="C3" s="1">
        <v>369341.68</v>
      </c>
      <c r="D3" s="1">
        <v>237447.58</v>
      </c>
      <c r="E3" s="1">
        <v>24229028.93</v>
      </c>
      <c r="F3" s="2">
        <v>0.0098</v>
      </c>
      <c r="G3" s="1">
        <f>E3*F3</f>
        <v>237444.483514</v>
      </c>
      <c r="H3" s="3">
        <f>D3-G3</f>
        <v>3.0964859999949113</v>
      </c>
    </row>
    <row r="4" spans="3:8" ht="12.75">
      <c r="C4" s="1">
        <v>-600.44</v>
      </c>
      <c r="D4" s="1">
        <v>-417.8</v>
      </c>
      <c r="E4" s="1">
        <v>-42635</v>
      </c>
      <c r="F4" s="2">
        <v>0.0098</v>
      </c>
      <c r="G4" s="1">
        <f>E4*F4</f>
        <v>-417.823</v>
      </c>
      <c r="H4" s="3">
        <f>D4-G4</f>
        <v>0.022999999999967713</v>
      </c>
    </row>
    <row r="5" spans="3:15" s="7" customFormat="1" ht="12.75">
      <c r="C5" s="8"/>
      <c r="D5" s="8"/>
      <c r="E5" s="8"/>
      <c r="F5" s="9"/>
      <c r="G5" s="8"/>
      <c r="H5" s="10"/>
      <c r="J5" s="8"/>
      <c r="K5" s="8"/>
      <c r="L5" s="8"/>
      <c r="M5" s="9"/>
      <c r="N5" s="8"/>
      <c r="O5" s="8"/>
    </row>
    <row r="6" spans="3:8" ht="12.75">
      <c r="C6" s="1"/>
      <c r="D6" s="1"/>
      <c r="E6" s="1"/>
      <c r="F6" s="2"/>
      <c r="G6" s="1"/>
      <c r="H6" s="3"/>
    </row>
    <row r="7" spans="3:15" s="15" customFormat="1" ht="13.5" thickBot="1">
      <c r="C7" s="16">
        <f>SUM(C3:C5)</f>
        <v>368741.24</v>
      </c>
      <c r="D7" s="16">
        <f>SUM(D3:D5)</f>
        <v>237029.78</v>
      </c>
      <c r="E7" s="16">
        <f>SUM(E3:E5)</f>
        <v>24186393.93</v>
      </c>
      <c r="F7" s="16"/>
      <c r="G7" s="16">
        <f>SUM(G3:G5)</f>
        <v>237026.660514</v>
      </c>
      <c r="H7" s="16">
        <f>SUM(H3:H5)</f>
        <v>3.119485999994879</v>
      </c>
      <c r="J7" s="16"/>
      <c r="K7" s="16"/>
      <c r="L7" s="16"/>
      <c r="M7" s="17"/>
      <c r="N7" s="16"/>
      <c r="O7" s="16"/>
    </row>
    <row r="9" spans="1:8" ht="12.75">
      <c r="A9" t="s">
        <v>4</v>
      </c>
      <c r="C9" s="1">
        <v>459926.59</v>
      </c>
      <c r="D9" s="1">
        <v>349462.3</v>
      </c>
      <c r="E9" s="1">
        <v>35659176.97</v>
      </c>
      <c r="F9" s="2">
        <v>0.0098</v>
      </c>
      <c r="G9" s="1">
        <f>E9*F9</f>
        <v>349459.93430599995</v>
      </c>
      <c r="H9" s="3">
        <f>D9-G9</f>
        <v>2.3656940000364557</v>
      </c>
    </row>
    <row r="10" spans="3:8" ht="12.75">
      <c r="C10" s="1">
        <v>-767.86</v>
      </c>
      <c r="D10" s="1">
        <v>3134.64</v>
      </c>
      <c r="E10" s="1">
        <v>319861.27</v>
      </c>
      <c r="F10" s="2">
        <v>0.0098</v>
      </c>
      <c r="G10" s="1">
        <f>E10*F10</f>
        <v>3134.640446</v>
      </c>
      <c r="H10" s="3">
        <f>D10-G10</f>
        <v>-0.0004460000000108266</v>
      </c>
    </row>
    <row r="11" spans="3:15" s="7" customFormat="1" ht="12.75">
      <c r="C11" s="8"/>
      <c r="D11" s="8"/>
      <c r="E11" s="8"/>
      <c r="F11" s="9"/>
      <c r="G11" s="8"/>
      <c r="H11" s="10"/>
      <c r="J11" s="8"/>
      <c r="K11" s="8"/>
      <c r="L11" s="8"/>
      <c r="M11" s="9"/>
      <c r="N11" s="8"/>
      <c r="O11" s="8"/>
    </row>
    <row r="12" spans="3:8" ht="12.75">
      <c r="C12" s="1"/>
      <c r="D12" s="1"/>
      <c r="E12" s="1"/>
      <c r="F12" s="2"/>
      <c r="G12" s="1"/>
      <c r="H12" s="3"/>
    </row>
    <row r="13" spans="3:15" s="15" customFormat="1" ht="13.5" thickBot="1">
      <c r="C13" s="16">
        <f>SUM(C9:C11)</f>
        <v>459158.73000000004</v>
      </c>
      <c r="D13" s="16">
        <f>SUM(D9:D11)</f>
        <v>352596.94</v>
      </c>
      <c r="E13" s="16">
        <f>SUM(E9:E11)</f>
        <v>35979038.24</v>
      </c>
      <c r="F13" s="16"/>
      <c r="G13" s="16">
        <f>SUM(G9:G11)</f>
        <v>352594.5747519999</v>
      </c>
      <c r="H13" s="16">
        <f>SUM(H9:H11)</f>
        <v>2.365248000036445</v>
      </c>
      <c r="J13" s="16"/>
      <c r="K13" s="16"/>
      <c r="L13" s="16"/>
      <c r="M13" s="17"/>
      <c r="N13" s="16"/>
      <c r="O13" s="16"/>
    </row>
    <row r="15" spans="1:15" ht="12.75">
      <c r="A15" t="s">
        <v>5</v>
      </c>
      <c r="C15" s="1">
        <v>304662.71</v>
      </c>
      <c r="D15" s="1">
        <v>203326.08</v>
      </c>
      <c r="E15" s="1">
        <v>20747467.99</v>
      </c>
      <c r="F15" s="2">
        <v>0.0098</v>
      </c>
      <c r="G15" s="1">
        <f>E15*F15</f>
        <v>203325.186302</v>
      </c>
      <c r="H15" s="3">
        <f>D15-G15</f>
        <v>0.8936979999998584</v>
      </c>
      <c r="J15" s="1">
        <v>52519.11</v>
      </c>
      <c r="K15" s="1">
        <v>58725.42</v>
      </c>
      <c r="L15" s="1">
        <v>3244450.02</v>
      </c>
      <c r="M15" s="2">
        <v>0.0181</v>
      </c>
      <c r="N15" s="1">
        <f>L15*M15</f>
        <v>58724.545362000004</v>
      </c>
      <c r="O15" s="1">
        <f>K15-N15</f>
        <v>0.8746379999938654</v>
      </c>
    </row>
    <row r="16" spans="2:15" ht="12.75">
      <c r="B16">
        <v>-901.34</v>
      </c>
      <c r="C16" s="1">
        <f>B16*C15/(C15+J15)</f>
        <v>-768.8092496740176</v>
      </c>
      <c r="D16" s="1">
        <v>-658.94</v>
      </c>
      <c r="E16" s="1">
        <v>-67242.34</v>
      </c>
      <c r="F16" s="2">
        <v>0.0098</v>
      </c>
      <c r="G16" s="1">
        <f>E16*F16</f>
        <v>-658.974932</v>
      </c>
      <c r="H16" s="3">
        <f>D16-G16</f>
        <v>0.03493199999991248</v>
      </c>
      <c r="J16" s="1">
        <f>B16-C16</f>
        <v>-132.53075032598247</v>
      </c>
      <c r="K16" s="1">
        <v>-33.57</v>
      </c>
      <c r="L16" s="1">
        <v>-1854.65</v>
      </c>
      <c r="M16" s="2">
        <v>0.0181</v>
      </c>
      <c r="N16" s="1">
        <f>L16*M16</f>
        <v>-33.569165000000005</v>
      </c>
      <c r="O16" s="1">
        <f>K16-N16</f>
        <v>-0.0008349999999950342</v>
      </c>
    </row>
    <row r="17" spans="3:15" s="7" customFormat="1" ht="12.75">
      <c r="C17" s="8"/>
      <c r="D17" s="8"/>
      <c r="E17" s="8"/>
      <c r="F17" s="9"/>
      <c r="G17" s="8"/>
      <c r="H17" s="10"/>
      <c r="J17" s="8"/>
      <c r="K17" s="8"/>
      <c r="L17" s="8"/>
      <c r="M17" s="9"/>
      <c r="N17" s="8"/>
      <c r="O17" s="8"/>
    </row>
    <row r="18" spans="3:8" ht="12.75">
      <c r="C18" s="1"/>
      <c r="D18" s="1"/>
      <c r="E18" s="1"/>
      <c r="F18" s="2"/>
      <c r="G18" s="1"/>
      <c r="H18" s="3"/>
    </row>
    <row r="19" spans="3:18" s="15" customFormat="1" ht="13.5" thickBot="1">
      <c r="C19" s="16">
        <f>SUM(C15:C17)</f>
        <v>303893.900750326</v>
      </c>
      <c r="D19" s="16">
        <f>SUM(D15:D17)</f>
        <v>202667.13999999998</v>
      </c>
      <c r="E19" s="16">
        <f>SUM(E15:E17)</f>
        <v>20680225.65</v>
      </c>
      <c r="F19" s="16"/>
      <c r="G19" s="16">
        <f>SUM(G15:G17)</f>
        <v>202666.21136999998</v>
      </c>
      <c r="H19" s="16">
        <f>SUM(H15:H17)</f>
        <v>0.9286299999997709</v>
      </c>
      <c r="J19" s="16">
        <f>SUM(J15:J18)</f>
        <v>52386.57924967402</v>
      </c>
      <c r="K19" s="16">
        <f>SUM(K15:K18)</f>
        <v>58691.85</v>
      </c>
      <c r="L19" s="16">
        <f>SUM(L15:L18)</f>
        <v>3242595.37</v>
      </c>
      <c r="M19" s="16"/>
      <c r="N19" s="16">
        <f>SUM(N15:N18)</f>
        <v>58690.976197</v>
      </c>
      <c r="O19" s="16">
        <f>SUM(O15:O18)</f>
        <v>0.8738029999938703</v>
      </c>
      <c r="Q19" s="18">
        <f>C19+J19</f>
        <v>356280.48</v>
      </c>
      <c r="R19" s="18">
        <f>D19+K19</f>
        <v>261358.99</v>
      </c>
    </row>
    <row r="21" spans="1:15" ht="12.75">
      <c r="A21" t="s">
        <v>6</v>
      </c>
      <c r="C21" s="1">
        <v>146591.48</v>
      </c>
      <c r="D21" s="1">
        <v>103584.23</v>
      </c>
      <c r="E21" s="1">
        <v>10569734.88</v>
      </c>
      <c r="F21" s="2">
        <v>0.0098</v>
      </c>
      <c r="G21" s="1">
        <f>E21*F21</f>
        <v>103583.401824</v>
      </c>
      <c r="H21" s="3">
        <f>D21-G21</f>
        <v>0.8281759999954375</v>
      </c>
      <c r="J21" s="1">
        <v>321370.11</v>
      </c>
      <c r="K21" s="1">
        <v>389671.53</v>
      </c>
      <c r="L21" s="1">
        <v>21528769.74</v>
      </c>
      <c r="M21" s="2">
        <v>0.0181</v>
      </c>
      <c r="N21" s="1">
        <f>L21*M21</f>
        <v>389670.732294</v>
      </c>
      <c r="O21" s="1">
        <f>K21-N21</f>
        <v>0.7977060000412166</v>
      </c>
    </row>
    <row r="22" spans="2:15" ht="12.75">
      <c r="B22">
        <v>-988.68</v>
      </c>
      <c r="C22" s="1">
        <f>B22*C21/(C21+J21)</f>
        <v>-309.7093170539916</v>
      </c>
      <c r="D22" s="1">
        <v>-437.12</v>
      </c>
      <c r="E22" s="1">
        <v>-44602.68</v>
      </c>
      <c r="F22" s="2">
        <v>0.0098</v>
      </c>
      <c r="G22" s="1">
        <f>E22*F22</f>
        <v>-437.106264</v>
      </c>
      <c r="H22" s="3">
        <f>D22-G22</f>
        <v>-0.01373599999999442</v>
      </c>
      <c r="J22" s="1">
        <f>B22-C22</f>
        <v>-678.9706829460083</v>
      </c>
      <c r="K22" s="1">
        <v>-375.64</v>
      </c>
      <c r="L22" s="1">
        <v>-20754.31</v>
      </c>
      <c r="M22" s="2">
        <v>0.0181</v>
      </c>
      <c r="N22" s="1">
        <f>L22*M22</f>
        <v>-375.65301100000005</v>
      </c>
      <c r="O22" s="1">
        <f>K22-N22</f>
        <v>0.013011000000062722</v>
      </c>
    </row>
    <row r="23" spans="3:15" s="7" customFormat="1" ht="12.75">
      <c r="C23" s="8"/>
      <c r="D23" s="8"/>
      <c r="E23" s="8"/>
      <c r="F23" s="9"/>
      <c r="G23" s="8"/>
      <c r="H23" s="10"/>
      <c r="J23" s="8"/>
      <c r="K23" s="8"/>
      <c r="L23" s="8"/>
      <c r="M23" s="9"/>
      <c r="N23" s="8"/>
      <c r="O23" s="8"/>
    </row>
    <row r="24" spans="3:8" ht="12.75">
      <c r="C24" s="1"/>
      <c r="D24" s="1"/>
      <c r="E24" s="1"/>
      <c r="F24" s="2"/>
      <c r="G24" s="1"/>
      <c r="H24" s="3"/>
    </row>
    <row r="25" spans="3:18" s="15" customFormat="1" ht="13.5" thickBot="1">
      <c r="C25" s="16">
        <f>SUM(C21:C23)</f>
        <v>146281.77068294602</v>
      </c>
      <c r="D25" s="16">
        <f>SUM(D21:D23)</f>
        <v>103147.11</v>
      </c>
      <c r="E25" s="16">
        <f>SUM(E21:E23)</f>
        <v>10525132.200000001</v>
      </c>
      <c r="F25" s="16"/>
      <c r="G25" s="16">
        <f>SUM(G21:G23)</f>
        <v>103146.29556</v>
      </c>
      <c r="H25" s="16">
        <f>SUM(H21:H23)</f>
        <v>0.814439999995443</v>
      </c>
      <c r="J25" s="16">
        <f>SUM(J21:J24)</f>
        <v>320691.13931705395</v>
      </c>
      <c r="K25" s="16">
        <f>SUM(K21:K24)</f>
        <v>389295.89</v>
      </c>
      <c r="L25" s="16">
        <f>SUM(L21:L24)</f>
        <v>21508015.43</v>
      </c>
      <c r="M25" s="16"/>
      <c r="N25" s="16">
        <f>SUM(N21:N24)</f>
        <v>389295.07928299997</v>
      </c>
      <c r="O25" s="16">
        <f>SUM(O21:O24)</f>
        <v>0.8107170000412793</v>
      </c>
      <c r="Q25" s="18">
        <f>C25+J25</f>
        <v>466972.91</v>
      </c>
      <c r="R25" s="18">
        <f>D25+K25</f>
        <v>492443</v>
      </c>
    </row>
    <row r="27" spans="1:15" ht="12.75">
      <c r="A27" t="s">
        <v>7</v>
      </c>
      <c r="C27" s="1">
        <v>821.6</v>
      </c>
      <c r="D27" s="1">
        <v>407.28</v>
      </c>
      <c r="E27" s="1">
        <v>41562.45</v>
      </c>
      <c r="F27" s="2">
        <v>0.0098</v>
      </c>
      <c r="G27" s="1">
        <f>E27*F27</f>
        <v>407.31201</v>
      </c>
      <c r="H27" s="3">
        <f>D27-G27</f>
        <v>-0.03201000000001386</v>
      </c>
      <c r="J27" s="1">
        <v>350480.16</v>
      </c>
      <c r="K27" s="1">
        <v>348991.53</v>
      </c>
      <c r="L27" s="1">
        <v>19281216.23</v>
      </c>
      <c r="M27" s="2">
        <v>0.0181</v>
      </c>
      <c r="N27" s="1">
        <f>L27*M27</f>
        <v>348990.013763</v>
      </c>
      <c r="O27" s="1">
        <f>K27-N27</f>
        <v>1.516237000003457</v>
      </c>
    </row>
    <row r="28" spans="2:15" ht="12.75">
      <c r="B28">
        <v>-1552.53</v>
      </c>
      <c r="C28" s="1">
        <f>B28*C27/(C27+J27)</f>
        <v>-3.6309486408493945</v>
      </c>
      <c r="D28" s="1">
        <v>-240.08</v>
      </c>
      <c r="E28" s="1">
        <v>-24497.55</v>
      </c>
      <c r="F28" s="2">
        <v>0.0098</v>
      </c>
      <c r="G28" s="1">
        <f>E28*F28</f>
        <v>-240.07599</v>
      </c>
      <c r="H28" s="3">
        <f>D28-G28</f>
        <v>-0.0040100000000222735</v>
      </c>
      <c r="J28" s="1">
        <f>B28-C28</f>
        <v>-1548.8990513591507</v>
      </c>
      <c r="K28" s="1">
        <v>-1036.61</v>
      </c>
      <c r="L28" s="1">
        <v>-56858.39</v>
      </c>
      <c r="M28" s="2">
        <v>0.0181</v>
      </c>
      <c r="N28" s="1">
        <f>L28*M28</f>
        <v>-1029.1368590000002</v>
      </c>
      <c r="O28" s="1">
        <f>K28-N28</f>
        <v>-7.473140999999714</v>
      </c>
    </row>
    <row r="29" spans="3:15" s="7" customFormat="1" ht="12.75">
      <c r="C29" s="8"/>
      <c r="D29" s="8"/>
      <c r="E29" s="8"/>
      <c r="F29" s="9"/>
      <c r="G29" s="8"/>
      <c r="H29" s="10"/>
      <c r="J29" s="8"/>
      <c r="K29" s="8"/>
      <c r="L29" s="8"/>
      <c r="M29" s="9"/>
      <c r="N29" s="8"/>
      <c r="O29" s="8"/>
    </row>
    <row r="30" spans="3:8" ht="12.75">
      <c r="C30" s="1"/>
      <c r="D30" s="1"/>
      <c r="E30" s="1"/>
      <c r="F30" s="2"/>
      <c r="G30" s="1"/>
      <c r="H30" s="3"/>
    </row>
    <row r="31" spans="3:18" s="15" customFormat="1" ht="13.5" thickBot="1">
      <c r="C31" s="16">
        <f>SUM(C27:C29)</f>
        <v>817.9690513591506</v>
      </c>
      <c r="D31" s="16">
        <f>SUM(D27:D29)</f>
        <v>167.19999999999996</v>
      </c>
      <c r="E31" s="16">
        <f>SUM(E27:E29)</f>
        <v>17064.899999999998</v>
      </c>
      <c r="F31" s="16"/>
      <c r="G31" s="16">
        <f>SUM(G27:G29)</f>
        <v>167.23602</v>
      </c>
      <c r="H31" s="16">
        <f>SUM(H27:H29)</f>
        <v>-0.036020000000036134</v>
      </c>
      <c r="J31" s="16">
        <f>SUM(J27:J30)</f>
        <v>348931.2609486408</v>
      </c>
      <c r="K31" s="16">
        <f>SUM(K27:K30)</f>
        <v>347954.92000000004</v>
      </c>
      <c r="L31" s="16">
        <f>SUM(L27:L30)</f>
        <v>19224357.84</v>
      </c>
      <c r="M31" s="16"/>
      <c r="N31" s="16">
        <f>SUM(N27:N30)</f>
        <v>347960.876904</v>
      </c>
      <c r="O31" s="16">
        <f>SUM(O27:O30)</f>
        <v>-5.956903999996257</v>
      </c>
      <c r="Q31" s="18">
        <f>C31+J31</f>
        <v>349749.23</v>
      </c>
      <c r="R31" s="18">
        <f>D31+K31</f>
        <v>348122.12000000005</v>
      </c>
    </row>
    <row r="33" spans="1:15" ht="12.75">
      <c r="A33" t="s">
        <v>8</v>
      </c>
      <c r="C33" s="1">
        <v>298.18</v>
      </c>
      <c r="D33" s="1">
        <v>93.11</v>
      </c>
      <c r="E33" s="1">
        <v>9499.25</v>
      </c>
      <c r="F33" s="2">
        <v>0.0098</v>
      </c>
      <c r="G33" s="1">
        <f>E33*F33</f>
        <v>93.09264999999999</v>
      </c>
      <c r="H33" s="3">
        <f>D33-G33</f>
        <v>0.017350000000007526</v>
      </c>
      <c r="J33" s="1">
        <v>415460.63</v>
      </c>
      <c r="K33" s="1">
        <v>424463.58</v>
      </c>
      <c r="L33" s="1">
        <v>23450900.97</v>
      </c>
      <c r="M33" s="2">
        <v>0.0181</v>
      </c>
      <c r="N33" s="1">
        <f>L33*M33</f>
        <v>424461.307557</v>
      </c>
      <c r="O33" s="1">
        <f>K33-N33</f>
        <v>2.2724429999943823</v>
      </c>
    </row>
    <row r="34" spans="2:15" ht="12.75">
      <c r="B34">
        <v>-638.09</v>
      </c>
      <c r="C34" s="1">
        <f>B34*C33/(C33+J33)</f>
        <v>-0.45763474308578095</v>
      </c>
      <c r="D34" s="1">
        <v>-150.13</v>
      </c>
      <c r="E34" s="1">
        <v>-15318.63</v>
      </c>
      <c r="F34" s="2">
        <v>0.0098</v>
      </c>
      <c r="G34" s="1">
        <f>E34*F34</f>
        <v>-150.122574</v>
      </c>
      <c r="H34" s="3">
        <f>D34-G34</f>
        <v>-0.007426000000009481</v>
      </c>
      <c r="J34" s="1">
        <f>B34-C34</f>
        <v>-637.6323652569142</v>
      </c>
      <c r="K34" s="1">
        <v>-590.71</v>
      </c>
      <c r="L34" s="1">
        <v>-32635.36</v>
      </c>
      <c r="M34" s="2">
        <v>0.0181</v>
      </c>
      <c r="N34" s="1">
        <f>L34*M34</f>
        <v>-590.700016</v>
      </c>
      <c r="O34" s="1">
        <f>K34-N34</f>
        <v>-0.009984000000031301</v>
      </c>
    </row>
    <row r="35" spans="3:15" s="7" customFormat="1" ht="12.75">
      <c r="C35" s="8"/>
      <c r="D35" s="8"/>
      <c r="E35" s="8"/>
      <c r="F35" s="9"/>
      <c r="G35" s="8"/>
      <c r="H35" s="10"/>
      <c r="J35" s="8"/>
      <c r="K35" s="8"/>
      <c r="L35" s="8"/>
      <c r="M35" s="9"/>
      <c r="N35" s="8"/>
      <c r="O35" s="8"/>
    </row>
    <row r="36" spans="3:8" ht="12.75">
      <c r="C36" s="1"/>
      <c r="D36" s="1"/>
      <c r="E36" s="1"/>
      <c r="F36" s="2"/>
      <c r="G36" s="1"/>
      <c r="H36" s="3"/>
    </row>
    <row r="37" spans="3:18" s="15" customFormat="1" ht="13.5" thickBot="1">
      <c r="C37" s="16">
        <f>SUM(C33:C35)</f>
        <v>297.7223652569142</v>
      </c>
      <c r="D37" s="16">
        <f>SUM(D33:D35)</f>
        <v>-57.019999999999996</v>
      </c>
      <c r="E37" s="16">
        <f>SUM(E33:E35)</f>
        <v>-5819.379999999999</v>
      </c>
      <c r="F37" s="16"/>
      <c r="G37" s="16">
        <f>SUM(G33:G35)</f>
        <v>-57.029923999999994</v>
      </c>
      <c r="H37" s="16">
        <f>SUM(H33:H35)</f>
        <v>0.009923999999998045</v>
      </c>
      <c r="J37" s="16">
        <f>SUM(J33:J36)</f>
        <v>414822.9976347431</v>
      </c>
      <c r="K37" s="16">
        <f>SUM(K33:K36)</f>
        <v>423872.87</v>
      </c>
      <c r="L37" s="16">
        <f>SUM(L33:L36)</f>
        <v>23418265.61</v>
      </c>
      <c r="M37" s="16"/>
      <c r="N37" s="16">
        <f>SUM(N33:N36)</f>
        <v>423870.607541</v>
      </c>
      <c r="O37" s="16">
        <f>SUM(O33:O36)</f>
        <v>2.262458999994351</v>
      </c>
      <c r="Q37" s="18">
        <f>C37+J37</f>
        <v>415120.72000000003</v>
      </c>
      <c r="R37" s="18">
        <f>D37+K37</f>
        <v>423815.85</v>
      </c>
    </row>
    <row r="39" spans="1:15" ht="12.75">
      <c r="A39" t="s">
        <v>9</v>
      </c>
      <c r="C39" s="1"/>
      <c r="D39" s="1">
        <v>-318.5</v>
      </c>
      <c r="E39" s="1">
        <v>-32500</v>
      </c>
      <c r="F39" s="2">
        <v>0.0098</v>
      </c>
      <c r="G39" s="1">
        <f>E39*F39</f>
        <v>-318.5</v>
      </c>
      <c r="H39" s="3">
        <f>D39-G39</f>
        <v>0</v>
      </c>
      <c r="J39" s="1">
        <v>409121.61</v>
      </c>
      <c r="K39" s="1">
        <v>392440.36</v>
      </c>
      <c r="L39" s="1">
        <v>21681875.96</v>
      </c>
      <c r="M39" s="2">
        <v>0.0181</v>
      </c>
      <c r="N39" s="1">
        <f>L39*M39</f>
        <v>392441.95487600006</v>
      </c>
      <c r="O39" s="1">
        <f>K39-N39</f>
        <v>-1.594876000075601</v>
      </c>
    </row>
    <row r="40" spans="3:15" ht="12.75">
      <c r="C40" s="1">
        <f>B40*C39/(C39+J39)</f>
        <v>0</v>
      </c>
      <c r="D40" s="1">
        <v>-73.32</v>
      </c>
      <c r="E40" s="1">
        <v>-7481.91</v>
      </c>
      <c r="F40" s="2">
        <v>0.0098</v>
      </c>
      <c r="G40" s="1">
        <f>E40*F40</f>
        <v>-73.322718</v>
      </c>
      <c r="H40" s="3">
        <f>D40-G40</f>
        <v>0.0027180000000015525</v>
      </c>
      <c r="J40" s="1">
        <v>-823.57</v>
      </c>
      <c r="K40" s="1">
        <v>-344.8</v>
      </c>
      <c r="L40" s="1">
        <v>-19049.9</v>
      </c>
      <c r="M40" s="2">
        <v>0.0181</v>
      </c>
      <c r="N40" s="1">
        <f>L40*M40</f>
        <v>-344.80319000000003</v>
      </c>
      <c r="O40" s="1">
        <f>K40-N40</f>
        <v>0.0031900000000177897</v>
      </c>
    </row>
    <row r="41" spans="3:15" s="7" customFormat="1" ht="12.75">
      <c r="C41" s="8"/>
      <c r="D41" s="8"/>
      <c r="E41" s="8"/>
      <c r="F41" s="9"/>
      <c r="G41" s="8"/>
      <c r="H41" s="10"/>
      <c r="J41" s="8"/>
      <c r="K41" s="8"/>
      <c r="L41" s="8"/>
      <c r="M41" s="9"/>
      <c r="N41" s="8"/>
      <c r="O41" s="8"/>
    </row>
    <row r="42" spans="3:8" ht="12.75">
      <c r="C42" s="1"/>
      <c r="D42" s="1"/>
      <c r="E42" s="1"/>
      <c r="F42" s="2"/>
      <c r="G42" s="1"/>
      <c r="H42" s="3"/>
    </row>
    <row r="43" spans="3:18" s="15" customFormat="1" ht="13.5" thickBot="1">
      <c r="C43" s="16">
        <f>SUM(C39:C41)</f>
        <v>0</v>
      </c>
      <c r="D43" s="16">
        <f>SUM(D39:D41)</f>
        <v>-391.82</v>
      </c>
      <c r="E43" s="16">
        <f>SUM(E39:E41)</f>
        <v>-39981.91</v>
      </c>
      <c r="F43" s="16"/>
      <c r="G43" s="16">
        <f>SUM(G39:G41)</f>
        <v>-391.822718</v>
      </c>
      <c r="H43" s="16">
        <f>SUM(H39:H41)</f>
        <v>0.0027180000000015525</v>
      </c>
      <c r="J43" s="16">
        <f>SUM(J39:J42)</f>
        <v>408298.04</v>
      </c>
      <c r="K43" s="16">
        <f>SUM(K39:K42)</f>
        <v>392095.56</v>
      </c>
      <c r="L43" s="16">
        <f>SUM(L39:L42)</f>
        <v>21662826.060000002</v>
      </c>
      <c r="M43" s="16"/>
      <c r="N43" s="16">
        <f>SUM(N39:N42)</f>
        <v>392097.15168600006</v>
      </c>
      <c r="O43" s="16">
        <f>SUM(O39:O42)</f>
        <v>-1.5916860000755833</v>
      </c>
      <c r="Q43" s="18">
        <f>C43+J43</f>
        <v>408298.04</v>
      </c>
      <c r="R43" s="18">
        <f>D43+K43</f>
        <v>391703.74</v>
      </c>
    </row>
    <row r="45" spans="1:15" ht="12.75">
      <c r="A45" t="s">
        <v>10</v>
      </c>
      <c r="C45" s="1"/>
      <c r="D45" s="1"/>
      <c r="E45" s="1"/>
      <c r="F45" s="2">
        <v>0.0098</v>
      </c>
      <c r="G45" s="1">
        <f>E45*F45</f>
        <v>0</v>
      </c>
      <c r="H45" s="3">
        <f>D45-G45</f>
        <v>0</v>
      </c>
      <c r="J45" s="1">
        <v>449578.21</v>
      </c>
      <c r="K45" s="1">
        <v>548586.69</v>
      </c>
      <c r="L45" s="1">
        <v>30309548</v>
      </c>
      <c r="M45" s="2">
        <v>0.0181</v>
      </c>
      <c r="N45" s="1">
        <f>L45*M45</f>
        <v>548602.8188</v>
      </c>
      <c r="O45" s="1">
        <f>K45-N45</f>
        <v>-16.128800000064075</v>
      </c>
    </row>
    <row r="46" spans="3:15" ht="12.75">
      <c r="C46" s="1">
        <f>B46*C45/(C45+J45)</f>
        <v>0</v>
      </c>
      <c r="D46" s="1"/>
      <c r="E46" s="1"/>
      <c r="F46" s="2">
        <v>0.0098</v>
      </c>
      <c r="G46" s="1">
        <f>E46*F46</f>
        <v>0</v>
      </c>
      <c r="H46" s="3">
        <f>D46-G46</f>
        <v>0</v>
      </c>
      <c r="J46" s="1">
        <f>B46-C46</f>
        <v>0</v>
      </c>
      <c r="K46" s="1">
        <v>-10974.27</v>
      </c>
      <c r="L46" s="1">
        <v>-606539</v>
      </c>
      <c r="M46" s="2">
        <v>0.0181</v>
      </c>
      <c r="N46" s="1">
        <f>L46*M46</f>
        <v>-10978.3559</v>
      </c>
      <c r="O46" s="1">
        <f>K46-N46</f>
        <v>4.085900000000038</v>
      </c>
    </row>
    <row r="47" spans="3:15" s="7" customFormat="1" ht="12.75">
      <c r="C47" s="8"/>
      <c r="D47" s="8"/>
      <c r="E47" s="8"/>
      <c r="F47" s="9"/>
      <c r="G47" s="8"/>
      <c r="H47" s="10"/>
      <c r="J47" s="8"/>
      <c r="K47" s="8"/>
      <c r="L47" s="8"/>
      <c r="M47" s="9"/>
      <c r="N47" s="8"/>
      <c r="O47" s="8"/>
    </row>
    <row r="48" spans="3:8" ht="12.75">
      <c r="C48" s="1"/>
      <c r="D48" s="1"/>
      <c r="E48" s="1"/>
      <c r="F48" s="2"/>
      <c r="G48" s="1"/>
      <c r="H48" s="3"/>
    </row>
    <row r="49" spans="3:18" s="15" customFormat="1" ht="13.5" thickBot="1">
      <c r="C49" s="16">
        <f>SUM(C45:C47)</f>
        <v>0</v>
      </c>
      <c r="D49" s="16">
        <f>SUM(D45:D47)</f>
        <v>0</v>
      </c>
      <c r="E49" s="16">
        <f>SUM(E45:E47)</f>
        <v>0</v>
      </c>
      <c r="F49" s="16"/>
      <c r="G49" s="16">
        <f>SUM(G45:G47)</f>
        <v>0</v>
      </c>
      <c r="H49" s="16">
        <f>SUM(H45:H47)</f>
        <v>0</v>
      </c>
      <c r="J49" s="16">
        <f>SUM(J45:J48)</f>
        <v>449578.21</v>
      </c>
      <c r="K49" s="16">
        <f>SUM(K45:K48)</f>
        <v>537612.4199999999</v>
      </c>
      <c r="L49" s="16">
        <f>SUM(L45:L48)</f>
        <v>29703009</v>
      </c>
      <c r="M49" s="16"/>
      <c r="N49" s="16">
        <f>SUM(N45:N48)</f>
        <v>537624.4629</v>
      </c>
      <c r="O49" s="16">
        <f>SUM(O45:O48)</f>
        <v>-12.042900000064037</v>
      </c>
      <c r="Q49" s="18">
        <f>C49+J49</f>
        <v>449578.21</v>
      </c>
      <c r="R49" s="18">
        <f>D49+K49</f>
        <v>537612.4199999999</v>
      </c>
    </row>
    <row r="51" spans="1:15" ht="12.75">
      <c r="A51" t="s">
        <v>11</v>
      </c>
      <c r="C51" s="1"/>
      <c r="D51" s="1"/>
      <c r="E51" s="1"/>
      <c r="F51" s="2">
        <v>0.0098</v>
      </c>
      <c r="G51" s="1">
        <f>E51*F51</f>
        <v>0</v>
      </c>
      <c r="H51" s="3">
        <f>D51-G51</f>
        <v>0</v>
      </c>
      <c r="J51" s="1">
        <v>408813.76</v>
      </c>
      <c r="K51" s="1">
        <v>498933.89</v>
      </c>
      <c r="L51" s="1">
        <v>27566470.99</v>
      </c>
      <c r="M51" s="2">
        <v>0.0181</v>
      </c>
      <c r="N51" s="1">
        <f>L51*M51</f>
        <v>498953.124919</v>
      </c>
      <c r="O51" s="1">
        <f>K51-N51</f>
        <v>-19.23491900000954</v>
      </c>
    </row>
    <row r="52" spans="3:15" ht="12.75">
      <c r="C52" s="1">
        <f>B52*C51/(C51+J51)</f>
        <v>0</v>
      </c>
      <c r="D52" s="1"/>
      <c r="E52" s="1"/>
      <c r="F52" s="2">
        <v>0.0098</v>
      </c>
      <c r="G52" s="1">
        <f>E52*F52</f>
        <v>0</v>
      </c>
      <c r="H52" s="3">
        <f>D52-G52</f>
        <v>0</v>
      </c>
      <c r="J52" s="1">
        <f>B52-C52</f>
        <v>0</v>
      </c>
      <c r="K52" s="1">
        <v>-1105.8</v>
      </c>
      <c r="L52" s="1">
        <v>-62007</v>
      </c>
      <c r="M52" s="2">
        <v>0.0181</v>
      </c>
      <c r="N52" s="1">
        <f>L52*M52</f>
        <v>-1122.3267</v>
      </c>
      <c r="O52" s="1">
        <f>K52-N52</f>
        <v>16.52670000000012</v>
      </c>
    </row>
    <row r="53" spans="3:15" s="7" customFormat="1" ht="12.75">
      <c r="C53" s="8"/>
      <c r="D53" s="8"/>
      <c r="E53" s="8"/>
      <c r="F53" s="9"/>
      <c r="G53" s="8"/>
      <c r="H53" s="10"/>
      <c r="J53" s="8"/>
      <c r="K53" s="8"/>
      <c r="L53" s="8"/>
      <c r="M53" s="9"/>
      <c r="N53" s="8"/>
      <c r="O53" s="8"/>
    </row>
    <row r="54" spans="3:8" ht="12.75">
      <c r="C54" s="1"/>
      <c r="D54" s="1"/>
      <c r="E54" s="1"/>
      <c r="F54" s="2"/>
      <c r="G54" s="1"/>
      <c r="H54" s="3"/>
    </row>
    <row r="55" spans="3:18" s="15" customFormat="1" ht="13.5" thickBot="1">
      <c r="C55" s="16">
        <f>SUM(C51:C53)</f>
        <v>0</v>
      </c>
      <c r="D55" s="16">
        <f>SUM(D51:D53)</f>
        <v>0</v>
      </c>
      <c r="E55" s="16">
        <f>SUM(E51:E53)</f>
        <v>0</v>
      </c>
      <c r="F55" s="16"/>
      <c r="G55" s="16">
        <f>SUM(G51:G53)</f>
        <v>0</v>
      </c>
      <c r="H55" s="16">
        <f>SUM(H51:H53)</f>
        <v>0</v>
      </c>
      <c r="J55" s="16">
        <f>SUM(J51:J54)</f>
        <v>408813.76</v>
      </c>
      <c r="K55" s="16">
        <f>SUM(K51:K54)</f>
        <v>497828.09</v>
      </c>
      <c r="L55" s="16">
        <f>SUM(L51:L54)</f>
        <v>27504463.99</v>
      </c>
      <c r="M55" s="16"/>
      <c r="N55" s="16">
        <f>SUM(N51:N54)</f>
        <v>497830.79821900005</v>
      </c>
      <c r="O55" s="16">
        <f>SUM(O51:O54)</f>
        <v>-2.7082190000094215</v>
      </c>
      <c r="Q55" s="18">
        <f>C55+J55</f>
        <v>408813.76</v>
      </c>
      <c r="R55" s="18">
        <f>D55+K55</f>
        <v>497828.09</v>
      </c>
    </row>
    <row r="57" spans="1:15" ht="12.75">
      <c r="A57" t="s">
        <v>12</v>
      </c>
      <c r="C57" s="1"/>
      <c r="D57" s="1">
        <v>17.08</v>
      </c>
      <c r="E57" s="1">
        <v>1743.06</v>
      </c>
      <c r="F57" s="2">
        <v>0.0098</v>
      </c>
      <c r="G57" s="1">
        <f>E57*F57</f>
        <v>17.081988</v>
      </c>
      <c r="H57" s="3">
        <f>D57-G57</f>
        <v>-0.001988000000000767</v>
      </c>
      <c r="J57" s="1">
        <v>443135.99</v>
      </c>
      <c r="K57" s="1">
        <v>489439.41</v>
      </c>
      <c r="L57" s="1">
        <v>27040758.91</v>
      </c>
      <c r="M57" s="2">
        <v>0.0181</v>
      </c>
      <c r="N57" s="1">
        <f>L57*M57</f>
        <v>489437.73627100006</v>
      </c>
      <c r="O57" s="1">
        <f>K57-N57</f>
        <v>1.6737289999146014</v>
      </c>
    </row>
    <row r="58" spans="3:15" ht="12.75">
      <c r="C58" s="1">
        <f>B58*C57/(C57+J57)</f>
        <v>0</v>
      </c>
      <c r="D58" s="1">
        <v>-100.72</v>
      </c>
      <c r="E58" s="1">
        <v>-10277.25</v>
      </c>
      <c r="F58" s="2">
        <v>0.0098</v>
      </c>
      <c r="G58" s="1">
        <f>E58*F58</f>
        <v>-100.71705</v>
      </c>
      <c r="H58" s="3">
        <f>D58-G58</f>
        <v>-0.002949999999998454</v>
      </c>
      <c r="J58" s="1">
        <v>-1351.23</v>
      </c>
      <c r="K58" s="1">
        <v>-1449.33</v>
      </c>
      <c r="L58" s="1">
        <v>-80071.74</v>
      </c>
      <c r="M58" s="2">
        <v>0.0181</v>
      </c>
      <c r="N58" s="1">
        <f>L58*M58</f>
        <v>-1449.2984940000001</v>
      </c>
      <c r="O58" s="1">
        <f>K58-N58</f>
        <v>-0.03150599999980841</v>
      </c>
    </row>
    <row r="59" spans="3:15" s="7" customFormat="1" ht="12.75">
      <c r="C59" s="8"/>
      <c r="D59" s="8"/>
      <c r="E59" s="8"/>
      <c r="F59" s="9"/>
      <c r="G59" s="8"/>
      <c r="H59" s="10"/>
      <c r="J59" s="8"/>
      <c r="K59" s="8"/>
      <c r="L59" s="8"/>
      <c r="M59" s="9"/>
      <c r="N59" s="8"/>
      <c r="O59" s="8"/>
    </row>
    <row r="60" spans="3:8" ht="12.75">
      <c r="C60" s="1"/>
      <c r="D60" s="1"/>
      <c r="E60" s="1"/>
      <c r="F60" s="2"/>
      <c r="G60" s="1"/>
      <c r="H60" s="3"/>
    </row>
    <row r="61" spans="3:18" s="15" customFormat="1" ht="13.5" thickBot="1">
      <c r="C61" s="16">
        <f>SUM(C57:C59)</f>
        <v>0</v>
      </c>
      <c r="D61" s="16">
        <f>SUM(D57:D59)</f>
        <v>-83.64</v>
      </c>
      <c r="E61" s="16">
        <f>SUM(E57:E59)</f>
        <v>-8534.19</v>
      </c>
      <c r="F61" s="16"/>
      <c r="G61" s="16">
        <f>SUM(G57:G59)</f>
        <v>-83.635062</v>
      </c>
      <c r="H61" s="16">
        <f>SUM(H57:H59)</f>
        <v>-0.004937999999999221</v>
      </c>
      <c r="J61" s="16">
        <f>SUM(J57:J60)</f>
        <v>441784.76</v>
      </c>
      <c r="K61" s="16">
        <f>SUM(K57:K60)</f>
        <v>487990.07999999996</v>
      </c>
      <c r="L61" s="16">
        <f>SUM(L57:L60)</f>
        <v>26960687.17</v>
      </c>
      <c r="M61" s="16"/>
      <c r="N61" s="16">
        <f>SUM(N57:N60)</f>
        <v>487988.4377770001</v>
      </c>
      <c r="O61" s="16">
        <f>SUM(O57:O60)</f>
        <v>1.642222999914793</v>
      </c>
      <c r="Q61" s="18">
        <f>C61+J61</f>
        <v>441784.76</v>
      </c>
      <c r="R61" s="18">
        <f>D61+K61</f>
        <v>487906.43999999994</v>
      </c>
    </row>
    <row r="63" spans="1:15" ht="12.75">
      <c r="A63" t="s">
        <v>13</v>
      </c>
      <c r="C63" s="1"/>
      <c r="D63" s="1"/>
      <c r="E63" s="1"/>
      <c r="F63" s="2">
        <v>0.0098</v>
      </c>
      <c r="G63" s="1">
        <f>E63*F63</f>
        <v>0</v>
      </c>
      <c r="H63" s="3">
        <f>D63-G63</f>
        <v>0</v>
      </c>
      <c r="J63" s="1">
        <v>513339.81</v>
      </c>
      <c r="K63" s="1">
        <v>520069.03</v>
      </c>
      <c r="L63" s="1">
        <v>28733042.94</v>
      </c>
      <c r="M63" s="2">
        <v>0.0181</v>
      </c>
      <c r="N63" s="1">
        <f>L63*M63</f>
        <v>520068.07721400005</v>
      </c>
      <c r="O63" s="1">
        <f>K63-N63</f>
        <v>0.9527859999798238</v>
      </c>
    </row>
    <row r="64" spans="3:15" ht="12.75">
      <c r="C64" s="1"/>
      <c r="D64" s="1"/>
      <c r="E64" s="1"/>
      <c r="F64" s="2">
        <v>0.0098</v>
      </c>
      <c r="G64" s="1">
        <f>E64*F64</f>
        <v>0</v>
      </c>
      <c r="H64" s="3">
        <f>D64-G64</f>
        <v>0</v>
      </c>
      <c r="J64" s="1">
        <v>-1074.2</v>
      </c>
      <c r="K64" s="1">
        <v>-1008.92</v>
      </c>
      <c r="L64" s="1">
        <v>-55743</v>
      </c>
      <c r="M64" s="2">
        <v>0.0181</v>
      </c>
      <c r="N64" s="1">
        <f>L64*M64</f>
        <v>-1008.9483000000001</v>
      </c>
      <c r="O64" s="1">
        <f>K64-N64</f>
        <v>0.028300000000172076</v>
      </c>
    </row>
    <row r="65" spans="3:15" s="7" customFormat="1" ht="12.75">
      <c r="C65" s="8"/>
      <c r="D65" s="8"/>
      <c r="E65" s="8"/>
      <c r="F65" s="9"/>
      <c r="G65" s="8"/>
      <c r="H65" s="10"/>
      <c r="J65" s="8"/>
      <c r="K65" s="8"/>
      <c r="L65" s="8"/>
      <c r="M65" s="9"/>
      <c r="N65" s="8"/>
      <c r="O65" s="8"/>
    </row>
    <row r="66" spans="3:8" ht="12.75">
      <c r="C66" s="1"/>
      <c r="D66" s="1"/>
      <c r="E66" s="1"/>
      <c r="F66" s="2"/>
      <c r="G66" s="1"/>
      <c r="H66" s="3"/>
    </row>
    <row r="67" spans="3:18" s="15" customFormat="1" ht="13.5" thickBot="1">
      <c r="C67" s="16">
        <f>SUM(C63:C65)</f>
        <v>0</v>
      </c>
      <c r="D67" s="16">
        <f>SUM(D63:D65)</f>
        <v>0</v>
      </c>
      <c r="E67" s="16">
        <f>SUM(E63:E65)</f>
        <v>0</v>
      </c>
      <c r="F67" s="16"/>
      <c r="G67" s="16">
        <f>SUM(G63:G65)</f>
        <v>0</v>
      </c>
      <c r="H67" s="16">
        <f>SUM(H63:H65)</f>
        <v>0</v>
      </c>
      <c r="J67" s="16">
        <f>SUM(J63:J66)</f>
        <v>512265.61</v>
      </c>
      <c r="K67" s="16">
        <f>SUM(K63:K66)</f>
        <v>519060.11000000004</v>
      </c>
      <c r="L67" s="16">
        <f>SUM(L63:L66)</f>
        <v>28677299.94</v>
      </c>
      <c r="M67" s="16"/>
      <c r="N67" s="16">
        <f>SUM(N63:N66)</f>
        <v>519059.12891400006</v>
      </c>
      <c r="O67" s="16">
        <f>SUM(O63:O66)</f>
        <v>0.9810859999799959</v>
      </c>
      <c r="Q67" s="18">
        <f>C67+J67</f>
        <v>512265.61</v>
      </c>
      <c r="R67" s="18">
        <f>D67+K67</f>
        <v>519060.11000000004</v>
      </c>
    </row>
    <row r="69" spans="1:15" ht="12.75">
      <c r="A69" t="s">
        <v>14</v>
      </c>
      <c r="C69" s="1"/>
      <c r="D69" s="1"/>
      <c r="E69" s="1"/>
      <c r="F69" s="2">
        <v>0.0098</v>
      </c>
      <c r="G69" s="1">
        <f>E69*F69</f>
        <v>0</v>
      </c>
      <c r="H69" s="3">
        <f>D69-G69</f>
        <v>0</v>
      </c>
      <c r="J69" s="1">
        <v>366512.53</v>
      </c>
      <c r="K69" s="1">
        <v>418291.97</v>
      </c>
      <c r="L69" s="1">
        <v>23110013.23</v>
      </c>
      <c r="M69" s="2">
        <v>0.0181</v>
      </c>
      <c r="N69" s="1">
        <f>L69*M69</f>
        <v>418291.23946300003</v>
      </c>
      <c r="O69" s="1">
        <f>K69-N69</f>
        <v>0.7305369999376126</v>
      </c>
    </row>
    <row r="70" spans="3:15" ht="12.75">
      <c r="C70" s="1"/>
      <c r="D70" s="1"/>
      <c r="E70" s="1"/>
      <c r="F70" s="2">
        <v>0.0098</v>
      </c>
      <c r="G70" s="1">
        <f>E70*F70</f>
        <v>0</v>
      </c>
      <c r="H70" s="3">
        <f>D70-G70</f>
        <v>0</v>
      </c>
      <c r="J70" s="1">
        <v>-713.3</v>
      </c>
      <c r="K70" s="1">
        <v>-778.9</v>
      </c>
      <c r="L70" s="1">
        <v>-43032.23</v>
      </c>
      <c r="M70" s="2">
        <v>0.0181</v>
      </c>
      <c r="N70" s="1">
        <f>L70*M70</f>
        <v>-778.8833630000001</v>
      </c>
      <c r="O70" s="1">
        <f>K70-N70</f>
        <v>-0.01663699999983237</v>
      </c>
    </row>
    <row r="71" spans="3:15" s="7" customFormat="1" ht="12.75">
      <c r="C71" s="8"/>
      <c r="D71" s="8"/>
      <c r="E71" s="8"/>
      <c r="F71" s="9"/>
      <c r="G71" s="8"/>
      <c r="H71" s="10"/>
      <c r="J71" s="8"/>
      <c r="K71" s="8"/>
      <c r="L71" s="8"/>
      <c r="M71" s="9"/>
      <c r="N71" s="8"/>
      <c r="O71" s="8"/>
    </row>
    <row r="72" spans="3:8" ht="12.75">
      <c r="C72" s="1"/>
      <c r="D72" s="1"/>
      <c r="E72" s="1"/>
      <c r="F72" s="2"/>
      <c r="G72" s="1"/>
      <c r="H72" s="3"/>
    </row>
    <row r="73" spans="3:18" s="15" customFormat="1" ht="13.5" thickBot="1">
      <c r="C73" s="16">
        <f>SUM(C69:C71)</f>
        <v>0</v>
      </c>
      <c r="D73" s="16">
        <f>SUM(D69:D71)</f>
        <v>0</v>
      </c>
      <c r="E73" s="16">
        <f>SUM(E69:E71)</f>
        <v>0</v>
      </c>
      <c r="F73" s="16"/>
      <c r="G73" s="16">
        <f>SUM(G69:G71)</f>
        <v>0</v>
      </c>
      <c r="H73" s="16">
        <f>SUM(H69:H71)</f>
        <v>0</v>
      </c>
      <c r="J73" s="16">
        <f>SUM(J69:J72)</f>
        <v>365799.23000000004</v>
      </c>
      <c r="K73" s="16">
        <f>SUM(K69:K72)</f>
        <v>417513.06999999995</v>
      </c>
      <c r="L73" s="16">
        <f>SUM(L69:L72)</f>
        <v>23066981</v>
      </c>
      <c r="M73" s="16"/>
      <c r="N73" s="16">
        <f>SUM(N69:N72)</f>
        <v>417512.35610000003</v>
      </c>
      <c r="O73" s="16">
        <f>SUM(O69:O72)</f>
        <v>0.7138999999377802</v>
      </c>
      <c r="Q73" s="18">
        <f>C73+J73</f>
        <v>365799.23000000004</v>
      </c>
      <c r="R73" s="18">
        <f>D73+K73</f>
        <v>417513.06999999995</v>
      </c>
    </row>
    <row r="81" spans="3:18" ht="12.75">
      <c r="C81" s="3">
        <f>C7+C13+C19+C25+C31+C37+C43+C49+C55+C61+C67+C73</f>
        <v>1279191.3328498881</v>
      </c>
      <c r="D81" s="3">
        <f>D7+D13+D19+D25+D31+D37+D43+D49+D55+D61+D67+D73</f>
        <v>895075.69</v>
      </c>
      <c r="E81" s="3">
        <f>E7+E13+E19+E25+E31+E37+E43+E49+E55+E61+E67+E73</f>
        <v>91333519.44000001</v>
      </c>
      <c r="F81" s="43">
        <f>(C81+D81)/E81</f>
        <v>0.023805794807658053</v>
      </c>
      <c r="G81" s="3"/>
      <c r="J81" s="3">
        <f>J7+J13+J19+J25+J31+J37+J43+J49+J55+J61+J67+J73</f>
        <v>3723371.587150112</v>
      </c>
      <c r="K81" s="3">
        <f>K7+K13+K19+K25+K31+K37+K43+K49+K55+K61+K67+K73</f>
        <v>4071914.8599999994</v>
      </c>
      <c r="L81" s="3">
        <f>L7+L13+L19+L25+L31+L37+L43+L49+L55+L61+L67+L73</f>
        <v>224968501.41000003</v>
      </c>
      <c r="M81" s="2">
        <f>(J81+K81)/L81</f>
        <v>0.03465056840532256</v>
      </c>
      <c r="Q81" s="3">
        <f>C81+J81</f>
        <v>5002562.92</v>
      </c>
      <c r="R81" s="3">
        <f>D81+K81</f>
        <v>4966990.549999999</v>
      </c>
    </row>
    <row r="82" ht="12.75">
      <c r="R82" s="3">
        <f>R81+Q81</f>
        <v>9969553.469999999</v>
      </c>
    </row>
    <row r="83" spans="3:12" ht="12.75">
      <c r="C83" s="3">
        <f>C81/10.99</f>
        <v>116395.93565513086</v>
      </c>
      <c r="E83" s="3">
        <f>E81*0.0098</f>
        <v>895068.490512</v>
      </c>
      <c r="J83" s="1">
        <f>J81/11.77</f>
        <v>316344.2300042576</v>
      </c>
      <c r="L83" s="1">
        <f>L81*0.0181</f>
        <v>4071929.875521001</v>
      </c>
    </row>
    <row r="85" spans="10:19" ht="12.75">
      <c r="J85" s="1">
        <f>J83+C83</f>
        <v>432740.1656593884</v>
      </c>
      <c r="L85" s="1">
        <f>L81+E81</f>
        <v>316302020.85</v>
      </c>
      <c r="Q85">
        <v>2001</v>
      </c>
      <c r="R85">
        <v>2002</v>
      </c>
      <c r="S85" t="s">
        <v>108</v>
      </c>
    </row>
    <row r="86" spans="17:19" s="1" customFormat="1" ht="12.75">
      <c r="Q86" s="1">
        <v>6818332.65</v>
      </c>
      <c r="R86" s="1">
        <v>9187665.18</v>
      </c>
      <c r="S86" s="1">
        <f>R86+226250+197736</f>
        <v>9611651.18</v>
      </c>
    </row>
    <row r="87" spans="12:19" s="1" customFormat="1" ht="12.75">
      <c r="L87" s="1">
        <f>L81*0.001806</f>
        <v>406293.11354646005</v>
      </c>
      <c r="Q87" s="1">
        <v>281206141.03</v>
      </c>
      <c r="R87" s="1">
        <v>293235039.85</v>
      </c>
      <c r="S87" s="1">
        <f>R87+12500000</f>
        <v>305735039.85</v>
      </c>
    </row>
    <row r="88" spans="17:19" s="1" customFormat="1" ht="12.75">
      <c r="Q88" s="2">
        <f>Q86/Q87</f>
        <v>0.024246741643073146</v>
      </c>
      <c r="R88" s="2">
        <f>R86/R87</f>
        <v>0.031332084953762045</v>
      </c>
      <c r="S88" s="2">
        <f>S86/S87</f>
        <v>0.0314378462629461</v>
      </c>
    </row>
    <row r="89" s="1" customFormat="1" ht="12.75"/>
    <row r="90" spans="18:19" s="1" customFormat="1" ht="12.75">
      <c r="R90" s="1">
        <f>Q88*(R87-Q87)</f>
        <v>291661.6019392087</v>
      </c>
      <c r="S90" s="1">
        <f>Q88*(S87-Q87)</f>
        <v>594745.872477623</v>
      </c>
    </row>
    <row r="91" spans="18:19" s="1" customFormat="1" ht="12.75">
      <c r="R91" s="1">
        <f>ROUND(R90/1000,0)</f>
        <v>292</v>
      </c>
      <c r="S91" s="1">
        <f>ROUND(S90/1000,0)</f>
        <v>595</v>
      </c>
    </row>
    <row r="92" spans="18:19" s="1" customFormat="1" ht="12.75">
      <c r="R92" s="1">
        <f>9155-6818-R91</f>
        <v>2045</v>
      </c>
      <c r="S92" s="1">
        <f>9155+423-6818-S91</f>
        <v>2165</v>
      </c>
    </row>
    <row r="93" s="1" customFormat="1" ht="12.75"/>
  </sheetData>
  <sheetProtection/>
  <printOptions/>
  <pageMargins left="0.75" right="0.75" top="1" bottom="1" header="0.5" footer="0.5"/>
  <pageSetup horizontalDpi="300" verticalDpi="3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zoomScalePageLayoutView="0" workbookViewId="0" topLeftCell="A40">
      <selection activeCell="A1" sqref="A1:K74"/>
    </sheetView>
  </sheetViews>
  <sheetFormatPr defaultColWidth="9.140625" defaultRowHeight="12.75"/>
  <cols>
    <col min="1" max="1" width="12.28125" style="0" customWidth="1"/>
    <col min="2" max="2" width="13.00390625" style="1" bestFit="1" customWidth="1"/>
    <col min="3" max="3" width="15.140625" style="1" bestFit="1" customWidth="1"/>
    <col min="4" max="4" width="9.28125" style="2" bestFit="1" customWidth="1"/>
    <col min="5" max="5" width="13.00390625" style="1" bestFit="1" customWidth="1"/>
    <col min="6" max="6" width="11.8515625" style="0" bestFit="1" customWidth="1"/>
    <col min="7" max="7" width="15.140625" style="0" bestFit="1" customWidth="1"/>
    <col min="9" max="9" width="14.00390625" style="0" bestFit="1" customWidth="1"/>
  </cols>
  <sheetData>
    <row r="1" ht="12.75">
      <c r="A1" t="s">
        <v>2</v>
      </c>
    </row>
    <row r="2" ht="12.75">
      <c r="A2" t="s">
        <v>0</v>
      </c>
    </row>
    <row r="3" ht="12.75">
      <c r="A3" t="s">
        <v>1</v>
      </c>
    </row>
    <row r="5" spans="2:9" s="4" customFormat="1" ht="25.5">
      <c r="B5" s="5" t="s">
        <v>15</v>
      </c>
      <c r="C5" s="5" t="s">
        <v>16</v>
      </c>
      <c r="D5" s="6" t="s">
        <v>17</v>
      </c>
      <c r="E5" s="5" t="s">
        <v>18</v>
      </c>
      <c r="F5" s="4" t="s">
        <v>19</v>
      </c>
      <c r="G5" s="4" t="s">
        <v>22</v>
      </c>
      <c r="I5" s="4" t="s">
        <v>163</v>
      </c>
    </row>
    <row r="7" spans="1:6" ht="12.75">
      <c r="A7" t="s">
        <v>3</v>
      </c>
      <c r="B7" s="1">
        <v>192498.07</v>
      </c>
      <c r="C7" s="1">
        <v>14259060.56</v>
      </c>
      <c r="D7" s="2">
        <v>0.0135</v>
      </c>
      <c r="E7" s="1">
        <f>C7*D7</f>
        <v>192497.31756</v>
      </c>
      <c r="F7" s="3">
        <f>B7-E7</f>
        <v>0.75244000001112</v>
      </c>
    </row>
    <row r="8" spans="2:6" s="7" customFormat="1" ht="12.75">
      <c r="B8" s="8">
        <v>-324.51</v>
      </c>
      <c r="C8" s="8">
        <v>-24037</v>
      </c>
      <c r="D8" s="9">
        <v>0.0135</v>
      </c>
      <c r="E8" s="8">
        <f>C8*D8</f>
        <v>-324.4995</v>
      </c>
      <c r="F8" s="10">
        <f>B8-E8</f>
        <v>-0.010499999999979082</v>
      </c>
    </row>
    <row r="9" spans="2:7" s="11" customFormat="1" ht="13.5" thickBot="1">
      <c r="B9" s="12">
        <f>SUM(B7:B8)</f>
        <v>192173.56</v>
      </c>
      <c r="C9" s="12">
        <f>SUM(C7:C8)</f>
        <v>14235023.56</v>
      </c>
      <c r="D9" s="13"/>
      <c r="E9" s="12">
        <f>SUM(E7:E8)</f>
        <v>192172.81806</v>
      </c>
      <c r="F9" s="14">
        <f>SUM(F7:F8)</f>
        <v>0.7419400000111409</v>
      </c>
      <c r="G9" s="14">
        <f>B9</f>
        <v>192173.56</v>
      </c>
    </row>
    <row r="10" ht="12.75">
      <c r="F10" s="3"/>
    </row>
    <row r="11" spans="1:6" ht="12.75">
      <c r="A11" t="s">
        <v>4</v>
      </c>
      <c r="B11" s="1">
        <v>164093.05</v>
      </c>
      <c r="C11" s="1">
        <v>12154985.47</v>
      </c>
      <c r="D11" s="2">
        <v>0.0135</v>
      </c>
      <c r="E11" s="1">
        <f>C11*D11</f>
        <v>164092.30384500002</v>
      </c>
      <c r="F11" s="3">
        <f>B11-E11</f>
        <v>0.7461549999716226</v>
      </c>
    </row>
    <row r="12" spans="2:6" s="7" customFormat="1" ht="12.75">
      <c r="B12" s="8">
        <v>-759.21</v>
      </c>
      <c r="C12" s="8">
        <v>-56237</v>
      </c>
      <c r="D12" s="9">
        <v>0.0135</v>
      </c>
      <c r="E12" s="8">
        <f>C12*D12</f>
        <v>-759.1995</v>
      </c>
      <c r="F12" s="10">
        <f>B12-E12</f>
        <v>-0.010500000000092768</v>
      </c>
    </row>
    <row r="13" spans="2:7" s="15" customFormat="1" ht="13.5" thickBot="1">
      <c r="B13" s="16">
        <f>SUM(B11:B12)</f>
        <v>163333.84</v>
      </c>
      <c r="C13" s="16">
        <f>SUM(C11:C12)</f>
        <v>12098748.47</v>
      </c>
      <c r="D13" s="17"/>
      <c r="E13" s="16">
        <f>SUM(E11:E12)</f>
        <v>163333.10434500003</v>
      </c>
      <c r="F13" s="18">
        <f>SUM(F11:F12)</f>
        <v>0.7356549999715298</v>
      </c>
      <c r="G13" s="18">
        <f>G9+B13+B77</f>
        <v>354787.67000000004</v>
      </c>
    </row>
    <row r="14" ht="12.75">
      <c r="F14" s="3"/>
    </row>
    <row r="15" spans="1:6" ht="12.75">
      <c r="A15" t="s">
        <v>5</v>
      </c>
      <c r="B15" s="1">
        <v>41140.41</v>
      </c>
      <c r="C15" s="1">
        <v>3047450.15</v>
      </c>
      <c r="D15" s="2">
        <v>0.0135</v>
      </c>
      <c r="E15" s="1">
        <f>C15*D15</f>
        <v>41140.577025</v>
      </c>
      <c r="F15" s="3">
        <f>B15-E15</f>
        <v>-0.16702499999519205</v>
      </c>
    </row>
    <row r="16" spans="2:6" ht="12.75">
      <c r="B16" s="1">
        <v>-908.41</v>
      </c>
      <c r="C16" s="1">
        <v>-67289</v>
      </c>
      <c r="D16" s="2">
        <v>0.0135</v>
      </c>
      <c r="E16" s="1">
        <f>C16*D16</f>
        <v>-908.4014999999999</v>
      </c>
      <c r="F16" s="3">
        <f>B16-E16</f>
        <v>-0.008500000000026375</v>
      </c>
    </row>
    <row r="17" spans="2:6" s="7" customFormat="1" ht="12.75">
      <c r="B17" s="8">
        <v>150333.08</v>
      </c>
      <c r="C17" s="8">
        <v>7789272.45</v>
      </c>
      <c r="D17" s="9">
        <v>0.0193</v>
      </c>
      <c r="E17" s="8">
        <f>C17*D17</f>
        <v>150332.958285</v>
      </c>
      <c r="F17" s="10">
        <f>B17-E17</f>
        <v>0.12171499998657964</v>
      </c>
    </row>
    <row r="18" spans="2:7" s="11" customFormat="1" ht="13.5" thickBot="1">
      <c r="B18" s="12">
        <f>SUM(B15:B17)</f>
        <v>190565.08</v>
      </c>
      <c r="C18" s="12">
        <f>SUM(C15:C17)</f>
        <v>10769433.6</v>
      </c>
      <c r="D18" s="13"/>
      <c r="E18" s="12">
        <f>SUM(E15:E17)</f>
        <v>190565.13381</v>
      </c>
      <c r="F18" s="14">
        <f>SUM(F15:F17)</f>
        <v>-0.05381000000863878</v>
      </c>
      <c r="G18" s="14">
        <f>G13+B18</f>
        <v>545352.75</v>
      </c>
    </row>
    <row r="19" ht="12.75">
      <c r="F19" s="3"/>
    </row>
    <row r="20" spans="1:6" ht="12.75">
      <c r="A20" t="s">
        <v>6</v>
      </c>
      <c r="B20" s="1">
        <v>4874.48</v>
      </c>
      <c r="C20" s="1">
        <v>361252.55</v>
      </c>
      <c r="D20" s="2">
        <v>0.0135</v>
      </c>
      <c r="E20" s="1">
        <f>C20*D20</f>
        <v>4876.909425</v>
      </c>
      <c r="F20" s="3">
        <f>B20-E20</f>
        <v>-2.429425000000265</v>
      </c>
    </row>
    <row r="21" spans="2:6" ht="12.75">
      <c r="B21" s="1">
        <v>-831.52</v>
      </c>
      <c r="C21" s="1">
        <v>-61595.17</v>
      </c>
      <c r="D21" s="2">
        <v>0.0135</v>
      </c>
      <c r="E21" s="1">
        <f>C21*D21</f>
        <v>-831.5347949999999</v>
      </c>
      <c r="F21" s="3">
        <f>B21-E21</f>
        <v>0.014794999999935499</v>
      </c>
    </row>
    <row r="22" spans="2:9" ht="12.75">
      <c r="B22" s="1">
        <v>236733.4</v>
      </c>
      <c r="C22" s="1">
        <v>12265976.95</v>
      </c>
      <c r="D22" s="2">
        <v>0.0193</v>
      </c>
      <c r="E22" s="1">
        <f>C22*D22</f>
        <v>236733.355135</v>
      </c>
      <c r="F22" s="3">
        <f>B22-E22</f>
        <v>0.044865000003483146</v>
      </c>
      <c r="I22" s="3">
        <f>C22</f>
        <v>12265976.95</v>
      </c>
    </row>
    <row r="23" spans="2:9" s="7" customFormat="1" ht="12.75">
      <c r="B23" s="8">
        <v>-444.49</v>
      </c>
      <c r="C23" s="8">
        <v>-23030.83</v>
      </c>
      <c r="D23" s="9">
        <v>0.0193</v>
      </c>
      <c r="E23" s="8">
        <f>C23*D23</f>
        <v>-444.49501900000007</v>
      </c>
      <c r="F23" s="10">
        <f>B23-E23</f>
        <v>0.005019000000061169</v>
      </c>
      <c r="I23" s="3">
        <f>C23</f>
        <v>-23030.83</v>
      </c>
    </row>
    <row r="24" spans="2:7" s="15" customFormat="1" ht="13.5" thickBot="1">
      <c r="B24" s="16">
        <f>SUM(B20:B23)</f>
        <v>240331.87</v>
      </c>
      <c r="C24" s="16">
        <f>SUM(C20:C23)</f>
        <v>12542603.5</v>
      </c>
      <c r="D24" s="17"/>
      <c r="E24" s="16">
        <f>SUM(E20:E23)</f>
        <v>240334.234746</v>
      </c>
      <c r="F24" s="18">
        <f>SUM(F20:F23)</f>
        <v>-2.364745999996785</v>
      </c>
      <c r="G24" s="18">
        <f>G18+B24</f>
        <v>785684.62</v>
      </c>
    </row>
    <row r="25" ht="12.75">
      <c r="F25" s="3"/>
    </row>
    <row r="26" spans="1:6" ht="12.75">
      <c r="A26" t="s">
        <v>7</v>
      </c>
      <c r="B26" s="1">
        <v>15.6</v>
      </c>
      <c r="C26" s="1">
        <v>1154.57</v>
      </c>
      <c r="D26" s="2">
        <v>0.0135</v>
      </c>
      <c r="E26" s="1">
        <f>C26*D26</f>
        <v>15.586694999999999</v>
      </c>
      <c r="F26" s="3">
        <f>B26-E26</f>
        <v>0.013305000000000788</v>
      </c>
    </row>
    <row r="27" spans="2:6" ht="12.75">
      <c r="B27" s="1">
        <v>-1.89</v>
      </c>
      <c r="C27" s="1">
        <v>-140</v>
      </c>
      <c r="D27" s="2">
        <v>0.0135</v>
      </c>
      <c r="E27" s="1">
        <f>C27*D27</f>
        <v>-1.89</v>
      </c>
      <c r="F27" s="3">
        <f>B27-E27</f>
        <v>0</v>
      </c>
    </row>
    <row r="28" spans="2:9" ht="12.75">
      <c r="B28" s="1">
        <v>33003.93</v>
      </c>
      <c r="C28" s="1">
        <v>1710048.33</v>
      </c>
      <c r="D28" s="2">
        <v>0.0193</v>
      </c>
      <c r="E28" s="1">
        <f>C28*D28</f>
        <v>33003.93276900001</v>
      </c>
      <c r="F28" s="3">
        <f>B28-E28</f>
        <v>-0.0027690000060829334</v>
      </c>
      <c r="I28" s="3">
        <f>C28</f>
        <v>1710048.33</v>
      </c>
    </row>
    <row r="29" spans="2:9" s="7" customFormat="1" ht="12.75">
      <c r="B29" s="8">
        <v>-929.42</v>
      </c>
      <c r="C29" s="8">
        <v>-48157</v>
      </c>
      <c r="D29" s="9">
        <v>0.0193</v>
      </c>
      <c r="E29" s="8">
        <f>C29*D29</f>
        <v>-929.4301</v>
      </c>
      <c r="F29" s="10">
        <f>B29-E29</f>
        <v>0.01010000000007949</v>
      </c>
      <c r="I29" s="3">
        <f>C29</f>
        <v>-48157</v>
      </c>
    </row>
    <row r="30" spans="2:7" s="11" customFormat="1" ht="13.5" thickBot="1">
      <c r="B30" s="12">
        <f>SUM(B26:B29)</f>
        <v>32088.22</v>
      </c>
      <c r="C30" s="12">
        <f>SUM(C26:C29)</f>
        <v>1662905.9000000001</v>
      </c>
      <c r="D30" s="13"/>
      <c r="E30" s="12">
        <f>SUM(E26:E29)</f>
        <v>32088.199364000004</v>
      </c>
      <c r="F30" s="14">
        <f>SUM(F26:F29)</f>
        <v>0.020635999993997345</v>
      </c>
      <c r="G30" s="14">
        <f>G24+B30</f>
        <v>817772.84</v>
      </c>
    </row>
    <row r="31" ht="12.75">
      <c r="F31" s="3"/>
    </row>
    <row r="32" spans="1:6" ht="12.75">
      <c r="A32" t="s">
        <v>8</v>
      </c>
      <c r="B32" s="1">
        <v>43.32</v>
      </c>
      <c r="C32" s="1">
        <v>3208.81</v>
      </c>
      <c r="D32" s="2">
        <v>0.0135</v>
      </c>
      <c r="E32" s="1">
        <f>C32*D32</f>
        <v>43.318934999999996</v>
      </c>
      <c r="F32" s="3">
        <f>B32-E32</f>
        <v>0.0010650000000040905</v>
      </c>
    </row>
    <row r="33" spans="2:6" ht="12.75">
      <c r="B33" s="1">
        <v>-495.6</v>
      </c>
      <c r="C33" s="1">
        <v>-36710.29</v>
      </c>
      <c r="D33" s="2">
        <v>0.0135</v>
      </c>
      <c r="E33" s="1">
        <f>C33*D33</f>
        <v>-495.588915</v>
      </c>
      <c r="F33" s="3">
        <f>B33-E33</f>
        <v>-0.011085000000036871</v>
      </c>
    </row>
    <row r="34" spans="2:9" ht="12.75">
      <c r="B34" s="1">
        <v>201311.74</v>
      </c>
      <c r="C34" s="1">
        <v>10430662.29</v>
      </c>
      <c r="D34" s="2">
        <v>0.0193</v>
      </c>
      <c r="E34" s="1">
        <f>C34*D34</f>
        <v>201311.782197</v>
      </c>
      <c r="F34" s="3">
        <f>B34-E34</f>
        <v>-0.042197000002488494</v>
      </c>
      <c r="I34" s="3">
        <f>C34</f>
        <v>10430662.29</v>
      </c>
    </row>
    <row r="35" spans="2:9" s="7" customFormat="1" ht="12.75">
      <c r="B35" s="8">
        <v>-976.11</v>
      </c>
      <c r="C35" s="8">
        <v>-50575.11</v>
      </c>
      <c r="D35" s="9">
        <v>0.0193</v>
      </c>
      <c r="E35" s="8">
        <f>C35*D35</f>
        <v>-976.0996230000001</v>
      </c>
      <c r="F35" s="10">
        <f>B35-E35</f>
        <v>-0.010376999999948566</v>
      </c>
      <c r="I35" s="3">
        <f>C35</f>
        <v>-50575.11</v>
      </c>
    </row>
    <row r="36" spans="2:7" s="15" customFormat="1" ht="13.5" thickBot="1">
      <c r="B36" s="16">
        <f>SUM(B32:B35)</f>
        <v>199883.35</v>
      </c>
      <c r="C36" s="16">
        <f>SUM(C32:C35)</f>
        <v>10346585.7</v>
      </c>
      <c r="D36" s="17"/>
      <c r="E36" s="16">
        <f>SUM(E32:E35)</f>
        <v>199883.412594</v>
      </c>
      <c r="F36" s="18">
        <f>SUM(F32:F35)</f>
        <v>-0.06259400000246984</v>
      </c>
      <c r="G36" s="18">
        <f>G30+B36</f>
        <v>1017656.19</v>
      </c>
    </row>
    <row r="37" ht="12.75">
      <c r="F37" s="3"/>
    </row>
    <row r="38" spans="1:9" ht="12.75">
      <c r="A38" t="s">
        <v>9</v>
      </c>
      <c r="B38" s="1">
        <v>223793.53</v>
      </c>
      <c r="C38" s="1">
        <v>11595597.2</v>
      </c>
      <c r="D38" s="2">
        <v>0.0193</v>
      </c>
      <c r="E38" s="1">
        <f>C38*D38</f>
        <v>223795.02596</v>
      </c>
      <c r="F38" s="3">
        <f>B38-E38</f>
        <v>-1.4959600000001956</v>
      </c>
      <c r="I38" s="3">
        <f>C38</f>
        <v>11595597.2</v>
      </c>
    </row>
    <row r="39" spans="2:9" ht="12.75">
      <c r="B39" s="1">
        <v>-594.14</v>
      </c>
      <c r="C39" s="1">
        <v>-30785.49</v>
      </c>
      <c r="D39" s="2">
        <v>0.0193</v>
      </c>
      <c r="E39" s="1">
        <f>C39*D39</f>
        <v>-594.1599570000001</v>
      </c>
      <c r="F39" s="3">
        <f>B39-E39</f>
        <v>0.019957000000090375</v>
      </c>
      <c r="I39" s="3">
        <f>C39</f>
        <v>-30785.49</v>
      </c>
    </row>
    <row r="40" spans="2:6" s="7" customFormat="1" ht="12.75">
      <c r="B40" s="8">
        <v>-31.47</v>
      </c>
      <c r="C40" s="8">
        <v>-2331.71</v>
      </c>
      <c r="D40" s="9">
        <v>0.0135</v>
      </c>
      <c r="E40" s="8">
        <f>C40*D40</f>
        <v>-31.478085</v>
      </c>
      <c r="F40" s="10">
        <f>B40-E40</f>
        <v>0.00808500000000123</v>
      </c>
    </row>
    <row r="41" spans="2:7" s="11" customFormat="1" ht="13.5" thickBot="1">
      <c r="B41" s="12">
        <f>SUM(B38:B40)</f>
        <v>223167.91999999998</v>
      </c>
      <c r="C41" s="12">
        <f>SUM(C38:C40)</f>
        <v>11562479.999999998</v>
      </c>
      <c r="D41" s="13"/>
      <c r="E41" s="12">
        <f>SUM(E38:E40)</f>
        <v>223169.387918</v>
      </c>
      <c r="F41" s="14">
        <f>SUM(F38:F40)</f>
        <v>-1.467918000000104</v>
      </c>
      <c r="G41" s="14">
        <f>G36+B41</f>
        <v>1240824.1099999999</v>
      </c>
    </row>
    <row r="42" ht="12.75">
      <c r="F42" s="3"/>
    </row>
    <row r="43" spans="1:6" ht="12.75">
      <c r="A43" t="s">
        <v>10</v>
      </c>
      <c r="B43" s="1">
        <v>18.65</v>
      </c>
      <c r="C43" s="1">
        <v>1381.19</v>
      </c>
      <c r="D43" s="2">
        <v>0.0135</v>
      </c>
      <c r="E43" s="1">
        <f>C43*D43</f>
        <v>18.646065</v>
      </c>
      <c r="F43" s="3">
        <f>B43-E43</f>
        <v>0.0039349999999984675</v>
      </c>
    </row>
    <row r="44" spans="2:9" ht="12.75">
      <c r="B44" s="1">
        <f>247468.6-18.65</f>
        <v>247449.95</v>
      </c>
      <c r="C44" s="1">
        <v>12821234.21</v>
      </c>
      <c r="D44" s="2">
        <v>0.0193</v>
      </c>
      <c r="E44" s="1">
        <f>C44*D44</f>
        <v>247449.82025300004</v>
      </c>
      <c r="F44" s="3">
        <f>B44-E44</f>
        <v>0.12974699996993877</v>
      </c>
      <c r="I44" s="3">
        <f>C44</f>
        <v>12821234.21</v>
      </c>
    </row>
    <row r="45" spans="2:6" ht="12.75">
      <c r="B45" s="1">
        <v>-5.7</v>
      </c>
      <c r="C45" s="1">
        <v>-582</v>
      </c>
      <c r="D45" s="2">
        <v>0.0098</v>
      </c>
      <c r="E45" s="1">
        <f>C45*D45</f>
        <v>-5.7036</v>
      </c>
      <c r="F45" s="3">
        <f>B45-E45</f>
        <v>0.0035999999999996035</v>
      </c>
    </row>
    <row r="46" spans="2:9" s="7" customFormat="1" ht="12.75">
      <c r="B46" s="8">
        <v>-2534.47</v>
      </c>
      <c r="C46" s="8">
        <v>-131320.2</v>
      </c>
      <c r="D46" s="9">
        <v>0.0193</v>
      </c>
      <c r="E46" s="8">
        <f>C46*D46</f>
        <v>-2534.4798600000004</v>
      </c>
      <c r="F46" s="10">
        <f>B46-E46</f>
        <v>0.009860000000571745</v>
      </c>
      <c r="I46" s="3">
        <f>C46</f>
        <v>-131320.2</v>
      </c>
    </row>
    <row r="47" spans="2:8" s="15" customFormat="1" ht="13.5" thickBot="1">
      <c r="B47" s="16">
        <f>SUM(B43:B46)</f>
        <v>244928.43</v>
      </c>
      <c r="C47" s="16">
        <f>SUM(C43:C46)</f>
        <v>12690713.200000001</v>
      </c>
      <c r="D47" s="17"/>
      <c r="E47" s="16">
        <f>SUM(E43:E46)</f>
        <v>244928.28285800005</v>
      </c>
      <c r="F47" s="18">
        <f>SUM(F43:F46)</f>
        <v>0.14714199997050859</v>
      </c>
      <c r="G47" s="18">
        <f>G41+B47</f>
        <v>1485752.5399999998</v>
      </c>
      <c r="H47" s="15" t="s">
        <v>23</v>
      </c>
    </row>
    <row r="48" ht="12.75">
      <c r="F48" s="3"/>
    </row>
    <row r="49" spans="1:6" ht="12.75">
      <c r="A49" t="s">
        <v>11</v>
      </c>
      <c r="D49" s="2">
        <v>0.0135</v>
      </c>
      <c r="E49" s="1">
        <f>C49*D49</f>
        <v>0</v>
      </c>
      <c r="F49" s="3">
        <f>B49-E49</f>
        <v>0</v>
      </c>
    </row>
    <row r="50" spans="2:9" ht="12.75">
      <c r="B50" s="1">
        <v>247670.53</v>
      </c>
      <c r="C50" s="1">
        <v>12832660.7</v>
      </c>
      <c r="D50" s="2">
        <v>0.0193</v>
      </c>
      <c r="E50" s="1">
        <f>C50*D50</f>
        <v>247670.35151</v>
      </c>
      <c r="F50" s="3">
        <f>B50-E50</f>
        <v>0.17848999999114312</v>
      </c>
      <c r="I50" s="3">
        <f>C50</f>
        <v>12832660.7</v>
      </c>
    </row>
    <row r="51" spans="4:6" ht="12.75">
      <c r="D51" s="2">
        <v>0.0098</v>
      </c>
      <c r="E51" s="1">
        <f>C51*D51</f>
        <v>0</v>
      </c>
      <c r="F51" s="3">
        <f>B51-E51</f>
        <v>0</v>
      </c>
    </row>
    <row r="52" spans="2:9" s="7" customFormat="1" ht="12.75">
      <c r="B52" s="8">
        <v>-926.77</v>
      </c>
      <c r="C52" s="8">
        <v>-48020</v>
      </c>
      <c r="D52" s="9">
        <v>0.0193</v>
      </c>
      <c r="E52" s="8">
        <f>C52*D52</f>
        <v>-926.7860000000001</v>
      </c>
      <c r="F52" s="10">
        <f>B52-E52</f>
        <v>0.016000000000076398</v>
      </c>
      <c r="I52" s="3">
        <f>C52</f>
        <v>-48020</v>
      </c>
    </row>
    <row r="53" spans="2:7" s="15" customFormat="1" ht="13.5" thickBot="1">
      <c r="B53" s="16">
        <f>SUM(B49:B52)</f>
        <v>246743.76</v>
      </c>
      <c r="C53" s="16">
        <f>SUM(C49:C52)</f>
        <v>12784640.7</v>
      </c>
      <c r="D53" s="17"/>
      <c r="E53" s="16">
        <f>SUM(E49:E52)</f>
        <v>246743.56551000001</v>
      </c>
      <c r="F53" s="18">
        <f>SUM(F49:F52)</f>
        <v>0.19448999999121952</v>
      </c>
      <c r="G53" s="18">
        <f>G47+B53</f>
        <v>1732496.2999999998</v>
      </c>
    </row>
    <row r="54" ht="12.75">
      <c r="F54" s="3"/>
    </row>
    <row r="55" spans="1:6" ht="12.75">
      <c r="A55" t="s">
        <v>12</v>
      </c>
      <c r="D55" s="2">
        <v>0.0135</v>
      </c>
      <c r="E55" s="1">
        <f>C55*D55</f>
        <v>0</v>
      </c>
      <c r="F55" s="3">
        <f>B55-E55</f>
        <v>0</v>
      </c>
    </row>
    <row r="56" spans="2:9" ht="12.75">
      <c r="B56" s="1">
        <v>245569.99</v>
      </c>
      <c r="C56" s="1">
        <v>12723821.2</v>
      </c>
      <c r="D56" s="2">
        <v>0.0193</v>
      </c>
      <c r="E56" s="1">
        <f>C56*D56</f>
        <v>245569.74916</v>
      </c>
      <c r="F56" s="3">
        <f>B56-E56</f>
        <v>0.2408399999840185</v>
      </c>
      <c r="I56" s="3">
        <f>C56</f>
        <v>12723821.2</v>
      </c>
    </row>
    <row r="57" spans="4:6" ht="12.75">
      <c r="D57" s="2">
        <v>0.0098</v>
      </c>
      <c r="E57" s="1">
        <f>C57*D57</f>
        <v>0</v>
      </c>
      <c r="F57" s="3">
        <f>B57-E57</f>
        <v>0</v>
      </c>
    </row>
    <row r="58" spans="2:9" s="7" customFormat="1" ht="12.75">
      <c r="B58" s="8">
        <v>-8609.27</v>
      </c>
      <c r="C58" s="8">
        <v>-446076</v>
      </c>
      <c r="D58" s="9">
        <v>0.0193</v>
      </c>
      <c r="E58" s="8">
        <f>C58*D58</f>
        <v>-8609.266800000001</v>
      </c>
      <c r="F58" s="10">
        <f>B58-E58</f>
        <v>-0.0031999999991967343</v>
      </c>
      <c r="I58" s="3">
        <f>C58</f>
        <v>-446076</v>
      </c>
    </row>
    <row r="59" spans="2:7" s="15" customFormat="1" ht="13.5" thickBot="1">
      <c r="B59" s="16">
        <f>SUM(B55:B58)</f>
        <v>236960.72</v>
      </c>
      <c r="C59" s="16">
        <f>SUM(C55:C58)</f>
        <v>12277745.2</v>
      </c>
      <c r="D59" s="17"/>
      <c r="E59" s="16">
        <f>SUM(E55:E58)</f>
        <v>236960.48236</v>
      </c>
      <c r="F59" s="18">
        <f>SUM(F55:F58)</f>
        <v>0.23763999998482177</v>
      </c>
      <c r="G59" s="18">
        <f>G53+B59</f>
        <v>1969457.0199999998</v>
      </c>
    </row>
    <row r="60" ht="12.75">
      <c r="F60" s="3"/>
    </row>
    <row r="61" spans="1:6" ht="12.75">
      <c r="A61" t="s">
        <v>13</v>
      </c>
      <c r="D61" s="2">
        <v>0.0135</v>
      </c>
      <c r="E61" s="1">
        <f>C61*D61</f>
        <v>0</v>
      </c>
      <c r="F61" s="3">
        <f>B61-E61</f>
        <v>0</v>
      </c>
    </row>
    <row r="62" spans="2:9" ht="12.75">
      <c r="B62" s="1">
        <v>233393.86</v>
      </c>
      <c r="C62" s="1">
        <v>12092925.39</v>
      </c>
      <c r="D62" s="2">
        <v>0.0193</v>
      </c>
      <c r="E62" s="1">
        <f>C62*D62</f>
        <v>233393.46002700002</v>
      </c>
      <c r="F62" s="3">
        <f>B62-E62</f>
        <v>0.3999729999632109</v>
      </c>
      <c r="I62" s="3">
        <f>C62</f>
        <v>12092925.39</v>
      </c>
    </row>
    <row r="63" spans="4:6" ht="12.75">
      <c r="D63" s="2">
        <v>0.0098</v>
      </c>
      <c r="E63" s="1">
        <f>C63*D63</f>
        <v>0</v>
      </c>
      <c r="F63" s="3">
        <f>B63-E63</f>
        <v>0</v>
      </c>
    </row>
    <row r="64" spans="2:9" s="7" customFormat="1" ht="12.75">
      <c r="B64" s="8">
        <v>-1497.42</v>
      </c>
      <c r="C64" s="8">
        <v>-77590</v>
      </c>
      <c r="D64" s="9">
        <v>0.0193</v>
      </c>
      <c r="E64" s="8">
        <f>C64*D64</f>
        <v>-1497.487</v>
      </c>
      <c r="F64" s="10">
        <f>B64-E64</f>
        <v>0.06700000000000728</v>
      </c>
      <c r="I64" s="3">
        <f>C64</f>
        <v>-77590</v>
      </c>
    </row>
    <row r="65" spans="2:7" s="15" customFormat="1" ht="13.5" thickBot="1">
      <c r="B65" s="16">
        <f>SUM(B61:B64)</f>
        <v>231896.43999999997</v>
      </c>
      <c r="C65" s="16">
        <f>SUM(C61:C64)</f>
        <v>12015335.39</v>
      </c>
      <c r="D65" s="17"/>
      <c r="E65" s="16">
        <f>SUM(E61:E64)</f>
        <v>231895.97302700003</v>
      </c>
      <c r="F65" s="18">
        <f>SUM(F61:F64)</f>
        <v>0.46697299996321817</v>
      </c>
      <c r="G65" s="18">
        <f>G59+B65</f>
        <v>2201353.46</v>
      </c>
    </row>
    <row r="66" ht="12.75">
      <c r="F66" s="3"/>
    </row>
    <row r="67" spans="1:6" ht="12.75">
      <c r="A67" t="s">
        <v>14</v>
      </c>
      <c r="D67" s="2">
        <v>0.0135</v>
      </c>
      <c r="E67" s="1">
        <f>C67*D67</f>
        <v>0</v>
      </c>
      <c r="F67" s="3">
        <f>B67-E67</f>
        <v>0</v>
      </c>
    </row>
    <row r="68" spans="2:9" ht="12.75">
      <c r="B68" s="1">
        <v>201429.54</v>
      </c>
      <c r="C68" s="1">
        <v>10436752.34</v>
      </c>
      <c r="D68" s="2">
        <v>0.0193</v>
      </c>
      <c r="E68" s="1">
        <f>C68*D68</f>
        <v>201429.32016200002</v>
      </c>
      <c r="F68" s="3">
        <f>B68-E68</f>
        <v>0.2198379999899771</v>
      </c>
      <c r="I68" s="3">
        <f>C68</f>
        <v>10436752.34</v>
      </c>
    </row>
    <row r="69" spans="4:6" ht="12.75">
      <c r="D69" s="2">
        <v>0.0098</v>
      </c>
      <c r="E69" s="1">
        <f>C69*D69</f>
        <v>0</v>
      </c>
      <c r="F69" s="3">
        <f>B69-E69</f>
        <v>0</v>
      </c>
    </row>
    <row r="70" spans="2:9" s="7" customFormat="1" ht="12.75">
      <c r="B70" s="8">
        <v>-1643.33</v>
      </c>
      <c r="C70" s="8">
        <v>-85146</v>
      </c>
      <c r="D70" s="9">
        <v>0.0193</v>
      </c>
      <c r="E70" s="8">
        <f>C70*D70</f>
        <v>-1643.3178</v>
      </c>
      <c r="F70" s="10">
        <f>B70-E70</f>
        <v>-0.012199999999893407</v>
      </c>
      <c r="I70" s="3">
        <f>C70</f>
        <v>-85146</v>
      </c>
    </row>
    <row r="71" spans="2:9" s="15" customFormat="1" ht="13.5" thickBot="1">
      <c r="B71" s="16">
        <f>SUM(B67:B70)</f>
        <v>199786.21000000002</v>
      </c>
      <c r="C71" s="16">
        <f>SUM(C67:C70)</f>
        <v>10351606.34</v>
      </c>
      <c r="D71" s="17"/>
      <c r="E71" s="16">
        <f>SUM(E67:E70)</f>
        <v>199786.00236200003</v>
      </c>
      <c r="F71" s="18">
        <f>SUM(F67:F70)</f>
        <v>0.2076379999900837</v>
      </c>
      <c r="G71" s="18">
        <f>G65+B71</f>
        <v>2401139.67</v>
      </c>
      <c r="I71" s="18">
        <f>SUM(I22:I70)</f>
        <v>95968977.98</v>
      </c>
    </row>
    <row r="73" spans="7:10" ht="12.75">
      <c r="G73" s="1">
        <v>2402039.74</v>
      </c>
      <c r="I73">
        <v>0.001148</v>
      </c>
      <c r="J73" t="s">
        <v>132</v>
      </c>
    </row>
    <row r="74" spans="7:10" ht="12.75">
      <c r="G74" s="3">
        <f>G71-G73</f>
        <v>-900.070000000298</v>
      </c>
      <c r="I74" s="3">
        <f>I71*I73</f>
        <v>110172.38672103999</v>
      </c>
      <c r="J74" t="s">
        <v>134</v>
      </c>
    </row>
    <row r="76" ht="12.75">
      <c r="A76" t="s">
        <v>21</v>
      </c>
    </row>
    <row r="77" spans="1:7" ht="12.75">
      <c r="A77" t="s">
        <v>4</v>
      </c>
      <c r="B77" s="1">
        <v>-719.73</v>
      </c>
      <c r="G77" t="s">
        <v>20</v>
      </c>
    </row>
    <row r="79" ht="12.75">
      <c r="A79" t="s">
        <v>32</v>
      </c>
    </row>
    <row r="80" ht="12.75">
      <c r="A80" t="s">
        <v>24</v>
      </c>
    </row>
    <row r="81" ht="12.75">
      <c r="A81" t="s">
        <v>25</v>
      </c>
    </row>
    <row r="83" spans="2:7" s="4" customFormat="1" ht="25.5">
      <c r="B83" s="5" t="s">
        <v>15</v>
      </c>
      <c r="C83" s="5" t="s">
        <v>16</v>
      </c>
      <c r="D83" s="6" t="s">
        <v>17</v>
      </c>
      <c r="E83" s="5" t="s">
        <v>18</v>
      </c>
      <c r="F83" s="4" t="s">
        <v>19</v>
      </c>
      <c r="G83" s="4" t="s">
        <v>22</v>
      </c>
    </row>
    <row r="85" spans="1:6" ht="12.75">
      <c r="A85" t="s">
        <v>3</v>
      </c>
      <c r="B85" s="1">
        <v>1040912.06</v>
      </c>
      <c r="C85" s="1">
        <v>14259060.69</v>
      </c>
      <c r="D85" s="2">
        <v>0.073</v>
      </c>
      <c r="E85" s="1">
        <f>C85*D85</f>
        <v>1040911.4303699998</v>
      </c>
      <c r="F85" s="3">
        <f>B85-E85</f>
        <v>0.6296300002140924</v>
      </c>
    </row>
    <row r="86" spans="2:6" s="7" customFormat="1" ht="12.75">
      <c r="B86" s="8">
        <v>-1754.7</v>
      </c>
      <c r="C86" s="8">
        <v>-24037</v>
      </c>
      <c r="D86" s="9">
        <v>0.073</v>
      </c>
      <c r="E86" s="8">
        <f>C86*D86</f>
        <v>-1754.7009999999998</v>
      </c>
      <c r="F86" s="10">
        <f>B86-E86</f>
        <v>0.0009999999997489795</v>
      </c>
    </row>
    <row r="87" spans="2:7" s="11" customFormat="1" ht="13.5" thickBot="1">
      <c r="B87" s="12">
        <f>SUM(B85:B86)</f>
        <v>1039157.3600000001</v>
      </c>
      <c r="C87" s="12">
        <f>SUM(C85:C86)</f>
        <v>14235023.69</v>
      </c>
      <c r="D87" s="13"/>
      <c r="E87" s="12">
        <f>SUM(E85:E86)</f>
        <v>1039156.7293699998</v>
      </c>
      <c r="F87" s="14">
        <f>SUM(F85:F86)</f>
        <v>0.6306300002138414</v>
      </c>
      <c r="G87" s="14">
        <f>B87</f>
        <v>1039157.3600000001</v>
      </c>
    </row>
    <row r="89" spans="1:6" ht="12.75">
      <c r="A89" t="s">
        <v>4</v>
      </c>
      <c r="B89" s="1">
        <v>887314.85</v>
      </c>
      <c r="C89" s="1">
        <v>12154985.53</v>
      </c>
      <c r="D89" s="2">
        <v>0.073</v>
      </c>
      <c r="E89" s="1">
        <f>C89*D89</f>
        <v>887313.9436899999</v>
      </c>
      <c r="F89" s="3">
        <f>B89-E89</f>
        <v>0.9063100001076236</v>
      </c>
    </row>
    <row r="90" spans="2:6" s="7" customFormat="1" ht="12.75">
      <c r="B90" s="8">
        <v>-4105.32</v>
      </c>
      <c r="C90" s="8">
        <v>-56237</v>
      </c>
      <c r="D90" s="9">
        <v>0.073</v>
      </c>
      <c r="E90" s="8">
        <f>C90*D90</f>
        <v>-4105.3009999999995</v>
      </c>
      <c r="F90" s="10">
        <f>B90-E90</f>
        <v>-0.01900000000023283</v>
      </c>
    </row>
    <row r="91" spans="2:7" s="11" customFormat="1" ht="13.5" thickBot="1">
      <c r="B91" s="12">
        <f>SUM(B89:B90)</f>
        <v>883209.53</v>
      </c>
      <c r="C91" s="12">
        <f>SUM(C89:C90)</f>
        <v>12098748.53</v>
      </c>
      <c r="D91" s="13"/>
      <c r="E91" s="12">
        <f>SUM(E89:E90)</f>
        <v>883208.6426899999</v>
      </c>
      <c r="F91" s="14">
        <f>SUM(F89:F90)</f>
        <v>0.8873100001073908</v>
      </c>
      <c r="G91" s="14">
        <f>G87+B91+B134</f>
        <v>1921228.61</v>
      </c>
    </row>
    <row r="93" spans="1:6" ht="12.75">
      <c r="A93" t="s">
        <v>5</v>
      </c>
      <c r="B93" s="1">
        <v>791081.24</v>
      </c>
      <c r="C93" s="1">
        <v>10836722.74</v>
      </c>
      <c r="D93" s="2">
        <v>0.073</v>
      </c>
      <c r="E93" s="1">
        <f>C93*D93</f>
        <v>791080.7600199999</v>
      </c>
      <c r="F93" s="3">
        <f>B93-E93</f>
        <v>0.4799800000619143</v>
      </c>
    </row>
    <row r="94" spans="2:6" s="7" customFormat="1" ht="12.75">
      <c r="B94" s="8">
        <v>-4912.11</v>
      </c>
      <c r="C94" s="8">
        <v>-67289</v>
      </c>
      <c r="D94" s="9">
        <v>0.073</v>
      </c>
      <c r="E94" s="8">
        <f>C94*D94</f>
        <v>-4912.097</v>
      </c>
      <c r="F94" s="10">
        <f>B94-E94</f>
        <v>-0.012999999999919964</v>
      </c>
    </row>
    <row r="95" spans="2:7" s="11" customFormat="1" ht="13.5" thickBot="1">
      <c r="B95" s="12">
        <f>SUM(B93:B94)</f>
        <v>786169.13</v>
      </c>
      <c r="C95" s="12">
        <f>SUM(C93:C94)</f>
        <v>10769433.74</v>
      </c>
      <c r="D95" s="13"/>
      <c r="E95" s="12">
        <f>SUM(E93:E94)</f>
        <v>786168.66302</v>
      </c>
      <c r="F95" s="14">
        <f>SUM(F93:F94)</f>
        <v>0.46698000006199436</v>
      </c>
      <c r="G95" s="14">
        <f>G91+B95</f>
        <v>2707397.74</v>
      </c>
    </row>
    <row r="97" spans="1:6" ht="12.75">
      <c r="A97" t="s">
        <v>6</v>
      </c>
      <c r="B97" s="1">
        <v>921774.39</v>
      </c>
      <c r="C97" s="1">
        <v>12627221.63</v>
      </c>
      <c r="D97" s="2">
        <v>0.073</v>
      </c>
      <c r="E97" s="1">
        <f>C97*D97</f>
        <v>921787.17899</v>
      </c>
      <c r="F97" s="3">
        <f>B97-E97</f>
        <v>-12.788990000030026</v>
      </c>
    </row>
    <row r="98" spans="2:6" s="7" customFormat="1" ht="12.75">
      <c r="B98" s="8">
        <v>-6177.69</v>
      </c>
      <c r="C98" s="8">
        <v>-84626</v>
      </c>
      <c r="D98" s="9">
        <v>0.073</v>
      </c>
      <c r="E98" s="8">
        <f>C98*D98</f>
        <v>-6177.697999999999</v>
      </c>
      <c r="F98" s="10">
        <f>B98-E98</f>
        <v>0.007999999999810825</v>
      </c>
    </row>
    <row r="99" spans="2:7" s="11" customFormat="1" ht="13.5" thickBot="1">
      <c r="B99" s="12">
        <f>SUM(B97:B98)</f>
        <v>915596.7000000001</v>
      </c>
      <c r="C99" s="12">
        <f>SUM(C97:C98)</f>
        <v>12542595.63</v>
      </c>
      <c r="D99" s="13"/>
      <c r="E99" s="12">
        <f>SUM(E97:E98)</f>
        <v>915609.4809900001</v>
      </c>
      <c r="F99" s="14">
        <f>SUM(F97:F98)</f>
        <v>-12.780990000030215</v>
      </c>
      <c r="G99" s="14">
        <f>G95+B99</f>
        <v>3622994.4400000004</v>
      </c>
    </row>
    <row r="101" spans="1:6" ht="12.75">
      <c r="A101" t="s">
        <v>7</v>
      </c>
      <c r="B101" s="1">
        <v>120194.69</v>
      </c>
      <c r="C101" s="1">
        <v>1646501.88</v>
      </c>
      <c r="D101" s="2">
        <v>0.073</v>
      </c>
      <c r="E101" s="1">
        <f>C101*D101</f>
        <v>120194.63723999998</v>
      </c>
      <c r="F101" s="3">
        <f>B101-E101</f>
        <v>0.05276000002049841</v>
      </c>
    </row>
    <row r="102" spans="2:6" s="7" customFormat="1" ht="12.75">
      <c r="B102" s="8">
        <v>-3525.08</v>
      </c>
      <c r="C102" s="8">
        <v>-48288.83</v>
      </c>
      <c r="D102" s="9">
        <v>0.073</v>
      </c>
      <c r="E102" s="8">
        <f>C102*D102</f>
        <v>-3525.08459</v>
      </c>
      <c r="F102" s="10">
        <f>B102-E102</f>
        <v>0.0045900000000074215</v>
      </c>
    </row>
    <row r="103" spans="2:7" s="11" customFormat="1" ht="13.5" thickBot="1">
      <c r="B103" s="12">
        <f>SUM(B101:B102)</f>
        <v>116669.61</v>
      </c>
      <c r="C103" s="12">
        <f>SUM(C101:C102)</f>
        <v>1598213.0499999998</v>
      </c>
      <c r="D103" s="13"/>
      <c r="E103" s="12">
        <f>SUM(E101:E102)</f>
        <v>116669.55264999998</v>
      </c>
      <c r="F103" s="14">
        <f>SUM(F101:F102)</f>
        <v>0.05735000002050583</v>
      </c>
      <c r="G103" s="14">
        <f>G99+B103</f>
        <v>3739664.0500000003</v>
      </c>
    </row>
    <row r="105" spans="1:6" ht="12.75">
      <c r="A105" t="s">
        <v>8</v>
      </c>
      <c r="B105" s="1">
        <v>185673.63</v>
      </c>
      <c r="C105" s="1">
        <v>2543473.14</v>
      </c>
      <c r="D105" s="2">
        <v>0.073</v>
      </c>
      <c r="E105" s="1">
        <f>C105*D105</f>
        <v>185673.53922</v>
      </c>
      <c r="F105" s="3">
        <f>B105-E105</f>
        <v>0.09077999999863096</v>
      </c>
    </row>
    <row r="106" spans="2:6" s="7" customFormat="1" ht="12.75">
      <c r="B106" s="8">
        <v>-5587.45</v>
      </c>
      <c r="C106" s="8">
        <v>-76540.42</v>
      </c>
      <c r="D106" s="9">
        <v>0.073</v>
      </c>
      <c r="E106" s="8">
        <f>C106*D106</f>
        <v>-5587.4506599999995</v>
      </c>
      <c r="F106" s="10">
        <f>B106-E106</f>
        <v>0.0006599999996979022</v>
      </c>
    </row>
    <row r="107" spans="2:7" s="11" customFormat="1" ht="13.5" thickBot="1">
      <c r="B107" s="12">
        <f>SUM(B105:B106)</f>
        <v>180086.18</v>
      </c>
      <c r="C107" s="12">
        <f>SUM(C105:C106)</f>
        <v>2466932.72</v>
      </c>
      <c r="D107" s="13"/>
      <c r="E107" s="12">
        <f>SUM(E105:E106)</f>
        <v>180086.08856</v>
      </c>
      <c r="F107" s="14">
        <f>SUM(F105:F106)</f>
        <v>0.09143999999832886</v>
      </c>
      <c r="G107" s="14">
        <f>G103+B107</f>
        <v>3919750.2300000004</v>
      </c>
    </row>
    <row r="109" spans="1:6" ht="12.75">
      <c r="A109" t="s">
        <v>9</v>
      </c>
      <c r="B109" s="1">
        <v>1667.09</v>
      </c>
      <c r="C109" s="1">
        <v>22837.18</v>
      </c>
      <c r="D109" s="2">
        <v>0.073</v>
      </c>
      <c r="E109" s="1">
        <f>C109*D109</f>
        <v>1667.11414</v>
      </c>
      <c r="F109" s="3">
        <f>B109-E109</f>
        <v>-0.024139999999988504</v>
      </c>
    </row>
    <row r="110" spans="2:6" s="7" customFormat="1" ht="12.75">
      <c r="B110" s="8">
        <v>-595.06</v>
      </c>
      <c r="C110" s="8">
        <v>-8151.74</v>
      </c>
      <c r="D110" s="9">
        <v>0.073</v>
      </c>
      <c r="E110" s="8">
        <f>C110*D110</f>
        <v>-595.07702</v>
      </c>
      <c r="F110" s="10">
        <f>B110-E110</f>
        <v>0.017020000000002256</v>
      </c>
    </row>
    <row r="111" spans="2:7" s="11" customFormat="1" ht="13.5" thickBot="1">
      <c r="B111" s="12">
        <f>SUM(B109:B110)</f>
        <v>1072.03</v>
      </c>
      <c r="C111" s="12">
        <f>SUM(C109:C110)</f>
        <v>14685.44</v>
      </c>
      <c r="D111" s="13"/>
      <c r="E111" s="12">
        <f>SUM(E109:E110)</f>
        <v>1072.03712</v>
      </c>
      <c r="F111" s="14">
        <f>SUM(F109:F110)</f>
        <v>-0.0071199999999862484</v>
      </c>
      <c r="G111" s="14">
        <f>G107+B111</f>
        <v>3920822.2600000002</v>
      </c>
    </row>
    <row r="113" spans="1:6" ht="12.75">
      <c r="A113" t="s">
        <v>10</v>
      </c>
      <c r="B113" s="1">
        <v>245.42</v>
      </c>
      <c r="C113" s="1">
        <v>3361.83</v>
      </c>
      <c r="D113" s="2">
        <v>0.073</v>
      </c>
      <c r="E113" s="1">
        <f>C113*D113</f>
        <v>245.41358999999997</v>
      </c>
      <c r="F113" s="3">
        <f>B113-E113</f>
        <v>0.00641000000001668</v>
      </c>
    </row>
    <row r="114" spans="2:6" s="7" customFormat="1" ht="12.75">
      <c r="B114" s="8">
        <v>-86.32</v>
      </c>
      <c r="C114" s="8">
        <v>-1173.65</v>
      </c>
      <c r="D114" s="9">
        <v>0.073</v>
      </c>
      <c r="E114" s="8">
        <f>C114*D114</f>
        <v>-85.67645</v>
      </c>
      <c r="F114" s="10">
        <f>B114-E114</f>
        <v>-0.6435499999999905</v>
      </c>
    </row>
    <row r="115" spans="2:8" s="11" customFormat="1" ht="13.5" thickBot="1">
      <c r="B115" s="12">
        <f>SUM(B113:B114)</f>
        <v>159.1</v>
      </c>
      <c r="C115" s="12">
        <f>SUM(C113:C114)</f>
        <v>2188.18</v>
      </c>
      <c r="D115" s="13"/>
      <c r="E115" s="12">
        <f>SUM(E113:E114)</f>
        <v>159.73713999999995</v>
      </c>
      <c r="F115" s="14">
        <f>SUM(F113:F114)</f>
        <v>-0.6371399999999738</v>
      </c>
      <c r="G115" s="14">
        <f>G111+B115</f>
        <v>3920981.3600000003</v>
      </c>
      <c r="H115" s="11" t="s">
        <v>23</v>
      </c>
    </row>
    <row r="117" spans="1:6" ht="12.75">
      <c r="A117" t="s">
        <v>11</v>
      </c>
      <c r="D117" s="2">
        <v>0.073</v>
      </c>
      <c r="E117" s="1">
        <f>C117*D117</f>
        <v>0</v>
      </c>
      <c r="F117" s="3">
        <f>B117-E117</f>
        <v>0</v>
      </c>
    </row>
    <row r="118" spans="2:6" s="7" customFormat="1" ht="12.75">
      <c r="B118" s="8"/>
      <c r="C118" s="8"/>
      <c r="D118" s="9">
        <v>0.073</v>
      </c>
      <c r="E118" s="8">
        <f>C118*D118</f>
        <v>0</v>
      </c>
      <c r="F118" s="10">
        <f>B118-E118</f>
        <v>0</v>
      </c>
    </row>
    <row r="119" spans="2:7" s="11" customFormat="1" ht="13.5" thickBot="1">
      <c r="B119" s="12">
        <f>SUM(B117:B118)</f>
        <v>0</v>
      </c>
      <c r="C119" s="12">
        <f>SUM(C117:C118)</f>
        <v>0</v>
      </c>
      <c r="D119" s="13"/>
      <c r="E119" s="12">
        <f>SUM(E117:E118)</f>
        <v>0</v>
      </c>
      <c r="F119" s="14">
        <f>SUM(F117:F118)</f>
        <v>0</v>
      </c>
      <c r="G119" s="14">
        <f>G115+B119</f>
        <v>3920981.3600000003</v>
      </c>
    </row>
    <row r="121" spans="1:6" ht="12.75">
      <c r="A121" t="s">
        <v>12</v>
      </c>
      <c r="D121" s="2">
        <v>0.073</v>
      </c>
      <c r="E121" s="1">
        <f>C121*D121</f>
        <v>0</v>
      </c>
      <c r="F121" s="3">
        <f>B121-E121</f>
        <v>0</v>
      </c>
    </row>
    <row r="122" spans="2:6" s="7" customFormat="1" ht="12.75">
      <c r="B122" s="8"/>
      <c r="C122" s="8"/>
      <c r="D122" s="9">
        <v>0.073</v>
      </c>
      <c r="E122" s="8">
        <f>C122*D122</f>
        <v>0</v>
      </c>
      <c r="F122" s="10">
        <f>B122-E122</f>
        <v>0</v>
      </c>
    </row>
    <row r="123" spans="2:7" s="11" customFormat="1" ht="13.5" thickBot="1">
      <c r="B123" s="12">
        <f>SUM(B121:B122)</f>
        <v>0</v>
      </c>
      <c r="C123" s="12">
        <f>SUM(C121:C122)</f>
        <v>0</v>
      </c>
      <c r="D123" s="13"/>
      <c r="E123" s="12">
        <f>SUM(E121:E122)</f>
        <v>0</v>
      </c>
      <c r="F123" s="14">
        <f>SUM(F121:F122)</f>
        <v>0</v>
      </c>
      <c r="G123" s="14">
        <f>G119+B123</f>
        <v>3920981.3600000003</v>
      </c>
    </row>
    <row r="125" spans="1:6" ht="12.75">
      <c r="A125" t="s">
        <v>13</v>
      </c>
      <c r="D125" s="2">
        <v>0.073</v>
      </c>
      <c r="E125" s="1">
        <f>C125*D125</f>
        <v>0</v>
      </c>
      <c r="F125" s="3">
        <f>B125-E125</f>
        <v>0</v>
      </c>
    </row>
    <row r="126" spans="2:6" s="7" customFormat="1" ht="12.75">
      <c r="B126" s="8"/>
      <c r="C126" s="8"/>
      <c r="D126" s="9">
        <v>0.073</v>
      </c>
      <c r="E126" s="8">
        <f>C126*D126</f>
        <v>0</v>
      </c>
      <c r="F126" s="10">
        <f>B126-E126</f>
        <v>0</v>
      </c>
    </row>
    <row r="127" spans="2:7" s="11" customFormat="1" ht="13.5" thickBot="1">
      <c r="B127" s="12">
        <f>SUM(B125:B126)</f>
        <v>0</v>
      </c>
      <c r="C127" s="12">
        <f>SUM(C125:C126)</f>
        <v>0</v>
      </c>
      <c r="D127" s="13"/>
      <c r="E127" s="12">
        <f>SUM(E125:E126)</f>
        <v>0</v>
      </c>
      <c r="F127" s="14">
        <f>SUM(F125:F126)</f>
        <v>0</v>
      </c>
      <c r="G127" s="14">
        <f>G123+B127</f>
        <v>3920981.3600000003</v>
      </c>
    </row>
    <row r="129" spans="1:6" ht="12.75">
      <c r="A129" t="s">
        <v>14</v>
      </c>
      <c r="D129" s="2">
        <v>0.073</v>
      </c>
      <c r="E129" s="1">
        <f>C129*D129</f>
        <v>0</v>
      </c>
      <c r="F129" s="3">
        <f>B129-E129</f>
        <v>0</v>
      </c>
    </row>
    <row r="130" spans="2:6" s="7" customFormat="1" ht="12.75">
      <c r="B130" s="8"/>
      <c r="C130" s="8"/>
      <c r="D130" s="9">
        <v>0.073</v>
      </c>
      <c r="E130" s="8">
        <f>C130*D130</f>
        <v>0</v>
      </c>
      <c r="F130" s="10">
        <f>B130-E130</f>
        <v>0</v>
      </c>
    </row>
    <row r="131" spans="2:7" s="11" customFormat="1" ht="13.5" thickBot="1">
      <c r="B131" s="12">
        <f>SUM(B129:B130)</f>
        <v>0</v>
      </c>
      <c r="C131" s="12">
        <f>SUM(C129:C130)</f>
        <v>0</v>
      </c>
      <c r="D131" s="13"/>
      <c r="E131" s="12">
        <f>SUM(E129:E130)</f>
        <v>0</v>
      </c>
      <c r="F131" s="14">
        <f>SUM(F129:F130)</f>
        <v>0</v>
      </c>
      <c r="G131" s="14">
        <f>G127+B131</f>
        <v>3920981.3600000003</v>
      </c>
    </row>
    <row r="133" ht="12.75">
      <c r="A133" t="s">
        <v>21</v>
      </c>
    </row>
    <row r="134" spans="1:8" ht="12.75">
      <c r="A134" t="s">
        <v>26</v>
      </c>
      <c r="B134" s="1">
        <v>-1138.28</v>
      </c>
      <c r="H134" t="s">
        <v>27</v>
      </c>
    </row>
  </sheetData>
  <sheetProtection/>
  <printOptions/>
  <pageMargins left="0.75" right="0.75" top="1" bottom="1" header="0.5" footer="0.5"/>
  <pageSetup horizontalDpi="300" verticalDpi="300" orientation="portrait" scale="61" r:id="rId1"/>
  <rowBreaks count="1" manualBreakCount="1">
    <brk id="7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2"/>
  <sheetViews>
    <sheetView zoomScale="75" zoomScaleNormal="75" zoomScalePageLayoutView="0" workbookViewId="0" topLeftCell="A1">
      <selection activeCell="E26" sqref="E26"/>
    </sheetView>
  </sheetViews>
  <sheetFormatPr defaultColWidth="9.140625" defaultRowHeight="12.75"/>
  <cols>
    <col min="2" max="2" width="14.140625" style="1" bestFit="1" customWidth="1"/>
    <col min="3" max="3" width="14.57421875" style="1" bestFit="1" customWidth="1"/>
    <col min="4" max="4" width="14.00390625" style="1" customWidth="1"/>
    <col min="5" max="5" width="12.00390625" style="1" bestFit="1" customWidth="1"/>
    <col min="6" max="6" width="9.421875" style="0" bestFit="1" customWidth="1"/>
    <col min="7" max="7" width="13.421875" style="1" bestFit="1" customWidth="1"/>
    <col min="8" max="8" width="11.8515625" style="1" bestFit="1" customWidth="1"/>
    <col min="9" max="9" width="14.140625" style="1" bestFit="1" customWidth="1"/>
    <col min="11" max="11" width="11.28125" style="0" bestFit="1" customWidth="1"/>
  </cols>
  <sheetData>
    <row r="1" spans="1:6" ht="12.75">
      <c r="A1" t="s">
        <v>28</v>
      </c>
      <c r="F1" s="2"/>
    </row>
    <row r="2" spans="1:6" ht="12.75">
      <c r="A2" t="s">
        <v>29</v>
      </c>
      <c r="F2" s="2"/>
    </row>
    <row r="3" spans="1:6" ht="12.75">
      <c r="A3" t="s">
        <v>30</v>
      </c>
      <c r="F3" s="2"/>
    </row>
    <row r="4" ht="12.75">
      <c r="F4" s="2"/>
    </row>
    <row r="5" spans="2:11" s="4" customFormat="1" ht="25.5">
      <c r="B5" s="5" t="s">
        <v>15</v>
      </c>
      <c r="C5" s="5" t="s">
        <v>16</v>
      </c>
      <c r="D5" s="5" t="s">
        <v>36</v>
      </c>
      <c r="E5" s="5" t="s">
        <v>35</v>
      </c>
      <c r="F5" s="6" t="s">
        <v>17</v>
      </c>
      <c r="G5" s="5" t="s">
        <v>18</v>
      </c>
      <c r="H5" s="5" t="s">
        <v>19</v>
      </c>
      <c r="I5" s="5" t="s">
        <v>22</v>
      </c>
      <c r="K5" s="4" t="s">
        <v>163</v>
      </c>
    </row>
    <row r="6" ht="12.75">
      <c r="F6" s="2"/>
    </row>
    <row r="7" spans="1:8" ht="12.75">
      <c r="A7" t="s">
        <v>3</v>
      </c>
      <c r="B7" s="1">
        <v>138288.32</v>
      </c>
      <c r="E7" s="1">
        <v>81441.76</v>
      </c>
      <c r="F7" s="2">
        <v>1.698</v>
      </c>
      <c r="G7" s="1">
        <f>E7*F7</f>
        <v>138288.10848</v>
      </c>
      <c r="H7" s="1">
        <f>B7-G7</f>
        <v>0.21152000001166016</v>
      </c>
    </row>
    <row r="8" spans="2:9" s="7" customFormat="1" ht="12.75">
      <c r="B8" s="8">
        <v>-179.99</v>
      </c>
      <c r="C8" s="8"/>
      <c r="D8" s="8"/>
      <c r="E8" s="8">
        <v>-106</v>
      </c>
      <c r="F8" s="9">
        <v>1.698</v>
      </c>
      <c r="G8" s="8">
        <f>E8*F8</f>
        <v>-179.988</v>
      </c>
      <c r="H8" s="8">
        <f>B8-G8</f>
        <v>-0.0020000000000095497</v>
      </c>
      <c r="I8" s="8"/>
    </row>
    <row r="9" spans="2:9" s="15" customFormat="1" ht="13.5" thickBot="1">
      <c r="B9" s="16">
        <f>SUM(B7:B8)</f>
        <v>138108.33000000002</v>
      </c>
      <c r="C9" s="16"/>
      <c r="D9" s="16"/>
      <c r="E9" s="16">
        <f>SUM(E7:E8)</f>
        <v>81335.76</v>
      </c>
      <c r="G9" s="16">
        <f>SUM(G7:G8)</f>
        <v>138108.12047999998</v>
      </c>
      <c r="H9" s="16">
        <f>SUM(H7:H8)</f>
        <v>0.2095200000116506</v>
      </c>
      <c r="I9" s="16">
        <f>B9</f>
        <v>138108.33000000002</v>
      </c>
    </row>
    <row r="11" spans="1:8" ht="12.75">
      <c r="A11" t="s">
        <v>4</v>
      </c>
      <c r="B11" s="1">
        <v>111576.66</v>
      </c>
      <c r="E11" s="1">
        <v>65710.62</v>
      </c>
      <c r="F11" s="2">
        <v>1.698</v>
      </c>
      <c r="G11" s="1">
        <f>E11*F11</f>
        <v>111576.63276</v>
      </c>
      <c r="H11" s="1">
        <f>B11-G11</f>
        <v>0.02724000001035165</v>
      </c>
    </row>
    <row r="12" spans="2:9" s="7" customFormat="1" ht="12.75">
      <c r="B12" s="8">
        <v>-286.88</v>
      </c>
      <c r="C12" s="8"/>
      <c r="D12" s="8"/>
      <c r="E12" s="8">
        <v>-168.96</v>
      </c>
      <c r="F12" s="9">
        <v>1.698</v>
      </c>
      <c r="G12" s="8">
        <f>E12*F12</f>
        <v>-286.89408000000003</v>
      </c>
      <c r="H12" s="8">
        <f>B12-G12</f>
        <v>0.014080000000035398</v>
      </c>
      <c r="I12" s="8"/>
    </row>
    <row r="13" spans="2:9" s="15" customFormat="1" ht="13.5" thickBot="1">
      <c r="B13" s="16">
        <f>SUM(B11:B12)</f>
        <v>111289.78</v>
      </c>
      <c r="C13" s="16"/>
      <c r="D13" s="16"/>
      <c r="E13" s="16">
        <f>SUM(E11:E12)</f>
        <v>65541.65999999999</v>
      </c>
      <c r="G13" s="16">
        <f>SUM(G11:G12)</f>
        <v>111289.73868</v>
      </c>
      <c r="H13" s="16">
        <f>SUM(H11:H12)</f>
        <v>0.04132000001038705</v>
      </c>
      <c r="I13" s="16">
        <f>I9+B13</f>
        <v>249398.11000000002</v>
      </c>
    </row>
    <row r="15" spans="1:8" ht="12.75">
      <c r="A15" t="s">
        <v>5</v>
      </c>
      <c r="B15" s="1">
        <v>65564.63</v>
      </c>
      <c r="E15" s="1">
        <v>38612.84</v>
      </c>
      <c r="F15" s="2">
        <v>1.698</v>
      </c>
      <c r="G15" s="1">
        <f>E15*F15</f>
        <v>65564.60231999999</v>
      </c>
      <c r="H15" s="1">
        <f>B15-G15</f>
        <v>0.02768000001378823</v>
      </c>
    </row>
    <row r="16" spans="2:11" ht="12.75">
      <c r="B16" s="1">
        <v>99114.29</v>
      </c>
      <c r="E16" s="1">
        <v>37558.96</v>
      </c>
      <c r="F16" s="2">
        <v>2.6389</v>
      </c>
      <c r="G16" s="1">
        <f>E16*F16</f>
        <v>99114.339544</v>
      </c>
      <c r="H16" s="1">
        <f>B16-G16</f>
        <v>-0.049544000008609146</v>
      </c>
      <c r="K16" s="3">
        <f>E16</f>
        <v>37558.96</v>
      </c>
    </row>
    <row r="17" spans="2:9" s="7" customFormat="1" ht="12.75">
      <c r="B17" s="8">
        <v>-11121.25</v>
      </c>
      <c r="C17" s="8"/>
      <c r="D17" s="8"/>
      <c r="E17" s="8">
        <v>-6549.62</v>
      </c>
      <c r="F17" s="9">
        <v>1.698</v>
      </c>
      <c r="G17" s="8">
        <f>E17*F17</f>
        <v>-11121.25476</v>
      </c>
      <c r="H17" s="8">
        <f>B17-G17</f>
        <v>0.004759999999805586</v>
      </c>
      <c r="I17" s="8"/>
    </row>
    <row r="18" spans="2:9" s="15" customFormat="1" ht="13.5" thickBot="1">
      <c r="B18" s="16">
        <f>SUM(B15:B17)</f>
        <v>153557.66999999998</v>
      </c>
      <c r="C18" s="16"/>
      <c r="D18" s="16"/>
      <c r="E18" s="16">
        <f>SUM(E15:E17)</f>
        <v>69622.18</v>
      </c>
      <c r="G18" s="16">
        <f>SUM(G15:G17)</f>
        <v>153557.68710399998</v>
      </c>
      <c r="H18" s="16">
        <f>SUM(H15:H17)</f>
        <v>-0.01710399999501533</v>
      </c>
      <c r="I18" s="16">
        <f>I13+B18</f>
        <v>402955.78</v>
      </c>
    </row>
    <row r="20" spans="1:8" ht="12.75">
      <c r="A20" t="s">
        <v>6</v>
      </c>
      <c r="B20" s="1">
        <v>1215.75</v>
      </c>
      <c r="E20" s="1">
        <v>715.98</v>
      </c>
      <c r="F20" s="2">
        <v>1.698</v>
      </c>
      <c r="G20" s="1">
        <f>E20*F20</f>
        <v>1215.73404</v>
      </c>
      <c r="H20" s="1">
        <f>B20-G20</f>
        <v>0.015959999999950014</v>
      </c>
    </row>
    <row r="21" spans="2:8" ht="12.75">
      <c r="B21" s="1">
        <v>-5007.88</v>
      </c>
      <c r="E21" s="1">
        <v>-2949.29</v>
      </c>
      <c r="F21" s="2">
        <v>1.698</v>
      </c>
      <c r="G21" s="1">
        <f>E21*F21</f>
        <v>-5007.89442</v>
      </c>
      <c r="H21" s="1">
        <f>B21-G21</f>
        <v>0.01441999999951804</v>
      </c>
    </row>
    <row r="22" spans="2:11" ht="12.75">
      <c r="B22" s="1">
        <v>206997.76</v>
      </c>
      <c r="E22" s="1">
        <v>78440.98</v>
      </c>
      <c r="F22" s="2">
        <v>2.6389</v>
      </c>
      <c r="G22" s="1">
        <f>E22*F22</f>
        <v>206997.902122</v>
      </c>
      <c r="H22" s="1">
        <f>B22-G22</f>
        <v>-0.14212199999019504</v>
      </c>
      <c r="K22" s="3">
        <f>E22</f>
        <v>78440.98</v>
      </c>
    </row>
    <row r="23" spans="2:11" s="7" customFormat="1" ht="12.75">
      <c r="B23" s="8">
        <v>-229.9</v>
      </c>
      <c r="C23" s="8"/>
      <c r="D23" s="8"/>
      <c r="E23" s="8">
        <v>-87.12</v>
      </c>
      <c r="F23" s="9">
        <v>2.6389</v>
      </c>
      <c r="G23" s="8">
        <f>E23*F23</f>
        <v>-229.900968</v>
      </c>
      <c r="H23" s="8">
        <f>B23-G23</f>
        <v>0.000968000000000302</v>
      </c>
      <c r="I23" s="8"/>
      <c r="K23" s="3">
        <f>E23</f>
        <v>-87.12</v>
      </c>
    </row>
    <row r="24" spans="2:9" s="15" customFormat="1" ht="13.5" thickBot="1">
      <c r="B24" s="16">
        <f>SUM(B20:B23)</f>
        <v>202975.73</v>
      </c>
      <c r="C24" s="16"/>
      <c r="D24" s="16"/>
      <c r="E24" s="16">
        <f>SUM(E20:E23)</f>
        <v>76120.55</v>
      </c>
      <c r="G24" s="16">
        <f>SUM(G20:G23)</f>
        <v>202975.840774</v>
      </c>
      <c r="H24" s="16">
        <f>SUM(H20:H23)</f>
        <v>-0.11077399999072668</v>
      </c>
      <c r="I24" s="16">
        <f>I18+B24</f>
        <v>605931.51</v>
      </c>
    </row>
    <row r="26" spans="1:11" ht="12.75">
      <c r="A26" t="s">
        <v>7</v>
      </c>
      <c r="B26" s="1">
        <v>103401.83</v>
      </c>
      <c r="E26" s="1">
        <v>39183.7</v>
      </c>
      <c r="F26" s="2">
        <v>2.6389</v>
      </c>
      <c r="G26" s="1">
        <f>E26*F26</f>
        <v>103401.86593</v>
      </c>
      <c r="H26" s="1">
        <f>B26-G26</f>
        <v>-0.03592999999818858</v>
      </c>
      <c r="K26" s="3">
        <f>E26</f>
        <v>39183.7</v>
      </c>
    </row>
    <row r="27" spans="2:11" s="7" customFormat="1" ht="12.75">
      <c r="B27" s="8">
        <v>-2394.46</v>
      </c>
      <c r="C27" s="8"/>
      <c r="D27" s="8"/>
      <c r="E27" s="8">
        <v>-907.37</v>
      </c>
      <c r="F27" s="9">
        <v>2.6389</v>
      </c>
      <c r="G27" s="8">
        <f>E27*F27</f>
        <v>-2394.458693</v>
      </c>
      <c r="H27" s="8">
        <f>B27-G27</f>
        <v>-0.0013069999999970605</v>
      </c>
      <c r="I27" s="8"/>
      <c r="K27" s="3">
        <f>E27</f>
        <v>-907.37</v>
      </c>
    </row>
    <row r="28" spans="2:9" s="15" customFormat="1" ht="13.5" thickBot="1">
      <c r="B28" s="16">
        <f>SUM(B26:B27)</f>
        <v>101007.37</v>
      </c>
      <c r="C28" s="16"/>
      <c r="D28" s="16"/>
      <c r="E28" s="16">
        <f>SUM(E26:E27)</f>
        <v>38276.329999999994</v>
      </c>
      <c r="G28" s="16">
        <f>SUM(G26:G27)</f>
        <v>101007.407237</v>
      </c>
      <c r="H28" s="16">
        <f>SUM(H26:H27)</f>
        <v>-0.03723699999818564</v>
      </c>
      <c r="I28" s="16">
        <f>I24+B28</f>
        <v>706938.88</v>
      </c>
    </row>
    <row r="30" spans="1:11" ht="12.75">
      <c r="A30" t="s">
        <v>8</v>
      </c>
      <c r="B30" s="1">
        <v>209890.1</v>
      </c>
      <c r="E30" s="1">
        <v>79536.96</v>
      </c>
      <c r="F30" s="2">
        <v>2.6389</v>
      </c>
      <c r="G30" s="1">
        <f>E30*F30</f>
        <v>209890.08374400003</v>
      </c>
      <c r="H30" s="1">
        <f>B30-G30</f>
        <v>0.01625599997350946</v>
      </c>
      <c r="K30" s="3">
        <f>E30</f>
        <v>79536.96</v>
      </c>
    </row>
    <row r="31" spans="2:11" s="7" customFormat="1" ht="12.75">
      <c r="B31" s="8">
        <v>-1625.77</v>
      </c>
      <c r="C31" s="8"/>
      <c r="D31" s="8"/>
      <c r="E31" s="8">
        <v>-616.08</v>
      </c>
      <c r="F31" s="9">
        <v>2.6389</v>
      </c>
      <c r="G31" s="8">
        <f>E31*F31</f>
        <v>-1625.7735120000002</v>
      </c>
      <c r="H31" s="8">
        <f>B31-G31</f>
        <v>0.0035120000002279994</v>
      </c>
      <c r="I31" s="8"/>
      <c r="K31" s="3">
        <f>E31</f>
        <v>-616.08</v>
      </c>
    </row>
    <row r="32" spans="2:9" s="15" customFormat="1" ht="13.5" thickBot="1">
      <c r="B32" s="16">
        <f>SUM(B30:B31)</f>
        <v>208264.33000000002</v>
      </c>
      <c r="C32" s="16"/>
      <c r="D32" s="16"/>
      <c r="E32" s="16">
        <f>SUM(E30:E31)</f>
        <v>78920.88</v>
      </c>
      <c r="G32" s="16">
        <f>SUM(G30:G31)</f>
        <v>208264.31023200002</v>
      </c>
      <c r="H32" s="16">
        <f>SUM(H30:H31)</f>
        <v>0.01976799997373746</v>
      </c>
      <c r="I32" s="16">
        <f>I28+B32</f>
        <v>915203.21</v>
      </c>
    </row>
    <row r="34" spans="1:11" ht="12.75">
      <c r="A34" t="s">
        <v>9</v>
      </c>
      <c r="B34" s="1">
        <v>214209.13</v>
      </c>
      <c r="E34" s="1">
        <v>81173.73</v>
      </c>
      <c r="F34" s="2">
        <v>2.6389</v>
      </c>
      <c r="G34" s="1">
        <f>E34*F34</f>
        <v>214209.35609699998</v>
      </c>
      <c r="H34" s="1">
        <f>B34-G34</f>
        <v>-0.22609699997701682</v>
      </c>
      <c r="K34" s="3">
        <f>E34</f>
        <v>81173.73</v>
      </c>
    </row>
    <row r="35" spans="2:11" s="7" customFormat="1" ht="12.75">
      <c r="B35" s="8">
        <v>-145.14</v>
      </c>
      <c r="C35" s="8"/>
      <c r="D35" s="8"/>
      <c r="E35" s="8">
        <v>-55</v>
      </c>
      <c r="F35" s="9">
        <v>2.6389</v>
      </c>
      <c r="G35" s="8">
        <f>E35*F35</f>
        <v>-145.1395</v>
      </c>
      <c r="H35" s="8">
        <f>B35-G35</f>
        <v>-0.0004999999999881766</v>
      </c>
      <c r="I35" s="8"/>
      <c r="K35" s="3">
        <f>E35</f>
        <v>-55</v>
      </c>
    </row>
    <row r="36" spans="2:9" s="15" customFormat="1" ht="13.5" thickBot="1">
      <c r="B36" s="16">
        <f>SUM(B34:B35)</f>
        <v>214063.99</v>
      </c>
      <c r="C36" s="16"/>
      <c r="D36" s="16"/>
      <c r="E36" s="16">
        <f>SUM(E34:E35)</f>
        <v>81118.73</v>
      </c>
      <c r="G36" s="16">
        <f>SUM(G34:G35)</f>
        <v>214064.216597</v>
      </c>
      <c r="H36" s="16">
        <f>SUM(H34:H35)</f>
        <v>-0.226596999977005</v>
      </c>
      <c r="I36" s="16">
        <f>I32+B36</f>
        <v>1129267.2</v>
      </c>
    </row>
    <row r="38" spans="1:11" ht="12.75">
      <c r="A38" t="s">
        <v>10</v>
      </c>
      <c r="B38" s="1">
        <v>223259.52</v>
      </c>
      <c r="E38" s="1">
        <v>84603.34</v>
      </c>
      <c r="F38" s="2">
        <v>2.6389</v>
      </c>
      <c r="G38" s="1">
        <f>E38*F38</f>
        <v>223259.753926</v>
      </c>
      <c r="H38" s="1">
        <f>B38-G38</f>
        <v>-0.23392600001534447</v>
      </c>
      <c r="K38" s="3">
        <f>E38</f>
        <v>84603.34</v>
      </c>
    </row>
    <row r="39" spans="2:11" s="7" customFormat="1" ht="12.75">
      <c r="B39" s="8">
        <v>-6150.47</v>
      </c>
      <c r="C39" s="8"/>
      <c r="D39" s="8"/>
      <c r="E39" s="8">
        <v>-2330.69</v>
      </c>
      <c r="F39" s="9">
        <v>2.6389</v>
      </c>
      <c r="G39" s="8">
        <f>E39*F39</f>
        <v>-6150.457841</v>
      </c>
      <c r="H39" s="8">
        <f>B39-G39</f>
        <v>-0.012158999999883235</v>
      </c>
      <c r="I39" s="8"/>
      <c r="K39" s="3">
        <f>E39</f>
        <v>-2330.69</v>
      </c>
    </row>
    <row r="40" spans="2:9" s="15" customFormat="1" ht="13.5" thickBot="1">
      <c r="B40" s="16">
        <f>SUM(B38:B39)</f>
        <v>217109.05</v>
      </c>
      <c r="C40" s="16"/>
      <c r="D40" s="16"/>
      <c r="E40" s="16">
        <f>SUM(E38:E39)</f>
        <v>82272.65</v>
      </c>
      <c r="G40" s="16">
        <f>SUM(G38:G39)</f>
        <v>217109.296085</v>
      </c>
      <c r="H40" s="16">
        <f>SUM(H38:H39)</f>
        <v>-0.2460850000152277</v>
      </c>
      <c r="I40" s="16">
        <f>I36+B40</f>
        <v>1346376.25</v>
      </c>
    </row>
    <row r="42" spans="1:11" ht="12.75">
      <c r="A42" t="s">
        <v>11</v>
      </c>
      <c r="B42" s="1">
        <v>210648.86</v>
      </c>
      <c r="E42" s="1">
        <v>79824.57</v>
      </c>
      <c r="F42" s="2">
        <v>2.6389</v>
      </c>
      <c r="G42" s="1">
        <f>E42*F42</f>
        <v>210649.057773</v>
      </c>
      <c r="H42" s="1">
        <f>B42-G42</f>
        <v>-0.19777300002169795</v>
      </c>
      <c r="K42" s="3">
        <f>E42</f>
        <v>79824.57</v>
      </c>
    </row>
    <row r="43" spans="2:11" s="7" customFormat="1" ht="12.75">
      <c r="B43" s="8">
        <v>-536.09</v>
      </c>
      <c r="C43" s="8"/>
      <c r="D43" s="8"/>
      <c r="E43" s="8">
        <v>-203.15</v>
      </c>
      <c r="F43" s="9">
        <v>2.6389</v>
      </c>
      <c r="G43" s="8">
        <f>E43*F43</f>
        <v>-536.092535</v>
      </c>
      <c r="H43" s="8">
        <f>B43-G43</f>
        <v>0.002534999999966203</v>
      </c>
      <c r="I43" s="8"/>
      <c r="K43" s="3">
        <f>E43</f>
        <v>-203.15</v>
      </c>
    </row>
    <row r="44" spans="2:9" s="15" customFormat="1" ht="13.5" thickBot="1">
      <c r="B44" s="16">
        <f>SUM(B42:B43)</f>
        <v>210112.77</v>
      </c>
      <c r="C44" s="16"/>
      <c r="D44" s="16"/>
      <c r="E44" s="16">
        <f>SUM(E42:E43)</f>
        <v>79621.42000000001</v>
      </c>
      <c r="G44" s="16">
        <f>SUM(G42:G43)</f>
        <v>210112.965238</v>
      </c>
      <c r="H44" s="16">
        <f>SUM(H42:H43)</f>
        <v>-0.19523800002173175</v>
      </c>
      <c r="I44" s="16">
        <f>I40+B44</f>
        <v>1556489.02</v>
      </c>
    </row>
    <row r="46" spans="1:11" ht="12.75">
      <c r="A46" t="s">
        <v>12</v>
      </c>
      <c r="B46" s="1">
        <v>237854.01</v>
      </c>
      <c r="E46" s="1">
        <v>90133.82</v>
      </c>
      <c r="F46" s="2">
        <v>2.6389</v>
      </c>
      <c r="G46" s="1">
        <f>E46*F46</f>
        <v>237854.13759800003</v>
      </c>
      <c r="H46" s="1">
        <f>B46-G46</f>
        <v>-0.1275980000209529</v>
      </c>
      <c r="K46" s="3">
        <f>E46</f>
        <v>90133.82</v>
      </c>
    </row>
    <row r="47" spans="2:11" s="7" customFormat="1" ht="12.75">
      <c r="B47" s="8">
        <v>-4648.68</v>
      </c>
      <c r="C47" s="8"/>
      <c r="D47" s="8"/>
      <c r="E47" s="8">
        <v>-1761.6</v>
      </c>
      <c r="F47" s="9">
        <v>2.6389</v>
      </c>
      <c r="G47" s="8">
        <f>E47*F47</f>
        <v>-4648.68624</v>
      </c>
      <c r="H47" s="8">
        <f>B47-G47</f>
        <v>0.006239999999706924</v>
      </c>
      <c r="I47" s="8"/>
      <c r="K47" s="3">
        <f>E47</f>
        <v>-1761.6</v>
      </c>
    </row>
    <row r="48" spans="2:9" s="15" customFormat="1" ht="13.5" thickBot="1">
      <c r="B48" s="16">
        <f>SUM(B46:B47)</f>
        <v>233205.33000000002</v>
      </c>
      <c r="C48" s="16"/>
      <c r="D48" s="16"/>
      <c r="E48" s="16">
        <f>SUM(E46:E47)</f>
        <v>88372.22</v>
      </c>
      <c r="G48" s="16">
        <f>SUM(G46:G47)</f>
        <v>233205.45135800002</v>
      </c>
      <c r="H48" s="16">
        <f>SUM(H46:H47)</f>
        <v>-0.12135800002124597</v>
      </c>
      <c r="I48" s="16">
        <f>I44+B48</f>
        <v>1789694.35</v>
      </c>
    </row>
    <row r="50" spans="1:11" ht="12.75">
      <c r="A50" t="s">
        <v>13</v>
      </c>
      <c r="B50" s="1">
        <v>220593.48</v>
      </c>
      <c r="E50" s="1">
        <v>83593.07</v>
      </c>
      <c r="F50" s="2">
        <v>2.6389</v>
      </c>
      <c r="G50" s="1">
        <f>E50*F50</f>
        <v>220593.75242300003</v>
      </c>
      <c r="H50" s="1">
        <f>B50-G50</f>
        <v>-0.2724230000167154</v>
      </c>
      <c r="K50" s="3">
        <f>E50</f>
        <v>83593.07</v>
      </c>
    </row>
    <row r="51" spans="2:11" s="7" customFormat="1" ht="12.75">
      <c r="B51" s="8">
        <v>-6166.65</v>
      </c>
      <c r="C51" s="8"/>
      <c r="D51" s="8"/>
      <c r="E51" s="8">
        <v>-2336.83</v>
      </c>
      <c r="F51" s="9">
        <v>2.6389</v>
      </c>
      <c r="G51" s="8">
        <f>E51*F51</f>
        <v>-6166.660687</v>
      </c>
      <c r="H51" s="8">
        <f>B51-G51</f>
        <v>0.0106869999999617</v>
      </c>
      <c r="I51" s="8"/>
      <c r="K51" s="3">
        <f>E51</f>
        <v>-2336.83</v>
      </c>
    </row>
    <row r="52" spans="2:9" s="15" customFormat="1" ht="13.5" thickBot="1">
      <c r="B52" s="16">
        <f>SUM(B50:B51)</f>
        <v>214426.83000000002</v>
      </c>
      <c r="C52" s="16"/>
      <c r="D52" s="16"/>
      <c r="E52" s="16">
        <f>SUM(E50:E51)</f>
        <v>81256.24</v>
      </c>
      <c r="G52" s="16">
        <f>SUM(G50:G51)</f>
        <v>214427.09173600003</v>
      </c>
      <c r="H52" s="16">
        <f>SUM(H50:H51)</f>
        <v>-0.2617360000167537</v>
      </c>
      <c r="I52" s="16">
        <f>I48+B52</f>
        <v>2004121.1800000002</v>
      </c>
    </row>
    <row r="54" spans="1:11" ht="12.75">
      <c r="A54" t="s">
        <v>14</v>
      </c>
      <c r="B54" s="1">
        <v>212507.51</v>
      </c>
      <c r="E54" s="1">
        <v>80528.87</v>
      </c>
      <c r="F54" s="2">
        <v>2.6389</v>
      </c>
      <c r="G54" s="1">
        <f>E54*F54</f>
        <v>212507.635043</v>
      </c>
      <c r="H54" s="1">
        <f>B54-G54</f>
        <v>-0.12504299997817725</v>
      </c>
      <c r="K54" s="3">
        <f>E54</f>
        <v>80528.87</v>
      </c>
    </row>
    <row r="55" spans="2:11" s="7" customFormat="1" ht="12.75">
      <c r="B55" s="8"/>
      <c r="C55" s="8"/>
      <c r="D55" s="8"/>
      <c r="E55" s="8"/>
      <c r="F55" s="9">
        <v>2.6389</v>
      </c>
      <c r="G55" s="8">
        <f>E55*F55</f>
        <v>0</v>
      </c>
      <c r="H55" s="8">
        <f>B55-G55</f>
        <v>0</v>
      </c>
      <c r="I55" s="8"/>
      <c r="K55" s="3">
        <f>E55</f>
        <v>0</v>
      </c>
    </row>
    <row r="56" spans="2:9" s="15" customFormat="1" ht="13.5" thickBot="1">
      <c r="B56" s="16">
        <f>SUM(B54:B55)</f>
        <v>212507.51</v>
      </c>
      <c r="C56" s="16"/>
      <c r="D56" s="16"/>
      <c r="E56" s="16">
        <f>SUM(E54:E55)</f>
        <v>80528.87</v>
      </c>
      <c r="G56" s="16">
        <f>SUM(G54:G55)</f>
        <v>212507.635043</v>
      </c>
      <c r="H56" s="16">
        <f>SUM(H54:H55)</f>
        <v>-0.12504299997817725</v>
      </c>
      <c r="I56" s="16">
        <f>I52+B56</f>
        <v>2216628.6900000004</v>
      </c>
    </row>
    <row r="58" spans="9:12" ht="12.75">
      <c r="I58" s="1">
        <v>2216628.69</v>
      </c>
      <c r="K58" s="3">
        <f>SUM(K16:K56)</f>
        <v>726280.1600000001</v>
      </c>
      <c r="L58" t="s">
        <v>135</v>
      </c>
    </row>
    <row r="59" spans="9:11" ht="12.75">
      <c r="I59" s="1">
        <f>I56-I58</f>
        <v>0</v>
      </c>
      <c r="K59">
        <v>0.195271</v>
      </c>
    </row>
    <row r="60" spans="11:12" ht="12.75">
      <c r="K60" s="3">
        <f>K58*K59</f>
        <v>141821.45312336003</v>
      </c>
      <c r="L60" t="s">
        <v>136</v>
      </c>
    </row>
    <row r="63" spans="1:6" ht="12.75">
      <c r="A63" t="s">
        <v>31</v>
      </c>
      <c r="F63" s="2"/>
    </row>
    <row r="64" spans="1:6" ht="12.75">
      <c r="A64" t="s">
        <v>33</v>
      </c>
      <c r="F64" s="2"/>
    </row>
    <row r="65" spans="1:6" ht="12.75">
      <c r="A65" t="s">
        <v>34</v>
      </c>
      <c r="F65" s="2"/>
    </row>
    <row r="66" ht="12.75">
      <c r="F66" s="2"/>
    </row>
    <row r="67" spans="2:9" s="4" customFormat="1" ht="25.5">
      <c r="B67" s="5" t="s">
        <v>15</v>
      </c>
      <c r="C67" s="5" t="s">
        <v>16</v>
      </c>
      <c r="D67" s="5" t="s">
        <v>36</v>
      </c>
      <c r="E67" s="5" t="s">
        <v>35</v>
      </c>
      <c r="F67" s="6" t="s">
        <v>17</v>
      </c>
      <c r="G67" s="5" t="s">
        <v>18</v>
      </c>
      <c r="H67" s="5" t="s">
        <v>19</v>
      </c>
      <c r="I67" s="5" t="s">
        <v>22</v>
      </c>
    </row>
    <row r="68" ht="12.75">
      <c r="F68" s="2"/>
    </row>
    <row r="69" spans="1:8" ht="12.75">
      <c r="A69" t="s">
        <v>3</v>
      </c>
      <c r="B69" s="1">
        <v>635251.66</v>
      </c>
      <c r="E69" s="1">
        <v>79014.32</v>
      </c>
      <c r="F69" s="2">
        <v>8.0397</v>
      </c>
      <c r="G69" s="1">
        <f>(C69+E69)*F69</f>
        <v>635251.4285040001</v>
      </c>
      <c r="H69" s="1">
        <f>B69-G69</f>
        <v>0.2314959999639541</v>
      </c>
    </row>
    <row r="70" spans="2:8" ht="12.75">
      <c r="B70" s="1">
        <v>1799396.01</v>
      </c>
      <c r="C70" s="1">
        <v>34872014.65</v>
      </c>
      <c r="F70" s="2">
        <v>0.0516</v>
      </c>
      <c r="G70" s="1">
        <f>(C70+E70)*F70</f>
        <v>1799395.95594</v>
      </c>
      <c r="H70" s="1">
        <f>B70-G70</f>
        <v>0.054059999994933605</v>
      </c>
    </row>
    <row r="71" spans="2:8" ht="12.75">
      <c r="B71" s="1">
        <v>19515.94</v>
      </c>
      <c r="E71" s="1">
        <v>2427.45</v>
      </c>
      <c r="F71" s="2">
        <f>F69</f>
        <v>8.0397</v>
      </c>
      <c r="G71" s="1">
        <f>(C71+E71)*F71</f>
        <v>19515.969764999998</v>
      </c>
      <c r="H71" s="1">
        <f>B71-G71</f>
        <v>-0.029764999999315478</v>
      </c>
    </row>
    <row r="72" spans="2:8" ht="12.75">
      <c r="B72" s="1">
        <v>-852.21</v>
      </c>
      <c r="E72" s="1">
        <v>-106</v>
      </c>
      <c r="F72" s="2">
        <f>F69</f>
        <v>8.0397</v>
      </c>
      <c r="G72" s="1">
        <f>(C72+E72)*F72</f>
        <v>-852.2082</v>
      </c>
      <c r="H72" s="1">
        <f>B72-G72</f>
        <v>-0.0018000000000029104</v>
      </c>
    </row>
    <row r="73" spans="2:9" s="7" customFormat="1" ht="12.75">
      <c r="B73" s="8">
        <v>-330.03</v>
      </c>
      <c r="C73" s="8">
        <v>-6396</v>
      </c>
      <c r="D73" s="8"/>
      <c r="E73" s="8"/>
      <c r="F73" s="9">
        <f>F70</f>
        <v>0.0516</v>
      </c>
      <c r="G73" s="8">
        <f>(C73+E73)*F73</f>
        <v>-330.0336</v>
      </c>
      <c r="H73" s="8">
        <f>B73-G73</f>
        <v>0.0036000000000058208</v>
      </c>
      <c r="I73" s="8"/>
    </row>
    <row r="74" spans="2:9" s="15" customFormat="1" ht="13.5" thickBot="1">
      <c r="B74" s="16">
        <f>SUM(B69:B73)</f>
        <v>2452981.37</v>
      </c>
      <c r="C74" s="16">
        <f>SUM(C69:C73)</f>
        <v>34865618.65</v>
      </c>
      <c r="D74" s="16"/>
      <c r="E74" s="16">
        <f>SUM(E69:E73)</f>
        <v>81335.77</v>
      </c>
      <c r="G74" s="16">
        <f>SUM(G69:G73)</f>
        <v>2452981.112409</v>
      </c>
      <c r="H74" s="16">
        <f>SUM(H69:H73)</f>
        <v>0.25759099995957513</v>
      </c>
      <c r="I74" s="16">
        <f>B74</f>
        <v>2452981.37</v>
      </c>
    </row>
    <row r="76" spans="1:8" ht="12.75">
      <c r="A76" t="s">
        <v>4</v>
      </c>
      <c r="B76" s="1">
        <v>515195.56</v>
      </c>
      <c r="E76" s="1">
        <v>64081.43</v>
      </c>
      <c r="F76" s="2">
        <v>8.0397</v>
      </c>
      <c r="G76" s="1">
        <f aca="true" t="shared" si="0" ref="G76:G81">(C76+E76)*F76</f>
        <v>515195.472771</v>
      </c>
      <c r="H76" s="1">
        <f aca="true" t="shared" si="1" ref="H76:H81">B76-G76</f>
        <v>0.08722899999702349</v>
      </c>
    </row>
    <row r="77" spans="2:8" ht="12.75">
      <c r="B77" s="1">
        <v>1291428.94</v>
      </c>
      <c r="C77" s="1">
        <v>25027692.83</v>
      </c>
      <c r="F77" s="2">
        <v>0.0516</v>
      </c>
      <c r="G77" s="1">
        <f t="shared" si="0"/>
        <v>1291428.950028</v>
      </c>
      <c r="H77" s="1">
        <f t="shared" si="1"/>
        <v>-0.010027999989688396</v>
      </c>
    </row>
    <row r="78" spans="2:8" ht="12.75">
      <c r="B78" s="1">
        <v>13098.23</v>
      </c>
      <c r="E78" s="1">
        <v>1629.19</v>
      </c>
      <c r="F78" s="2">
        <f>F76</f>
        <v>8.0397</v>
      </c>
      <c r="G78" s="1">
        <f t="shared" si="0"/>
        <v>13098.198843</v>
      </c>
      <c r="H78" s="1">
        <f t="shared" si="1"/>
        <v>0.031156999999438995</v>
      </c>
    </row>
    <row r="79" spans="2:8" ht="12.75">
      <c r="B79" s="1">
        <v>-1175.41</v>
      </c>
      <c r="E79" s="1">
        <v>-146.2</v>
      </c>
      <c r="F79" s="2">
        <f>F76</f>
        <v>8.0397</v>
      </c>
      <c r="G79" s="1">
        <f t="shared" si="0"/>
        <v>-1175.4041399999999</v>
      </c>
      <c r="H79" s="1">
        <f t="shared" si="1"/>
        <v>-0.005860000000211585</v>
      </c>
    </row>
    <row r="80" spans="2:8" ht="12.75">
      <c r="B80" s="1">
        <v>-7006.96</v>
      </c>
      <c r="C80" s="1">
        <v>-135794</v>
      </c>
      <c r="F80" s="2">
        <v>0.0516</v>
      </c>
      <c r="G80" s="1">
        <f t="shared" si="0"/>
        <v>-7006.9704</v>
      </c>
      <c r="H80" s="1">
        <f t="shared" si="1"/>
        <v>0.01040000000011787</v>
      </c>
    </row>
    <row r="81" spans="2:9" s="7" customFormat="1" ht="12.75">
      <c r="B81" s="8">
        <v>-182.98</v>
      </c>
      <c r="C81" s="8"/>
      <c r="D81" s="8"/>
      <c r="E81" s="8">
        <v>-22.76</v>
      </c>
      <c r="F81" s="9">
        <f>F76</f>
        <v>8.0397</v>
      </c>
      <c r="G81" s="8">
        <f t="shared" si="0"/>
        <v>-182.983572</v>
      </c>
      <c r="H81" s="8">
        <f t="shared" si="1"/>
        <v>0.0035720000000196706</v>
      </c>
      <c r="I81" s="8"/>
    </row>
    <row r="82" spans="2:9" s="15" customFormat="1" ht="13.5" thickBot="1">
      <c r="B82" s="16">
        <f>SUM(B76:B81)</f>
        <v>1811357.3800000001</v>
      </c>
      <c r="C82" s="16">
        <f>SUM(C76:C81)</f>
        <v>24891898.83</v>
      </c>
      <c r="D82" s="16"/>
      <c r="E82" s="16">
        <f>SUM(E76:E81)</f>
        <v>65541.66</v>
      </c>
      <c r="G82" s="16">
        <f>SUM(G76:G81)</f>
        <v>1811357.26353</v>
      </c>
      <c r="H82" s="16">
        <f>SUM(H76:H81)</f>
        <v>0.11647000000670005</v>
      </c>
      <c r="I82" s="16">
        <f>I74+B82</f>
        <v>4264338.75</v>
      </c>
    </row>
    <row r="84" spans="1:8" ht="12.75">
      <c r="A84" t="s">
        <v>5</v>
      </c>
      <c r="B84" s="1">
        <v>591050.99</v>
      </c>
      <c r="E84" s="1">
        <v>73516.55</v>
      </c>
      <c r="F84" s="2">
        <v>8.0397</v>
      </c>
      <c r="G84" s="1">
        <f>(C84+E84)*F84</f>
        <v>591051.007035</v>
      </c>
      <c r="H84" s="1">
        <f>B84-G84</f>
        <v>-0.017035000026226044</v>
      </c>
    </row>
    <row r="85" spans="2:8" ht="12.75">
      <c r="B85" s="1">
        <v>1350921.2</v>
      </c>
      <c r="C85" s="1">
        <v>26180643.12</v>
      </c>
      <c r="F85" s="2">
        <v>0.0516</v>
      </c>
      <c r="G85" s="1">
        <f>(C85+E85)*F85</f>
        <v>1350921.184992</v>
      </c>
      <c r="H85" s="1">
        <f>B85-G85</f>
        <v>0.015007999958470464</v>
      </c>
    </row>
    <row r="86" spans="2:8" ht="12.75">
      <c r="B86" s="1">
        <v>21347.7</v>
      </c>
      <c r="E86" s="1">
        <v>2655.29</v>
      </c>
      <c r="F86" s="2">
        <f>F84</f>
        <v>8.0397</v>
      </c>
      <c r="G86" s="1">
        <f>(C86+E86)*F86</f>
        <v>21347.735012999998</v>
      </c>
      <c r="H86" s="1">
        <f>B86-G86</f>
        <v>-0.03501299999697949</v>
      </c>
    </row>
    <row r="87" spans="2:8" ht="12.75">
      <c r="B87" s="1">
        <v>-52798.93</v>
      </c>
      <c r="E87" s="1">
        <v>-6567.25</v>
      </c>
      <c r="F87" s="2">
        <f>F84</f>
        <v>8.0397</v>
      </c>
      <c r="G87" s="1">
        <f>(C87+E87)*F87</f>
        <v>-52798.719825</v>
      </c>
      <c r="H87" s="1">
        <f>B87-G87</f>
        <v>-0.21017500000016298</v>
      </c>
    </row>
    <row r="88" spans="2:9" s="7" customFormat="1" ht="12.75">
      <c r="B88" s="8">
        <v>-18245.76</v>
      </c>
      <c r="C88" s="8">
        <v>-353600</v>
      </c>
      <c r="D88" s="8"/>
      <c r="E88" s="8"/>
      <c r="F88" s="9">
        <f>F85</f>
        <v>0.0516</v>
      </c>
      <c r="G88" s="8">
        <f>(C88+E88)*F88</f>
        <v>-18245.76</v>
      </c>
      <c r="H88" s="8">
        <f>B88-G88</f>
        <v>0</v>
      </c>
      <c r="I88" s="8"/>
    </row>
    <row r="89" spans="2:9" s="15" customFormat="1" ht="13.5" thickBot="1">
      <c r="B89" s="16">
        <f>SUM(B84:B88)</f>
        <v>1892275.2</v>
      </c>
      <c r="C89" s="16">
        <f>SUM(C84:C88)</f>
        <v>25827043.12</v>
      </c>
      <c r="D89" s="16"/>
      <c r="E89" s="16">
        <f>SUM(E84:E88)</f>
        <v>69604.59</v>
      </c>
      <c r="G89" s="16">
        <f>SUM(G84:G88)</f>
        <v>1892275.447215</v>
      </c>
      <c r="H89" s="16">
        <f>SUM(H84:H88)</f>
        <v>-0.24721500006489805</v>
      </c>
      <c r="I89" s="16">
        <f>I82+B89</f>
        <v>6156613.95</v>
      </c>
    </row>
    <row r="91" spans="1:8" ht="12.75">
      <c r="A91" t="s">
        <v>6</v>
      </c>
      <c r="B91" s="1">
        <v>618030.48</v>
      </c>
      <c r="E91" s="1">
        <v>76872.33</v>
      </c>
      <c r="F91" s="2">
        <v>8.0397</v>
      </c>
      <c r="G91" s="1">
        <f>(C91+E91)*F91</f>
        <v>618030.471501</v>
      </c>
      <c r="H91" s="1">
        <f>B91-G91</f>
        <v>0.008498999988660216</v>
      </c>
    </row>
    <row r="92" spans="2:8" ht="12.75">
      <c r="B92" s="1">
        <v>1522236.92</v>
      </c>
      <c r="C92" s="1">
        <v>29500716.59</v>
      </c>
      <c r="F92" s="2">
        <v>0.0516</v>
      </c>
      <c r="G92" s="1">
        <f>(C92+E92)*F92</f>
        <v>1522236.976044</v>
      </c>
      <c r="H92" s="1">
        <f>B92-G92</f>
        <v>-0.056043999968096614</v>
      </c>
    </row>
    <row r="93" spans="2:8" ht="12.75">
      <c r="B93" s="1">
        <v>18368.04</v>
      </c>
      <c r="E93" s="1">
        <v>2284.66</v>
      </c>
      <c r="F93" s="2">
        <f>F91</f>
        <v>8.0397</v>
      </c>
      <c r="G93" s="1">
        <f>(C93+E93)*F93</f>
        <v>18367.981001999997</v>
      </c>
      <c r="H93" s="1">
        <f>B93-G93</f>
        <v>0.05899800000406685</v>
      </c>
    </row>
    <row r="94" spans="2:8" ht="12.75">
      <c r="B94" s="1">
        <v>-24411.85</v>
      </c>
      <c r="E94" s="1">
        <v>-3036.41</v>
      </c>
      <c r="F94" s="2">
        <f>F91</f>
        <v>8.0397</v>
      </c>
      <c r="G94" s="1">
        <f>(C94+E94)*F94</f>
        <v>-24411.825477</v>
      </c>
      <c r="H94" s="1">
        <f>B94-G94</f>
        <v>-0.024523000000044703</v>
      </c>
    </row>
    <row r="95" spans="2:9" s="7" customFormat="1" ht="12.75">
      <c r="B95" s="8">
        <v>-6684.88</v>
      </c>
      <c r="C95" s="8">
        <v>-129552</v>
      </c>
      <c r="D95" s="8"/>
      <c r="E95" s="8"/>
      <c r="F95" s="9">
        <f>F92</f>
        <v>0.0516</v>
      </c>
      <c r="G95" s="8">
        <f>(C95+E95)*F95</f>
        <v>-6684.8832</v>
      </c>
      <c r="H95" s="8">
        <f>B95-G95</f>
        <v>0.003200000000106229</v>
      </c>
      <c r="I95" s="8"/>
    </row>
    <row r="96" spans="2:9" s="15" customFormat="1" ht="13.5" thickBot="1">
      <c r="B96" s="16">
        <f>SUM(B91:B95)</f>
        <v>2127538.71</v>
      </c>
      <c r="C96" s="16">
        <f>SUM(C91:C95)</f>
        <v>29371164.59</v>
      </c>
      <c r="D96" s="16"/>
      <c r="E96" s="16">
        <f>SUM(E91:E95)</f>
        <v>76120.58</v>
      </c>
      <c r="G96" s="16">
        <f>SUM(G91:G95)</f>
        <v>2127538.71987</v>
      </c>
      <c r="H96" s="16">
        <f>SUM(H91:H95)</f>
        <v>-0.00986999997530802</v>
      </c>
      <c r="I96" s="16">
        <f>I89+B96</f>
        <v>8284152.66</v>
      </c>
    </row>
    <row r="98" spans="1:8" ht="12.75">
      <c r="A98" t="s">
        <v>7</v>
      </c>
      <c r="B98" s="1">
        <v>299057.41</v>
      </c>
      <c r="E98" s="1">
        <v>37197.58</v>
      </c>
      <c r="F98" s="2">
        <v>8.0397</v>
      </c>
      <c r="G98" s="1">
        <f>(C98+E98)*F98</f>
        <v>299057.383926</v>
      </c>
      <c r="H98" s="1">
        <f>B98-G98</f>
        <v>0.026073999993968755</v>
      </c>
    </row>
    <row r="99" spans="2:8" ht="12.75">
      <c r="B99" s="1">
        <v>805216.54</v>
      </c>
      <c r="C99" s="1">
        <v>15604971.8</v>
      </c>
      <c r="F99" s="2">
        <v>0.0516</v>
      </c>
      <c r="G99" s="1">
        <f>(C99+E99)*F99</f>
        <v>805216.5448800001</v>
      </c>
      <c r="H99" s="1">
        <f>B99-G99</f>
        <v>-0.004880000022239983</v>
      </c>
    </row>
    <row r="100" spans="2:8" ht="12.75">
      <c r="B100" s="1">
        <v>14942.09</v>
      </c>
      <c r="E100" s="1">
        <v>1858.54</v>
      </c>
      <c r="F100" s="2">
        <f>F98</f>
        <v>8.0397</v>
      </c>
      <c r="G100" s="1">
        <f>(C100+E100)*F100</f>
        <v>14942.104038</v>
      </c>
      <c r="H100" s="1">
        <f>B100-G100</f>
        <v>-0.01403799999934563</v>
      </c>
    </row>
    <row r="101" spans="2:8" ht="12.75">
      <c r="B101" s="1">
        <v>-6269.28</v>
      </c>
      <c r="E101" s="1">
        <v>-779.79</v>
      </c>
      <c r="F101" s="2">
        <f>F98</f>
        <v>8.0397</v>
      </c>
      <c r="G101" s="1">
        <f>(C101+E101)*F101</f>
        <v>-6269.277663</v>
      </c>
      <c r="H101" s="1">
        <f>B101-G101</f>
        <v>-0.002336999999897671</v>
      </c>
    </row>
    <row r="102" spans="2:9" s="7" customFormat="1" ht="12.75">
      <c r="B102" s="8">
        <v>-29021.11</v>
      </c>
      <c r="C102" s="8">
        <v>-562424.63</v>
      </c>
      <c r="D102" s="8"/>
      <c r="E102" s="8"/>
      <c r="F102" s="9">
        <f>F99</f>
        <v>0.0516</v>
      </c>
      <c r="G102" s="8">
        <f>(C102+E102)*F102</f>
        <v>-29021.110908</v>
      </c>
      <c r="H102" s="8">
        <f>B102-G102</f>
        <v>0.0009079999981622677</v>
      </c>
      <c r="I102" s="8"/>
    </row>
    <row r="103" spans="2:9" s="15" customFormat="1" ht="13.5" thickBot="1">
      <c r="B103" s="16">
        <f>SUM(B98:B102)</f>
        <v>1083925.65</v>
      </c>
      <c r="C103" s="16">
        <f>SUM(C98:C102)</f>
        <v>15042547.17</v>
      </c>
      <c r="D103" s="16"/>
      <c r="E103" s="16">
        <f>SUM(E98:E102)</f>
        <v>38276.33</v>
      </c>
      <c r="G103" s="16">
        <f>SUM(G98:G102)</f>
        <v>1083925.644273</v>
      </c>
      <c r="H103" s="16">
        <f>SUM(H98:H102)</f>
        <v>0.005726999970647739</v>
      </c>
      <c r="I103" s="16">
        <f>I96+B103</f>
        <v>9368078.31</v>
      </c>
    </row>
    <row r="105" spans="1:8" ht="12.75">
      <c r="A105" t="s">
        <v>8</v>
      </c>
      <c r="B105" s="1">
        <v>89963.83</v>
      </c>
      <c r="E105" s="1">
        <v>11189.96</v>
      </c>
      <c r="F105" s="2">
        <v>8.0397</v>
      </c>
      <c r="G105" s="1">
        <f aca="true" t="shared" si="2" ref="G105:G110">(C105+E105)*F105</f>
        <v>89963.921412</v>
      </c>
      <c r="H105" s="1">
        <f aca="true" t="shared" si="3" ref="H105:H110">B105-G105</f>
        <v>-0.09141199999430683</v>
      </c>
    </row>
    <row r="106" spans="2:8" ht="12.75">
      <c r="B106" s="1">
        <v>203688.68</v>
      </c>
      <c r="C106" s="1">
        <v>3947454.03</v>
      </c>
      <c r="F106" s="2">
        <v>0.0516</v>
      </c>
      <c r="G106" s="1">
        <f t="shared" si="2"/>
        <v>203688.62794799998</v>
      </c>
      <c r="H106" s="1">
        <f t="shared" si="3"/>
        <v>0.05205200001364574</v>
      </c>
    </row>
    <row r="107" spans="2:8" ht="12.75">
      <c r="B107" s="1">
        <v>2531.54</v>
      </c>
      <c r="E107" s="1">
        <v>314.88</v>
      </c>
      <c r="F107" s="2">
        <f>F105</f>
        <v>8.0397</v>
      </c>
      <c r="G107" s="1">
        <f t="shared" si="2"/>
        <v>2531.540736</v>
      </c>
      <c r="H107" s="1">
        <f t="shared" si="3"/>
        <v>-0.000735999999960768</v>
      </c>
    </row>
    <row r="108" spans="2:8" ht="12.75">
      <c r="B108" s="1">
        <v>-692.38</v>
      </c>
      <c r="E108" s="1">
        <v>-86.12</v>
      </c>
      <c r="F108" s="2">
        <f>F105</f>
        <v>8.0397</v>
      </c>
      <c r="G108" s="1">
        <f t="shared" si="2"/>
        <v>-692.378964</v>
      </c>
      <c r="H108" s="1">
        <f t="shared" si="3"/>
        <v>-0.0010359999999991487</v>
      </c>
    </row>
    <row r="109" spans="2:8" ht="12.75">
      <c r="B109" s="1">
        <v>-1118.34</v>
      </c>
      <c r="C109" s="1">
        <v>-21673.14</v>
      </c>
      <c r="F109" s="2">
        <v>0.0516</v>
      </c>
      <c r="G109" s="1">
        <f t="shared" si="2"/>
        <v>-1118.334024</v>
      </c>
      <c r="H109" s="1">
        <f t="shared" si="3"/>
        <v>-0.005975999999918713</v>
      </c>
    </row>
    <row r="110" spans="2:9" s="7" customFormat="1" ht="12.75">
      <c r="B110" s="8">
        <v>-5.31</v>
      </c>
      <c r="C110" s="8"/>
      <c r="D110" s="8"/>
      <c r="E110" s="8">
        <v>-0.66</v>
      </c>
      <c r="F110" s="9">
        <f>F105</f>
        <v>8.0397</v>
      </c>
      <c r="G110" s="8">
        <f t="shared" si="2"/>
        <v>-5.306202</v>
      </c>
      <c r="H110" s="8">
        <f t="shared" si="3"/>
        <v>-0.003797999999999746</v>
      </c>
      <c r="I110" s="8"/>
    </row>
    <row r="111" spans="2:9" s="15" customFormat="1" ht="13.5" thickBot="1">
      <c r="B111" s="16">
        <f>SUM(B105:B110)</f>
        <v>294368.01999999996</v>
      </c>
      <c r="C111" s="16">
        <f>SUM(C105:C110)</f>
        <v>3925780.8899999997</v>
      </c>
      <c r="D111" s="16"/>
      <c r="E111" s="16">
        <f>SUM(E105:E110)</f>
        <v>11418.059999999998</v>
      </c>
      <c r="G111" s="16">
        <f>SUM(G105:G110)</f>
        <v>294368.070906</v>
      </c>
      <c r="H111" s="16">
        <f>SUM(H105:H110)</f>
        <v>-0.05090599998053946</v>
      </c>
      <c r="I111" s="16">
        <f>I103+B111</f>
        <v>9662446.33</v>
      </c>
    </row>
    <row r="125" spans="1:6" ht="12.75">
      <c r="A125" t="s">
        <v>37</v>
      </c>
      <c r="F125" s="2"/>
    </row>
    <row r="126" spans="1:6" ht="12.75">
      <c r="A126" t="s">
        <v>38</v>
      </c>
      <c r="F126" s="2"/>
    </row>
    <row r="127" spans="1:6" ht="12.75">
      <c r="A127" t="s">
        <v>39</v>
      </c>
      <c r="F127" s="2"/>
    </row>
    <row r="128" ht="12.75">
      <c r="F128" s="2"/>
    </row>
    <row r="129" spans="2:9" s="4" customFormat="1" ht="25.5">
      <c r="B129" s="5" t="s">
        <v>15</v>
      </c>
      <c r="C129" s="5" t="s">
        <v>16</v>
      </c>
      <c r="D129" s="5" t="s">
        <v>36</v>
      </c>
      <c r="E129" s="5" t="s">
        <v>35</v>
      </c>
      <c r="F129" s="6" t="s">
        <v>17</v>
      </c>
      <c r="G129" s="5" t="s">
        <v>18</v>
      </c>
      <c r="H129" s="5" t="s">
        <v>19</v>
      </c>
      <c r="I129" s="5" t="s">
        <v>22</v>
      </c>
    </row>
    <row r="130" ht="12.75">
      <c r="F130" s="2"/>
    </row>
    <row r="131" spans="1:8" ht="12.75">
      <c r="A131" t="s">
        <v>7</v>
      </c>
      <c r="B131" s="1">
        <v>2243.44</v>
      </c>
      <c r="C131" s="1">
        <v>431430.43</v>
      </c>
      <c r="F131" s="2">
        <v>0.0052</v>
      </c>
      <c r="G131" s="1">
        <f>C131*F131</f>
        <v>2243.438236</v>
      </c>
      <c r="H131" s="1">
        <f>B131-G131</f>
        <v>0.0017640000000938016</v>
      </c>
    </row>
    <row r="132" spans="2:8" ht="12.75">
      <c r="B132" s="1">
        <v>71.61</v>
      </c>
      <c r="D132" s="1">
        <v>13770.9</v>
      </c>
      <c r="F132" s="2">
        <v>0.0052</v>
      </c>
      <c r="G132" s="1">
        <f>D132*F132</f>
        <v>71.60867999999999</v>
      </c>
      <c r="H132" s="1">
        <f>B132-G132</f>
        <v>0.0013200000000068712</v>
      </c>
    </row>
    <row r="133" spans="2:8" ht="12.75">
      <c r="B133" s="1">
        <v>-2243.44</v>
      </c>
      <c r="C133" s="1">
        <v>-431430.43</v>
      </c>
      <c r="F133" s="2">
        <f>F131</f>
        <v>0.0052</v>
      </c>
      <c r="G133" s="1">
        <f>C133*F133</f>
        <v>-2243.438236</v>
      </c>
      <c r="H133" s="1">
        <f>B133-G133</f>
        <v>-0.0017640000000938016</v>
      </c>
    </row>
    <row r="134" spans="2:9" s="7" customFormat="1" ht="12.75">
      <c r="B134" s="8">
        <v>-71.61</v>
      </c>
      <c r="C134" s="8"/>
      <c r="D134" s="8">
        <v>-13770.9</v>
      </c>
      <c r="E134" s="8"/>
      <c r="F134" s="9">
        <f>F132</f>
        <v>0.0052</v>
      </c>
      <c r="G134" s="8">
        <f>D134*F134</f>
        <v>-71.60867999999999</v>
      </c>
      <c r="H134" s="8">
        <f>B134-G134</f>
        <v>-0.0013200000000068712</v>
      </c>
      <c r="I134" s="8"/>
    </row>
    <row r="135" spans="2:9" s="16" customFormat="1" ht="13.5" thickBot="1">
      <c r="B135" s="16">
        <f>SUM(B131:B134)</f>
        <v>1.2789769243681803E-13</v>
      </c>
      <c r="C135" s="16">
        <f>SUM(C131:C134)</f>
        <v>0</v>
      </c>
      <c r="D135" s="16">
        <f>SUM(D131:D134)</f>
        <v>0</v>
      </c>
      <c r="E135" s="16">
        <f>SUM(E131:E134)</f>
        <v>0</v>
      </c>
      <c r="G135" s="16">
        <f>SUM(G131:G134)</f>
        <v>-1.7053025658242404E-13</v>
      </c>
      <c r="H135" s="16">
        <f>SUM(H131:H134)</f>
        <v>0</v>
      </c>
      <c r="I135" s="16">
        <f>B135</f>
        <v>1.2789769243681803E-13</v>
      </c>
    </row>
    <row r="137" spans="1:8" ht="12.75">
      <c r="A137" t="s">
        <v>8</v>
      </c>
      <c r="B137" s="1">
        <v>129364.08</v>
      </c>
      <c r="C137" s="1">
        <v>24877698.77</v>
      </c>
      <c r="F137" s="2">
        <v>0.0052</v>
      </c>
      <c r="G137" s="1">
        <f>C137*F137</f>
        <v>129364.033604</v>
      </c>
      <c r="H137" s="1">
        <f>B137-G137</f>
        <v>0.0463960000051884</v>
      </c>
    </row>
    <row r="138" spans="2:8" ht="12.75">
      <c r="B138" s="1">
        <v>4126.98</v>
      </c>
      <c r="D138" s="1">
        <v>793667.49</v>
      </c>
      <c r="F138" s="2">
        <v>0.0052</v>
      </c>
      <c r="G138" s="1">
        <f>D138*F138</f>
        <v>4127.070948</v>
      </c>
      <c r="H138" s="1">
        <f>B138-G138</f>
        <v>-0.09094800000002579</v>
      </c>
    </row>
    <row r="139" spans="2:8" ht="12.75">
      <c r="B139" s="1">
        <v>-720.96</v>
      </c>
      <c r="C139" s="1">
        <v>-138646.86</v>
      </c>
      <c r="F139" s="2">
        <f>F137</f>
        <v>0.0052</v>
      </c>
      <c r="G139" s="1">
        <f>C139*F139</f>
        <v>-720.9636719999999</v>
      </c>
      <c r="H139" s="1">
        <f>B139-G139</f>
        <v>0.0036719999998240382</v>
      </c>
    </row>
    <row r="140" spans="2:9" s="7" customFormat="1" ht="12.75">
      <c r="B140" s="8">
        <v>-23</v>
      </c>
      <c r="C140" s="8"/>
      <c r="D140" s="8">
        <v>-4422.83</v>
      </c>
      <c r="E140" s="8"/>
      <c r="F140" s="9">
        <f>F138</f>
        <v>0.0052</v>
      </c>
      <c r="G140" s="8">
        <f>D140*F140</f>
        <v>-22.998715999999998</v>
      </c>
      <c r="H140" s="8">
        <f>B140-G140</f>
        <v>-0.0012840000000018392</v>
      </c>
      <c r="I140" s="8"/>
    </row>
    <row r="141" spans="2:9" s="16" customFormat="1" ht="13.5" thickBot="1">
      <c r="B141" s="16">
        <f>SUM(B137:B140)</f>
        <v>132747.1</v>
      </c>
      <c r="C141" s="16">
        <f>SUM(C137:C140)</f>
        <v>24739051.91</v>
      </c>
      <c r="D141" s="16">
        <f>SUM(D137:D140)</f>
        <v>789244.66</v>
      </c>
      <c r="E141" s="16">
        <f>SUM(E137:E140)</f>
        <v>0</v>
      </c>
      <c r="G141" s="16">
        <f>SUM(G137:G140)</f>
        <v>132747.142164</v>
      </c>
      <c r="H141" s="16">
        <f>SUM(H137:H140)</f>
        <v>-0.04216399999501519</v>
      </c>
      <c r="I141" s="16">
        <f>I135+B141</f>
        <v>132747.1</v>
      </c>
    </row>
    <row r="143" spans="1:8" ht="12.75">
      <c r="A143" t="s">
        <v>9</v>
      </c>
      <c r="B143" s="1">
        <v>150957.59</v>
      </c>
      <c r="C143" s="1">
        <v>29030312.24</v>
      </c>
      <c r="F143" s="2">
        <v>0.0052</v>
      </c>
      <c r="G143" s="1">
        <f>C143*F143</f>
        <v>150957.62364799998</v>
      </c>
      <c r="H143" s="1">
        <f>B143-G143</f>
        <v>-0.033647999982349575</v>
      </c>
    </row>
    <row r="144" spans="2:8" ht="12.75">
      <c r="B144" s="1">
        <v>4815.86</v>
      </c>
      <c r="D144" s="1">
        <v>926132.68</v>
      </c>
      <c r="F144" s="2">
        <v>0.0052</v>
      </c>
      <c r="G144" s="1">
        <f>D144*F144</f>
        <v>4815.8899360000005</v>
      </c>
      <c r="H144" s="1">
        <f>B144-G144</f>
        <v>-0.02993600000081642</v>
      </c>
    </row>
    <row r="145" spans="2:8" ht="12.75">
      <c r="B145" s="1">
        <v>-78</v>
      </c>
      <c r="C145" s="1">
        <v>-15000</v>
      </c>
      <c r="F145" s="2">
        <f>F143</f>
        <v>0.0052</v>
      </c>
      <c r="G145" s="1">
        <f>C145*F145</f>
        <v>-78</v>
      </c>
      <c r="H145" s="1">
        <f>B145-G145</f>
        <v>0</v>
      </c>
    </row>
    <row r="146" spans="2:9" s="7" customFormat="1" ht="12.75">
      <c r="B146" s="8">
        <v>-2.49</v>
      </c>
      <c r="C146" s="8"/>
      <c r="D146" s="8">
        <v>-478.5</v>
      </c>
      <c r="E146" s="8"/>
      <c r="F146" s="9">
        <f>F144</f>
        <v>0.0052</v>
      </c>
      <c r="G146" s="8">
        <f>D146*F146</f>
        <v>-2.4882</v>
      </c>
      <c r="H146" s="8">
        <f>B146-G146</f>
        <v>-0.0018000000000002458</v>
      </c>
      <c r="I146" s="8"/>
    </row>
    <row r="147" spans="2:9" s="16" customFormat="1" ht="13.5" thickBot="1">
      <c r="B147" s="16">
        <f>SUM(B143:B146)</f>
        <v>155692.96</v>
      </c>
      <c r="C147" s="16">
        <f>SUM(C143:C146)</f>
        <v>29015312.24</v>
      </c>
      <c r="D147" s="16">
        <f>SUM(D143:D146)</f>
        <v>925654.18</v>
      </c>
      <c r="E147" s="16">
        <f>SUM(E143:E146)</f>
        <v>0</v>
      </c>
      <c r="G147" s="16">
        <f>SUM(G143:G146)</f>
        <v>155693.02538399998</v>
      </c>
      <c r="H147" s="16">
        <f>SUM(H143:H146)</f>
        <v>-0.06538399998316624</v>
      </c>
      <c r="I147" s="16">
        <f>I141+B147</f>
        <v>288440.06</v>
      </c>
    </row>
    <row r="149" spans="1:8" ht="12.75">
      <c r="A149" t="s">
        <v>10</v>
      </c>
      <c r="B149" s="1">
        <v>247195.95</v>
      </c>
      <c r="C149" s="1">
        <v>47537688.95</v>
      </c>
      <c r="F149" s="2">
        <v>0.0052</v>
      </c>
      <c r="G149" s="1">
        <f>C149*F149</f>
        <v>247195.98254</v>
      </c>
      <c r="H149" s="1">
        <f>B149-G149</f>
        <v>-0.03253999998560175</v>
      </c>
    </row>
    <row r="150" spans="2:8" ht="12.75">
      <c r="B150" s="1">
        <v>7885.9</v>
      </c>
      <c r="D150" s="1">
        <v>1516517.13</v>
      </c>
      <c r="F150" s="2">
        <v>0.0052</v>
      </c>
      <c r="G150" s="1">
        <f>D150*F150</f>
        <v>7885.8890759999995</v>
      </c>
      <c r="H150" s="1">
        <f>B150-G150</f>
        <v>0.01092400000015914</v>
      </c>
    </row>
    <row r="151" spans="2:8" ht="12.75">
      <c r="B151" s="1">
        <v>-85353.75</v>
      </c>
      <c r="C151" s="1">
        <v>-16414184</v>
      </c>
      <c r="F151" s="2">
        <f>F149</f>
        <v>0.0052</v>
      </c>
      <c r="G151" s="1">
        <f>C151*F151</f>
        <v>-85353.7568</v>
      </c>
      <c r="H151" s="1">
        <f>B151-G151</f>
        <v>0.006800000002840534</v>
      </c>
    </row>
    <row r="152" spans="2:9" s="7" customFormat="1" ht="12.75">
      <c r="B152" s="8">
        <v>-2722.8</v>
      </c>
      <c r="C152" s="8"/>
      <c r="D152" s="8">
        <v>-523612.98</v>
      </c>
      <c r="E152" s="8"/>
      <c r="F152" s="9">
        <f>F150</f>
        <v>0.0052</v>
      </c>
      <c r="G152" s="8">
        <f>D152*F152</f>
        <v>-2722.787496</v>
      </c>
      <c r="H152" s="8">
        <f>B152-G152</f>
        <v>-0.01250400000026275</v>
      </c>
      <c r="I152" s="8"/>
    </row>
    <row r="153" spans="2:9" s="16" customFormat="1" ht="13.5" thickBot="1">
      <c r="B153" s="16">
        <f>SUM(B149:B152)</f>
        <v>167005.30000000002</v>
      </c>
      <c r="C153" s="16">
        <f>SUM(C149:C152)</f>
        <v>31123504.950000003</v>
      </c>
      <c r="D153" s="16">
        <f>SUM(D149:D152)</f>
        <v>992904.1499999999</v>
      </c>
      <c r="E153" s="16">
        <f>SUM(E149:E152)</f>
        <v>0</v>
      </c>
      <c r="G153" s="16">
        <f>SUM(G149:G152)</f>
        <v>167005.32731999998</v>
      </c>
      <c r="H153" s="16">
        <f>SUM(H149:H152)</f>
        <v>-0.02731999998286483</v>
      </c>
      <c r="I153" s="16">
        <f>I147+B153</f>
        <v>455445.36</v>
      </c>
    </row>
    <row r="155" spans="1:8" ht="12.75">
      <c r="A155" t="s">
        <v>11</v>
      </c>
      <c r="B155" s="1">
        <v>152559.81</v>
      </c>
      <c r="C155" s="1">
        <v>29338422.04</v>
      </c>
      <c r="F155" s="2">
        <v>0.0052</v>
      </c>
      <c r="G155" s="1">
        <f>C155*F155</f>
        <v>152559.794608</v>
      </c>
      <c r="H155" s="1">
        <f>B155-G155</f>
        <v>0.015392000001156703</v>
      </c>
    </row>
    <row r="156" spans="2:8" ht="12.75">
      <c r="B156" s="1">
        <v>4867.08</v>
      </c>
      <c r="D156" s="1">
        <v>935960.06</v>
      </c>
      <c r="F156" s="2">
        <v>0.0052</v>
      </c>
      <c r="G156" s="1">
        <f>D156*F156</f>
        <v>4866.992312</v>
      </c>
      <c r="H156" s="1">
        <f>B156-G156</f>
        <v>0.0876879999996163</v>
      </c>
    </row>
    <row r="157" spans="2:8" ht="12.75">
      <c r="B157" s="1">
        <v>-357.55</v>
      </c>
      <c r="C157" s="1">
        <v>-68760</v>
      </c>
      <c r="F157" s="2">
        <f>F155</f>
        <v>0.0052</v>
      </c>
      <c r="G157" s="1">
        <f>C157*F157</f>
        <v>-357.55199999999996</v>
      </c>
      <c r="H157" s="1">
        <f>B157-G157</f>
        <v>0.0019999999999527063</v>
      </c>
    </row>
    <row r="158" spans="2:9" s="7" customFormat="1" ht="12.75">
      <c r="B158" s="8">
        <v>-11.41</v>
      </c>
      <c r="C158" s="8"/>
      <c r="D158" s="8">
        <v>-2193.44</v>
      </c>
      <c r="E158" s="8"/>
      <c r="F158" s="9">
        <f>F156</f>
        <v>0.0052</v>
      </c>
      <c r="G158" s="8">
        <f>D158*F158</f>
        <v>-11.405888</v>
      </c>
      <c r="H158" s="8">
        <f>B158-G158</f>
        <v>-0.004112000000001004</v>
      </c>
      <c r="I158" s="8"/>
    </row>
    <row r="159" spans="2:9" s="16" customFormat="1" ht="13.5" thickBot="1">
      <c r="B159" s="16">
        <f>SUM(B155:B158)</f>
        <v>157057.93</v>
      </c>
      <c r="C159" s="16">
        <f>SUM(C155:C158)</f>
        <v>29269662.04</v>
      </c>
      <c r="D159" s="16">
        <f>SUM(D155:D158)</f>
        <v>933766.6200000001</v>
      </c>
      <c r="E159" s="16">
        <f>SUM(E155:E158)</f>
        <v>0</v>
      </c>
      <c r="G159" s="16">
        <f>SUM(G155:G158)</f>
        <v>157057.82903199998</v>
      </c>
      <c r="H159" s="16">
        <f>SUM(H155:H158)</f>
        <v>0.1009680000007247</v>
      </c>
      <c r="I159" s="16">
        <f>I153+B159</f>
        <v>612503.29</v>
      </c>
    </row>
    <row r="161" spans="1:8" ht="12.75">
      <c r="A161" t="s">
        <v>12</v>
      </c>
      <c r="B161" s="1">
        <v>173765.38</v>
      </c>
      <c r="C161" s="1">
        <v>33416420.13</v>
      </c>
      <c r="F161" s="2">
        <v>0.0052</v>
      </c>
      <c r="G161" s="1">
        <f>C161*F161</f>
        <v>173765.384676</v>
      </c>
      <c r="H161" s="1">
        <f>B161-G161</f>
        <v>-0.004675999982282519</v>
      </c>
    </row>
    <row r="162" spans="2:8" ht="12.75">
      <c r="B162" s="1">
        <v>5543.46</v>
      </c>
      <c r="D162" s="1">
        <v>1066046.23</v>
      </c>
      <c r="F162" s="2">
        <v>0.0052</v>
      </c>
      <c r="G162" s="1">
        <f>D162*F162</f>
        <v>5543.440396</v>
      </c>
      <c r="H162" s="1">
        <f>B162-G162</f>
        <v>0.01960400000007212</v>
      </c>
    </row>
    <row r="163" spans="2:8" ht="12.75">
      <c r="B163" s="1">
        <v>-3874.51</v>
      </c>
      <c r="C163" s="1">
        <v>-745096.84</v>
      </c>
      <c r="F163" s="2">
        <f>F161</f>
        <v>0.0052</v>
      </c>
      <c r="G163" s="1">
        <f>C163*F163</f>
        <v>-3874.5035679999996</v>
      </c>
      <c r="H163" s="1">
        <f>B163-G163</f>
        <v>-0.006432000000586413</v>
      </c>
    </row>
    <row r="164" spans="2:9" s="7" customFormat="1" ht="12.75">
      <c r="B164" s="8">
        <v>-123.59</v>
      </c>
      <c r="C164" s="8"/>
      <c r="D164" s="8">
        <v>-23768.59</v>
      </c>
      <c r="E164" s="8"/>
      <c r="F164" s="9">
        <f>F162</f>
        <v>0.0052</v>
      </c>
      <c r="G164" s="8">
        <f>D164*F164</f>
        <v>-123.596668</v>
      </c>
      <c r="H164" s="8">
        <f>B164-G164</f>
        <v>0.00666799999999057</v>
      </c>
      <c r="I164" s="8"/>
    </row>
    <row r="165" spans="2:9" s="16" customFormat="1" ht="13.5" thickBot="1">
      <c r="B165" s="16">
        <f>SUM(B161:B164)</f>
        <v>175310.74</v>
      </c>
      <c r="C165" s="16">
        <f>SUM(C161:C164)</f>
        <v>32671323.29</v>
      </c>
      <c r="D165" s="16">
        <f>SUM(D161:D164)</f>
        <v>1042277.64</v>
      </c>
      <c r="E165" s="16">
        <f>SUM(E161:E164)</f>
        <v>0</v>
      </c>
      <c r="G165" s="16">
        <f>SUM(G161:G164)</f>
        <v>175310.72483599998</v>
      </c>
      <c r="H165" s="16">
        <f>SUM(H161:H164)</f>
        <v>0.015164000017193757</v>
      </c>
      <c r="I165" s="16">
        <f>I159+B165</f>
        <v>787814.03</v>
      </c>
    </row>
    <row r="167" spans="1:8" ht="12.75">
      <c r="A167" t="s">
        <v>13</v>
      </c>
      <c r="B167" s="1">
        <v>162029.97</v>
      </c>
      <c r="C167" s="1">
        <v>31159611.92</v>
      </c>
      <c r="F167" s="2">
        <v>0.0052</v>
      </c>
      <c r="G167" s="1">
        <f>C167*F167</f>
        <v>162029.981984</v>
      </c>
      <c r="H167" s="1">
        <f>B167-G167</f>
        <v>-0.011984000011580065</v>
      </c>
    </row>
    <row r="168" spans="2:8" ht="12.75">
      <c r="B168" s="1">
        <v>5169.23</v>
      </c>
      <c r="D168" s="1">
        <v>994053.92</v>
      </c>
      <c r="F168" s="2">
        <v>0.0052</v>
      </c>
      <c r="G168" s="1">
        <f>D168*F168</f>
        <v>5169.080384</v>
      </c>
      <c r="H168" s="1">
        <f>B168-G168</f>
        <v>0.14961599999969621</v>
      </c>
    </row>
    <row r="169" spans="2:8" ht="12.75">
      <c r="B169" s="1">
        <v>-2537.81</v>
      </c>
      <c r="C169" s="1">
        <v>-488040</v>
      </c>
      <c r="F169" s="2">
        <f>F167</f>
        <v>0.0052</v>
      </c>
      <c r="G169" s="1">
        <f>C169*F169</f>
        <v>-2537.808</v>
      </c>
      <c r="H169" s="1">
        <f>B169-G169</f>
        <v>-0.0019999999999527063</v>
      </c>
    </row>
    <row r="170" spans="2:9" s="7" customFormat="1" ht="12.75">
      <c r="B170" s="8">
        <v>-80.96</v>
      </c>
      <c r="C170" s="8"/>
      <c r="D170" s="8">
        <v>-15568.46</v>
      </c>
      <c r="E170" s="8"/>
      <c r="F170" s="9">
        <f>F168</f>
        <v>0.0052</v>
      </c>
      <c r="G170" s="8">
        <f>D170*F170</f>
        <v>-80.955992</v>
      </c>
      <c r="H170" s="8">
        <f>B170-G170</f>
        <v>-0.004007999999998901</v>
      </c>
      <c r="I170" s="8"/>
    </row>
    <row r="171" spans="2:9" s="16" customFormat="1" ht="13.5" thickBot="1">
      <c r="B171" s="16">
        <f>SUM(B167:B170)</f>
        <v>164580.43000000002</v>
      </c>
      <c r="C171" s="16">
        <f>SUM(C167:C170)</f>
        <v>30671571.92</v>
      </c>
      <c r="D171" s="16">
        <f>SUM(D167:D170)</f>
        <v>978485.4600000001</v>
      </c>
      <c r="E171" s="16">
        <f>SUM(E167:E170)</f>
        <v>0</v>
      </c>
      <c r="G171" s="16">
        <f>SUM(G167:G170)</f>
        <v>164580.29837600002</v>
      </c>
      <c r="H171" s="16">
        <f>SUM(H167:H170)</f>
        <v>0.13162399998816454</v>
      </c>
      <c r="I171" s="16">
        <f>I165+B171</f>
        <v>952394.4600000001</v>
      </c>
    </row>
    <row r="173" spans="1:8" ht="12.75">
      <c r="A173" t="s">
        <v>14</v>
      </c>
      <c r="B173" s="1">
        <v>148605.37</v>
      </c>
      <c r="C173" s="1">
        <v>28577944.88</v>
      </c>
      <c r="F173" s="2">
        <v>0.0052</v>
      </c>
      <c r="G173" s="1">
        <f>C173*F173</f>
        <v>148605.31337599998</v>
      </c>
      <c r="H173" s="1">
        <f>B173-G173</f>
        <v>0.0566240000189282</v>
      </c>
    </row>
    <row r="174" spans="2:8" ht="12.75">
      <c r="B174" s="1">
        <v>4740.96</v>
      </c>
      <c r="D174" s="1">
        <v>911706.03</v>
      </c>
      <c r="F174" s="2">
        <v>0.0052</v>
      </c>
      <c r="G174" s="1">
        <f>D174*F174</f>
        <v>4740.871356</v>
      </c>
      <c r="H174" s="1">
        <f>B174-G174</f>
        <v>0.08864400000038586</v>
      </c>
    </row>
    <row r="175" spans="6:8" ht="12.75">
      <c r="F175" s="2">
        <f>F173</f>
        <v>0.0052</v>
      </c>
      <c r="G175" s="1">
        <f>C175*F175</f>
        <v>0</v>
      </c>
      <c r="H175" s="1">
        <f>B175-G175</f>
        <v>0</v>
      </c>
    </row>
    <row r="176" spans="2:9" s="7" customFormat="1" ht="12.75">
      <c r="B176" s="8"/>
      <c r="C176" s="8"/>
      <c r="D176" s="8"/>
      <c r="E176" s="8"/>
      <c r="F176" s="9">
        <f>F174</f>
        <v>0.0052</v>
      </c>
      <c r="G176" s="8">
        <f>D176*F176</f>
        <v>0</v>
      </c>
      <c r="H176" s="8">
        <f>B176-G176</f>
        <v>0</v>
      </c>
      <c r="I176" s="8"/>
    </row>
    <row r="177" spans="2:9" s="16" customFormat="1" ht="13.5" thickBot="1">
      <c r="B177" s="16">
        <f>SUM(B173:B176)</f>
        <v>153346.33</v>
      </c>
      <c r="C177" s="16">
        <f>SUM(C173:C176)</f>
        <v>28577944.88</v>
      </c>
      <c r="D177" s="16">
        <f>SUM(D173:D176)</f>
        <v>911706.03</v>
      </c>
      <c r="E177" s="16">
        <f>SUM(E173:E176)</f>
        <v>0</v>
      </c>
      <c r="G177" s="16">
        <f>SUM(G173:G176)</f>
        <v>153346.18473199997</v>
      </c>
      <c r="H177" s="16">
        <f>SUM(H173:H176)</f>
        <v>0.14526800001931406</v>
      </c>
      <c r="I177" s="16">
        <f>I171+B177</f>
        <v>1105740.79</v>
      </c>
    </row>
    <row r="179" ht="12.75">
      <c r="I179" s="1">
        <v>1105740.79</v>
      </c>
    </row>
    <row r="180" ht="12.75">
      <c r="I180" s="1">
        <f>I177-I179</f>
        <v>0</v>
      </c>
    </row>
    <row r="187" spans="1:6" ht="12.75">
      <c r="A187" t="s">
        <v>114</v>
      </c>
      <c r="F187" s="2"/>
    </row>
    <row r="188" spans="1:6" ht="12.75">
      <c r="A188" t="s">
        <v>40</v>
      </c>
      <c r="F188" s="2"/>
    </row>
    <row r="189" spans="1:6" ht="12.75">
      <c r="A189" t="s">
        <v>41</v>
      </c>
      <c r="F189" s="2"/>
    </row>
    <row r="190" ht="12.75">
      <c r="F190" s="2"/>
    </row>
    <row r="191" spans="2:9" s="4" customFormat="1" ht="25.5">
      <c r="B191" s="5" t="s">
        <v>15</v>
      </c>
      <c r="C191" s="5" t="s">
        <v>16</v>
      </c>
      <c r="D191" s="5" t="s">
        <v>36</v>
      </c>
      <c r="E191" s="5" t="s">
        <v>35</v>
      </c>
      <c r="F191" s="6" t="s">
        <v>17</v>
      </c>
      <c r="G191" s="5" t="s">
        <v>18</v>
      </c>
      <c r="H191" s="5" t="s">
        <v>19</v>
      </c>
      <c r="I191" s="5" t="s">
        <v>22</v>
      </c>
    </row>
    <row r="192" ht="12.75">
      <c r="F192" s="2"/>
    </row>
    <row r="193" spans="1:8" ht="12.75">
      <c r="A193" t="s">
        <v>3</v>
      </c>
      <c r="B193" s="1">
        <v>-9680.2</v>
      </c>
      <c r="E193" s="1">
        <v>16133.69</v>
      </c>
      <c r="F193" s="2">
        <v>-0.6</v>
      </c>
      <c r="G193" s="1">
        <f>E193*F193</f>
        <v>-9680.214</v>
      </c>
      <c r="H193" s="1">
        <f>B193-G193</f>
        <v>0.013999999999214197</v>
      </c>
    </row>
    <row r="194" spans="2:9" s="7" customFormat="1" ht="12.75">
      <c r="B194" s="8">
        <v>0</v>
      </c>
      <c r="C194" s="8"/>
      <c r="D194" s="8"/>
      <c r="E194" s="8"/>
      <c r="F194" s="9">
        <v>-0.6</v>
      </c>
      <c r="G194" s="8">
        <f>E194*F194</f>
        <v>0</v>
      </c>
      <c r="H194" s="8">
        <f>B194-G194</f>
        <v>0</v>
      </c>
      <c r="I194" s="8"/>
    </row>
    <row r="195" spans="2:9" s="16" customFormat="1" ht="13.5" thickBot="1">
      <c r="B195" s="16">
        <f>SUM(B193:B194)</f>
        <v>-9680.2</v>
      </c>
      <c r="C195" s="16">
        <f>SUM(C193:C194)</f>
        <v>0</v>
      </c>
      <c r="D195" s="16">
        <f>SUM(D193:D194)</f>
        <v>0</v>
      </c>
      <c r="E195" s="16">
        <f>SUM(E193:E194)</f>
        <v>16133.69</v>
      </c>
      <c r="G195" s="16">
        <f>SUM(G193:G194)</f>
        <v>-9680.214</v>
      </c>
      <c r="H195" s="16">
        <f>SUM(H193:H194)</f>
        <v>0.013999999999214197</v>
      </c>
      <c r="I195" s="16">
        <f>B195</f>
        <v>-9680.2</v>
      </c>
    </row>
    <row r="197" spans="1:8" ht="12.75">
      <c r="A197" t="s">
        <v>4</v>
      </c>
      <c r="B197" s="1">
        <v>-9610.5</v>
      </c>
      <c r="E197" s="1">
        <v>16017.49</v>
      </c>
      <c r="F197" s="2">
        <v>-0.6</v>
      </c>
      <c r="G197" s="1">
        <f>E197*F197</f>
        <v>-9610.493999999999</v>
      </c>
      <c r="H197" s="1">
        <f>B197-G197</f>
        <v>-0.006000000001222361</v>
      </c>
    </row>
    <row r="198" spans="2:9" s="7" customFormat="1" ht="12.75">
      <c r="B198" s="8">
        <v>224.79</v>
      </c>
      <c r="C198" s="8"/>
      <c r="D198" s="8"/>
      <c r="E198" s="8">
        <v>-374.65</v>
      </c>
      <c r="F198" s="9">
        <v>-0.6</v>
      </c>
      <c r="G198" s="8">
        <f>E198*F198</f>
        <v>224.79</v>
      </c>
      <c r="H198" s="8">
        <f>B198-G198</f>
        <v>0</v>
      </c>
      <c r="I198" s="8"/>
    </row>
    <row r="199" spans="2:9" s="16" customFormat="1" ht="13.5" thickBot="1">
      <c r="B199" s="16">
        <f>SUM(B197:B198)</f>
        <v>-9385.71</v>
      </c>
      <c r="C199" s="16">
        <f>SUM(C197:C198)</f>
        <v>0</v>
      </c>
      <c r="D199" s="16">
        <f>SUM(D197:D198)</f>
        <v>0</v>
      </c>
      <c r="E199" s="16">
        <f>SUM(E197:E198)</f>
        <v>15642.84</v>
      </c>
      <c r="G199" s="16">
        <f>SUM(G197:G198)</f>
        <v>-9385.703999999998</v>
      </c>
      <c r="H199" s="16">
        <f>SUM(H197:H198)</f>
        <v>-0.006000000001222361</v>
      </c>
      <c r="I199" s="16">
        <f>I195+B199</f>
        <v>-19065.91</v>
      </c>
    </row>
    <row r="201" spans="1:8" ht="12.75">
      <c r="A201" t="s">
        <v>5</v>
      </c>
      <c r="B201" s="1">
        <v>-16645.07</v>
      </c>
      <c r="E201" s="1">
        <v>27741.81</v>
      </c>
      <c r="F201" s="2">
        <v>-0.6</v>
      </c>
      <c r="G201" s="1">
        <f>E201*F201</f>
        <v>-16645.086</v>
      </c>
      <c r="H201" s="1">
        <f>B201-G201</f>
        <v>0.01599999999962165</v>
      </c>
    </row>
    <row r="202" spans="2:9" s="7" customFormat="1" ht="12.75">
      <c r="B202" s="8">
        <v>718.38</v>
      </c>
      <c r="C202" s="8"/>
      <c r="D202" s="8"/>
      <c r="E202" s="8">
        <v>-1197.3</v>
      </c>
      <c r="F202" s="9">
        <v>-0.6</v>
      </c>
      <c r="G202" s="8">
        <f>E202*F202</f>
        <v>718.38</v>
      </c>
      <c r="H202" s="8">
        <f>B202-G202</f>
        <v>0</v>
      </c>
      <c r="I202" s="8"/>
    </row>
    <row r="203" spans="2:9" s="16" customFormat="1" ht="13.5" thickBot="1">
      <c r="B203" s="16">
        <f>SUM(B201:B202)</f>
        <v>-15926.69</v>
      </c>
      <c r="C203" s="16">
        <f>SUM(C201:C202)</f>
        <v>0</v>
      </c>
      <c r="D203" s="16">
        <f>SUM(D201:D202)</f>
        <v>0</v>
      </c>
      <c r="E203" s="16">
        <f>SUM(E201:E202)</f>
        <v>26544.510000000002</v>
      </c>
      <c r="G203" s="16">
        <f>SUM(G201:G202)</f>
        <v>-15926.706</v>
      </c>
      <c r="H203" s="16">
        <f>SUM(H201:H202)</f>
        <v>0.01599999999962165</v>
      </c>
      <c r="I203" s="16">
        <f>I199+B203</f>
        <v>-34992.6</v>
      </c>
    </row>
    <row r="205" spans="1:8" ht="12.75">
      <c r="A205" t="s">
        <v>6</v>
      </c>
      <c r="B205" s="1">
        <v>-15541.35</v>
      </c>
      <c r="E205" s="1">
        <v>25902.29</v>
      </c>
      <c r="F205" s="2">
        <v>-0.6</v>
      </c>
      <c r="G205" s="1">
        <f>E205*F205</f>
        <v>-15541.374</v>
      </c>
      <c r="H205" s="1">
        <f>B205-G205</f>
        <v>0.023999999999432475</v>
      </c>
    </row>
    <row r="206" spans="2:9" s="7" customFormat="1" ht="12.75">
      <c r="B206" s="8">
        <v>1095.76</v>
      </c>
      <c r="C206" s="8"/>
      <c r="D206" s="8"/>
      <c r="E206" s="8">
        <v>-1826.27</v>
      </c>
      <c r="F206" s="9">
        <v>-0.6</v>
      </c>
      <c r="G206" s="8">
        <f>E206*F206</f>
        <v>1095.762</v>
      </c>
      <c r="H206" s="8">
        <f>B206-G206</f>
        <v>-0.0019999999999527063</v>
      </c>
      <c r="I206" s="8"/>
    </row>
    <row r="207" spans="2:9" s="16" customFormat="1" ht="13.5" thickBot="1">
      <c r="B207" s="16">
        <f>SUM(B205:B206)</f>
        <v>-14445.59</v>
      </c>
      <c r="C207" s="16">
        <f>SUM(C205:C206)</f>
        <v>0</v>
      </c>
      <c r="D207" s="16">
        <f>SUM(D205:D206)</f>
        <v>0</v>
      </c>
      <c r="E207" s="16">
        <f>SUM(E205:E206)</f>
        <v>24076.02</v>
      </c>
      <c r="G207" s="16">
        <f>SUM(G205:G206)</f>
        <v>-14445.612</v>
      </c>
      <c r="H207" s="16">
        <f>SUM(H205:H206)</f>
        <v>0.02199999999947977</v>
      </c>
      <c r="I207" s="16">
        <f>I203+B207</f>
        <v>-49438.19</v>
      </c>
    </row>
    <row r="209" spans="1:8" ht="12.75">
      <c r="A209" t="s">
        <v>7</v>
      </c>
      <c r="B209" s="1">
        <v>-14492.22</v>
      </c>
      <c r="E209" s="1">
        <v>24153.71</v>
      </c>
      <c r="F209" s="2">
        <v>-0.6</v>
      </c>
      <c r="G209" s="1">
        <f>E209*F209</f>
        <v>-14492.225999999999</v>
      </c>
      <c r="H209" s="1">
        <f>B209-G209</f>
        <v>0.0059999999994033715</v>
      </c>
    </row>
    <row r="210" spans="2:9" s="7" customFormat="1" ht="12.75">
      <c r="B210" s="8">
        <v>466.96</v>
      </c>
      <c r="C210" s="8"/>
      <c r="D210" s="8"/>
      <c r="E210" s="8">
        <v>-778.27</v>
      </c>
      <c r="F210" s="9">
        <v>-0.6</v>
      </c>
      <c r="G210" s="8">
        <f>E210*F210</f>
        <v>466.962</v>
      </c>
      <c r="H210" s="8">
        <f>B210-G210</f>
        <v>-0.0020000000000095497</v>
      </c>
      <c r="I210" s="8"/>
    </row>
    <row r="211" spans="2:9" s="16" customFormat="1" ht="13.5" thickBot="1">
      <c r="B211" s="16">
        <f>SUM(B209:B210)</f>
        <v>-14025.26</v>
      </c>
      <c r="C211" s="16">
        <f>SUM(C209:C210)</f>
        <v>0</v>
      </c>
      <c r="D211" s="16">
        <f>SUM(D209:D210)</f>
        <v>0</v>
      </c>
      <c r="E211" s="16">
        <f>SUM(E209:E210)</f>
        <v>23375.44</v>
      </c>
      <c r="G211" s="16">
        <f>SUM(G209:G210)</f>
        <v>-14025.264</v>
      </c>
      <c r="H211" s="16">
        <f>SUM(H209:H210)</f>
        <v>0.003999999999393822</v>
      </c>
      <c r="I211" s="16">
        <f>I207+B211</f>
        <v>-63463.450000000004</v>
      </c>
    </row>
    <row r="213" spans="1:8" ht="12.75">
      <c r="A213" t="s">
        <v>8</v>
      </c>
      <c r="B213" s="1">
        <v>-16979.21</v>
      </c>
      <c r="E213" s="1">
        <v>28298.67</v>
      </c>
      <c r="F213" s="2">
        <v>-0.6</v>
      </c>
      <c r="G213" s="1">
        <f>E213*F213</f>
        <v>-16979.201999999997</v>
      </c>
      <c r="H213" s="1">
        <f>B213-G213</f>
        <v>-0.008000000001629815</v>
      </c>
    </row>
    <row r="214" spans="2:9" s="7" customFormat="1" ht="12.75">
      <c r="B214" s="8">
        <v>339.84</v>
      </c>
      <c r="C214" s="8"/>
      <c r="D214" s="8"/>
      <c r="E214" s="8">
        <v>-566.4</v>
      </c>
      <c r="F214" s="9">
        <v>-0.6</v>
      </c>
      <c r="G214" s="8">
        <f>E214*F214</f>
        <v>339.84</v>
      </c>
      <c r="H214" s="8">
        <f>B214-G214</f>
        <v>0</v>
      </c>
      <c r="I214" s="8"/>
    </row>
    <row r="215" spans="2:9" s="16" customFormat="1" ht="13.5" thickBot="1">
      <c r="B215" s="16">
        <f>SUM(B213:B214)</f>
        <v>-16639.37</v>
      </c>
      <c r="C215" s="16">
        <f>SUM(C213:C214)</f>
        <v>0</v>
      </c>
      <c r="D215" s="16">
        <f>SUM(D213:D214)</f>
        <v>0</v>
      </c>
      <c r="E215" s="16">
        <f>SUM(E213:E214)</f>
        <v>27732.269999999997</v>
      </c>
      <c r="G215" s="16">
        <f>SUM(G213:G214)</f>
        <v>-16639.361999999997</v>
      </c>
      <c r="H215" s="16">
        <f>SUM(H213:H214)</f>
        <v>-0.008000000001629815</v>
      </c>
      <c r="I215" s="16">
        <f>I211+B215</f>
        <v>-80102.82</v>
      </c>
    </row>
    <row r="217" spans="1:8" ht="12.75">
      <c r="A217" t="s">
        <v>9</v>
      </c>
      <c r="B217" s="1">
        <v>-17002.62</v>
      </c>
      <c r="E217" s="1">
        <v>28337.68</v>
      </c>
      <c r="F217" s="2">
        <v>-0.6</v>
      </c>
      <c r="G217" s="1">
        <f>E217*F217</f>
        <v>-17002.608</v>
      </c>
      <c r="H217" s="1">
        <f>B217-G217</f>
        <v>-0.011999999998806743</v>
      </c>
    </row>
    <row r="218" spans="2:9" s="7" customFormat="1" ht="12.75">
      <c r="B218" s="8">
        <v>0</v>
      </c>
      <c r="C218" s="8"/>
      <c r="D218" s="8"/>
      <c r="E218" s="8"/>
      <c r="F218" s="9">
        <v>-0.6</v>
      </c>
      <c r="G218" s="8">
        <f>E218*F218</f>
        <v>0</v>
      </c>
      <c r="H218" s="8">
        <f>B218-G218</f>
        <v>0</v>
      </c>
      <c r="I218" s="8"/>
    </row>
    <row r="219" spans="2:9" s="16" customFormat="1" ht="13.5" thickBot="1">
      <c r="B219" s="16">
        <f>SUM(B217:B218)</f>
        <v>-17002.62</v>
      </c>
      <c r="C219" s="16">
        <f>SUM(C217:C218)</f>
        <v>0</v>
      </c>
      <c r="D219" s="16">
        <f>SUM(D217:D218)</f>
        <v>0</v>
      </c>
      <c r="E219" s="16">
        <f>SUM(E217:E218)</f>
        <v>28337.68</v>
      </c>
      <c r="G219" s="16">
        <f>SUM(G217:G218)</f>
        <v>-17002.608</v>
      </c>
      <c r="H219" s="16">
        <f>SUM(H217:H218)</f>
        <v>-0.011999999998806743</v>
      </c>
      <c r="I219" s="16">
        <f>I215+B219</f>
        <v>-97105.44</v>
      </c>
    </row>
    <row r="221" spans="1:8" ht="12.75">
      <c r="A221" t="s">
        <v>10</v>
      </c>
      <c r="B221" s="1">
        <v>-16930.22</v>
      </c>
      <c r="E221" s="1">
        <v>28216.99</v>
      </c>
      <c r="F221" s="2">
        <v>-0.6</v>
      </c>
      <c r="G221" s="1">
        <f>E221*F221</f>
        <v>-16930.194</v>
      </c>
      <c r="H221" s="1">
        <f>B221-G221</f>
        <v>-0.02600000000165892</v>
      </c>
    </row>
    <row r="222" spans="2:9" s="7" customFormat="1" ht="12.75">
      <c r="B222" s="8">
        <v>0</v>
      </c>
      <c r="C222" s="8"/>
      <c r="D222" s="8"/>
      <c r="E222" s="8"/>
      <c r="F222" s="9">
        <v>-0.6</v>
      </c>
      <c r="G222" s="8">
        <f>E222*F222</f>
        <v>0</v>
      </c>
      <c r="H222" s="8">
        <f>B222-G222</f>
        <v>0</v>
      </c>
      <c r="I222" s="8"/>
    </row>
    <row r="223" spans="2:9" s="16" customFormat="1" ht="13.5" thickBot="1">
      <c r="B223" s="16">
        <f>SUM(B221:B222)</f>
        <v>-16930.22</v>
      </c>
      <c r="C223" s="16">
        <f>SUM(C221:C222)</f>
        <v>0</v>
      </c>
      <c r="D223" s="16">
        <f>SUM(D221:D222)</f>
        <v>0</v>
      </c>
      <c r="E223" s="16">
        <f>SUM(E221:E222)</f>
        <v>28216.99</v>
      </c>
      <c r="G223" s="16">
        <f>SUM(G221:G222)</f>
        <v>-16930.194</v>
      </c>
      <c r="H223" s="16">
        <f>SUM(H221:H222)</f>
        <v>-0.02600000000165892</v>
      </c>
      <c r="I223" s="16">
        <f>I219+B223</f>
        <v>-114035.66</v>
      </c>
    </row>
    <row r="225" spans="1:8" ht="12.75">
      <c r="A225" t="s">
        <v>11</v>
      </c>
      <c r="B225" s="1">
        <v>-16847.54</v>
      </c>
      <c r="E225" s="1">
        <v>28079.19</v>
      </c>
      <c r="F225" s="2">
        <v>-0.6</v>
      </c>
      <c r="G225" s="1">
        <f>E225*F225</f>
        <v>-16847.514</v>
      </c>
      <c r="H225" s="1">
        <f>B225-G225</f>
        <v>-0.02600000000165892</v>
      </c>
    </row>
    <row r="226" spans="2:9" s="7" customFormat="1" ht="12.75">
      <c r="B226" s="8">
        <v>0</v>
      </c>
      <c r="C226" s="8"/>
      <c r="D226" s="8"/>
      <c r="E226" s="8"/>
      <c r="F226" s="9">
        <v>-0.6</v>
      </c>
      <c r="G226" s="8">
        <f>E226*F226</f>
        <v>0</v>
      </c>
      <c r="H226" s="8">
        <f>B226-G226</f>
        <v>0</v>
      </c>
      <c r="I226" s="8"/>
    </row>
    <row r="227" spans="2:9" s="16" customFormat="1" ht="13.5" thickBot="1">
      <c r="B227" s="16">
        <f>SUM(B225:B226)</f>
        <v>-16847.54</v>
      </c>
      <c r="C227" s="16">
        <f>SUM(C225:C226)</f>
        <v>0</v>
      </c>
      <c r="D227" s="16">
        <f>SUM(D225:D226)</f>
        <v>0</v>
      </c>
      <c r="E227" s="16">
        <f>SUM(E225:E226)</f>
        <v>28079.19</v>
      </c>
      <c r="G227" s="16">
        <f>SUM(G225:G226)</f>
        <v>-16847.514</v>
      </c>
      <c r="H227" s="16">
        <f>SUM(H225:H226)</f>
        <v>-0.02600000000165892</v>
      </c>
      <c r="I227" s="16">
        <f>I223+B227</f>
        <v>-130883.20000000001</v>
      </c>
    </row>
    <row r="229" spans="1:8" ht="12.75">
      <c r="A229" t="s">
        <v>12</v>
      </c>
      <c r="B229" s="1">
        <v>-17210.79</v>
      </c>
      <c r="E229" s="1">
        <v>28684.64</v>
      </c>
      <c r="F229" s="2">
        <v>-0.6</v>
      </c>
      <c r="G229" s="1">
        <f>E229*F229</f>
        <v>-17210.784</v>
      </c>
      <c r="H229" s="1">
        <f>B229-G229</f>
        <v>-0.006000000001222361</v>
      </c>
    </row>
    <row r="230" spans="2:9" s="7" customFormat="1" ht="12.75">
      <c r="B230" s="8">
        <v>0</v>
      </c>
      <c r="C230" s="8"/>
      <c r="D230" s="8"/>
      <c r="E230" s="8"/>
      <c r="F230" s="9">
        <v>-0.6</v>
      </c>
      <c r="G230" s="8">
        <f>E230*F230</f>
        <v>0</v>
      </c>
      <c r="H230" s="8">
        <f>B230-G230</f>
        <v>0</v>
      </c>
      <c r="I230" s="8"/>
    </row>
    <row r="231" spans="2:9" s="16" customFormat="1" ht="13.5" thickBot="1">
      <c r="B231" s="16">
        <f>SUM(B229:B230)</f>
        <v>-17210.79</v>
      </c>
      <c r="C231" s="16">
        <f>SUM(C229:C230)</f>
        <v>0</v>
      </c>
      <c r="D231" s="16">
        <f>SUM(D229:D230)</f>
        <v>0</v>
      </c>
      <c r="E231" s="16">
        <f>SUM(E229:E230)</f>
        <v>28684.64</v>
      </c>
      <c r="G231" s="16">
        <f>SUM(G229:G230)</f>
        <v>-17210.784</v>
      </c>
      <c r="H231" s="16">
        <f>SUM(H229:H230)</f>
        <v>-0.006000000001222361</v>
      </c>
      <c r="I231" s="16">
        <f>I227+B231</f>
        <v>-148093.99000000002</v>
      </c>
    </row>
    <row r="233" spans="1:8" ht="12.75">
      <c r="A233" t="s">
        <v>13</v>
      </c>
      <c r="B233" s="1">
        <v>-16869.07</v>
      </c>
      <c r="E233" s="1">
        <v>28115.12</v>
      </c>
      <c r="F233" s="2">
        <v>-0.6</v>
      </c>
      <c r="G233" s="1">
        <f>E233*F233</f>
        <v>-16869.072</v>
      </c>
      <c r="H233" s="1">
        <f>B233-G233</f>
        <v>0.0020000000004074536</v>
      </c>
    </row>
    <row r="234" spans="2:9" s="7" customFormat="1" ht="12.75">
      <c r="B234" s="8">
        <v>0</v>
      </c>
      <c r="C234" s="8"/>
      <c r="D234" s="8"/>
      <c r="E234" s="8"/>
      <c r="F234" s="9">
        <v>-0.6</v>
      </c>
      <c r="G234" s="8">
        <f>E234*F234</f>
        <v>0</v>
      </c>
      <c r="H234" s="8">
        <f>B234-G234</f>
        <v>0</v>
      </c>
      <c r="I234" s="8"/>
    </row>
    <row r="235" spans="2:9" s="16" customFormat="1" ht="13.5" thickBot="1">
      <c r="B235" s="16">
        <f>SUM(B233:B234)</f>
        <v>-16869.07</v>
      </c>
      <c r="C235" s="16">
        <f>SUM(C233:C234)</f>
        <v>0</v>
      </c>
      <c r="D235" s="16">
        <f>SUM(D233:D234)</f>
        <v>0</v>
      </c>
      <c r="E235" s="16">
        <f>SUM(E233:E234)</f>
        <v>28115.12</v>
      </c>
      <c r="G235" s="16">
        <f>SUM(G233:G234)</f>
        <v>-16869.072</v>
      </c>
      <c r="H235" s="16">
        <f>SUM(H233:H234)</f>
        <v>0.0020000000004074536</v>
      </c>
      <c r="I235" s="16">
        <f>I231+B235</f>
        <v>-164963.06000000003</v>
      </c>
    </row>
    <row r="237" spans="1:8" ht="12.75">
      <c r="A237" t="s">
        <v>14</v>
      </c>
      <c r="B237" s="1">
        <v>-16082.51</v>
      </c>
      <c r="E237" s="1">
        <v>26804.17</v>
      </c>
      <c r="F237" s="2">
        <v>-0.6</v>
      </c>
      <c r="G237" s="1">
        <f>E237*F237</f>
        <v>-16082.501999999999</v>
      </c>
      <c r="H237" s="1">
        <f>B237-G237</f>
        <v>-0.008000000001629815</v>
      </c>
    </row>
    <row r="238" spans="2:9" s="7" customFormat="1" ht="12.75">
      <c r="B238" s="8">
        <v>0</v>
      </c>
      <c r="C238" s="8"/>
      <c r="D238" s="8"/>
      <c r="E238" s="8"/>
      <c r="F238" s="9">
        <v>-0.6</v>
      </c>
      <c r="G238" s="8">
        <f>E238*F238</f>
        <v>0</v>
      </c>
      <c r="H238" s="8">
        <f>B238-G238</f>
        <v>0</v>
      </c>
      <c r="I238" s="8"/>
    </row>
    <row r="239" spans="2:9" s="16" customFormat="1" ht="13.5" thickBot="1">
      <c r="B239" s="16">
        <f>SUM(B237:B238)</f>
        <v>-16082.51</v>
      </c>
      <c r="C239" s="16">
        <f>SUM(C237:C238)</f>
        <v>0</v>
      </c>
      <c r="D239" s="16">
        <f>SUM(D237:D238)</f>
        <v>0</v>
      </c>
      <c r="E239" s="16">
        <f>SUM(E237:E238)</f>
        <v>26804.17</v>
      </c>
      <c r="G239" s="16">
        <f>SUM(G237:G238)</f>
        <v>-16082.501999999999</v>
      </c>
      <c r="H239" s="16">
        <f>SUM(H237:H238)</f>
        <v>-0.008000000001629815</v>
      </c>
      <c r="I239" s="16">
        <f>I235+B239</f>
        <v>-181045.57000000004</v>
      </c>
    </row>
    <row r="241" ht="12.75">
      <c r="I241" s="1">
        <v>-181045.57</v>
      </c>
    </row>
    <row r="242" ht="12.75">
      <c r="I242" s="1">
        <f>I239-I241</f>
        <v>0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81" r:id="rId1"/>
  <rowBreaks count="2" manualBreakCount="2">
    <brk id="62" max="8" man="1"/>
    <brk id="186" max="8" man="1"/>
  </rowBreaks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84"/>
  <sheetViews>
    <sheetView zoomScale="75" zoomScaleNormal="75" zoomScalePageLayoutView="0" workbookViewId="0" topLeftCell="A1">
      <selection activeCell="A1" sqref="A1:M58"/>
    </sheetView>
  </sheetViews>
  <sheetFormatPr defaultColWidth="9.140625" defaultRowHeight="12.75"/>
  <cols>
    <col min="2" max="2" width="13.00390625" style="0" bestFit="1" customWidth="1"/>
    <col min="3" max="3" width="16.28125" style="0" bestFit="1" customWidth="1"/>
    <col min="4" max="4" width="14.7109375" style="0" bestFit="1" customWidth="1"/>
    <col min="5" max="5" width="11.421875" style="0" bestFit="1" customWidth="1"/>
    <col min="6" max="6" width="9.28125" style="0" bestFit="1" customWidth="1"/>
    <col min="7" max="7" width="13.00390625" style="0" bestFit="1" customWidth="1"/>
    <col min="8" max="8" width="12.421875" style="0" bestFit="1" customWidth="1"/>
    <col min="9" max="9" width="14.7109375" style="0" bestFit="1" customWidth="1"/>
    <col min="11" max="11" width="11.28125" style="0" bestFit="1" customWidth="1"/>
  </cols>
  <sheetData>
    <row r="1" spans="1:9" ht="12.75">
      <c r="A1" t="s">
        <v>42</v>
      </c>
      <c r="B1" s="1"/>
      <c r="C1" s="1"/>
      <c r="D1" s="1"/>
      <c r="E1" s="1"/>
      <c r="F1" s="2"/>
      <c r="G1" s="1"/>
      <c r="H1" s="1"/>
      <c r="I1" s="1"/>
    </row>
    <row r="2" spans="1:9" ht="12.75">
      <c r="A2" t="s">
        <v>43</v>
      </c>
      <c r="B2" s="1"/>
      <c r="C2" s="1"/>
      <c r="D2" s="1"/>
      <c r="E2" s="1"/>
      <c r="F2" s="2"/>
      <c r="G2" s="1"/>
      <c r="H2" s="1"/>
      <c r="I2" s="1"/>
    </row>
    <row r="3" spans="1:9" ht="12.75">
      <c r="A3" t="s">
        <v>44</v>
      </c>
      <c r="B3" s="1"/>
      <c r="C3" s="1"/>
      <c r="D3" s="1"/>
      <c r="E3" s="1"/>
      <c r="F3" s="2"/>
      <c r="G3" s="1"/>
      <c r="H3" s="1"/>
      <c r="I3" s="1"/>
    </row>
    <row r="4" spans="2:9" ht="12.75">
      <c r="B4" s="1"/>
      <c r="C4" s="1"/>
      <c r="D4" s="1"/>
      <c r="E4" s="1"/>
      <c r="F4" s="2"/>
      <c r="G4" s="1"/>
      <c r="H4" s="1"/>
      <c r="I4" s="1"/>
    </row>
    <row r="5" spans="2:11" s="4" customFormat="1" ht="25.5">
      <c r="B5" s="5" t="s">
        <v>15</v>
      </c>
      <c r="C5" s="5" t="s">
        <v>16</v>
      </c>
      <c r="D5" s="5" t="s">
        <v>36</v>
      </c>
      <c r="E5" s="5" t="s">
        <v>35</v>
      </c>
      <c r="F5" s="6" t="s">
        <v>17</v>
      </c>
      <c r="G5" s="5" t="s">
        <v>18</v>
      </c>
      <c r="H5" s="5" t="s">
        <v>19</v>
      </c>
      <c r="I5" s="5" t="s">
        <v>22</v>
      </c>
      <c r="K5" s="4" t="s">
        <v>163</v>
      </c>
    </row>
    <row r="6" spans="2:9" ht="12.75">
      <c r="B6" s="1"/>
      <c r="C6" s="1"/>
      <c r="D6" s="1"/>
      <c r="E6" s="1"/>
      <c r="F6" s="2"/>
      <c r="G6" s="1"/>
      <c r="H6" s="1"/>
      <c r="I6" s="1"/>
    </row>
    <row r="7" spans="1:9" ht="12.75">
      <c r="A7" t="s">
        <v>3</v>
      </c>
      <c r="B7" s="1">
        <v>102534.03</v>
      </c>
      <c r="C7" s="1"/>
      <c r="D7" s="1"/>
      <c r="E7" s="1">
        <v>72539.11</v>
      </c>
      <c r="F7" s="2">
        <v>1.4135</v>
      </c>
      <c r="G7" s="1">
        <f>E7*F7</f>
        <v>102534.031985</v>
      </c>
      <c r="H7" s="1">
        <f>B7-G7</f>
        <v>-0.0019849999953294173</v>
      </c>
      <c r="I7" s="1"/>
    </row>
    <row r="8" spans="2:9" s="7" customFormat="1" ht="12.75">
      <c r="B8" s="8">
        <v>-3111.68</v>
      </c>
      <c r="C8" s="8"/>
      <c r="D8" s="8"/>
      <c r="E8" s="8">
        <v>-2201.4</v>
      </c>
      <c r="F8" s="9">
        <v>1.4135</v>
      </c>
      <c r="G8" s="8">
        <f>E8*F8</f>
        <v>-3111.6789</v>
      </c>
      <c r="H8" s="8">
        <f>B8-G8</f>
        <v>-0.001099999999951251</v>
      </c>
      <c r="I8" s="8"/>
    </row>
    <row r="9" spans="2:9" s="15" customFormat="1" ht="13.5" thickBot="1">
      <c r="B9" s="16">
        <f>SUM(B7:B8)</f>
        <v>99422.35</v>
      </c>
      <c r="C9" s="16"/>
      <c r="D9" s="16"/>
      <c r="E9" s="16">
        <f>SUM(E7:E8)</f>
        <v>70337.71</v>
      </c>
      <c r="G9" s="16">
        <f>SUM(G7:G8)</f>
        <v>99422.353085</v>
      </c>
      <c r="H9" s="16">
        <f>SUM(H7:H8)</f>
        <v>-0.0030849999952806684</v>
      </c>
      <c r="I9" s="16">
        <f>B9</f>
        <v>99422.35</v>
      </c>
    </row>
    <row r="11" spans="1:9" ht="12.75">
      <c r="A11" t="s">
        <v>4</v>
      </c>
      <c r="B11" s="1">
        <v>104211.87</v>
      </c>
      <c r="C11" s="1"/>
      <c r="D11" s="1"/>
      <c r="E11" s="1">
        <v>73726.11</v>
      </c>
      <c r="F11" s="2">
        <v>1.4135</v>
      </c>
      <c r="G11" s="1">
        <f>E11*F11</f>
        <v>104211.856485</v>
      </c>
      <c r="H11" s="1">
        <f>B11-G11</f>
        <v>0.013514999998733401</v>
      </c>
      <c r="I11" s="1"/>
    </row>
    <row r="12" spans="2:9" s="7" customFormat="1" ht="12.75">
      <c r="B12" s="8">
        <v>-3337.27</v>
      </c>
      <c r="C12" s="8"/>
      <c r="D12" s="8"/>
      <c r="E12" s="8">
        <v>-2361</v>
      </c>
      <c r="F12" s="9">
        <v>1.4135</v>
      </c>
      <c r="G12" s="8">
        <f>E12*F12</f>
        <v>-3337.2735</v>
      </c>
      <c r="H12" s="8">
        <f>B12-G12</f>
        <v>0.003499999999803549</v>
      </c>
      <c r="I12" s="8"/>
    </row>
    <row r="13" spans="2:9" s="15" customFormat="1" ht="13.5" thickBot="1">
      <c r="B13" s="16">
        <f>SUM(B11:B12)</f>
        <v>100874.59999999999</v>
      </c>
      <c r="C13" s="16"/>
      <c r="D13" s="16"/>
      <c r="E13" s="16">
        <f>SUM(E11:E12)</f>
        <v>71365.11</v>
      </c>
      <c r="G13" s="16">
        <f>SUM(G11:G12)</f>
        <v>100874.582985</v>
      </c>
      <c r="H13" s="16">
        <f>SUM(H11:H12)</f>
        <v>0.01701499999853695</v>
      </c>
      <c r="I13" s="16">
        <f>I9+B13</f>
        <v>200296.95</v>
      </c>
    </row>
    <row r="15" spans="1:9" ht="12.75">
      <c r="A15" t="s">
        <v>5</v>
      </c>
      <c r="B15" s="1">
        <v>101408.69</v>
      </c>
      <c r="C15" s="1"/>
      <c r="D15" s="1"/>
      <c r="E15" s="1">
        <v>71742.96</v>
      </c>
      <c r="F15" s="2">
        <v>1.4135</v>
      </c>
      <c r="G15" s="1">
        <f>E15*F15</f>
        <v>101408.67396000001</v>
      </c>
      <c r="H15" s="1">
        <f>B15-G15</f>
        <v>0.01603999998769723</v>
      </c>
      <c r="I15" s="1"/>
    </row>
    <row r="16" spans="2:11" ht="12.75">
      <c r="B16" s="1">
        <v>259.3</v>
      </c>
      <c r="C16" s="1"/>
      <c r="D16" s="1"/>
      <c r="E16" s="1">
        <v>130.23</v>
      </c>
      <c r="F16" s="2">
        <v>2.0182</v>
      </c>
      <c r="G16" s="1">
        <f>E16*F16</f>
        <v>262.830186</v>
      </c>
      <c r="H16" s="1">
        <f>B16-G16</f>
        <v>-3.5301860000000147</v>
      </c>
      <c r="I16" s="1"/>
      <c r="K16" s="3">
        <f>E16</f>
        <v>130.23</v>
      </c>
    </row>
    <row r="17" spans="2:9" ht="12.75">
      <c r="B17" s="1">
        <v>-1811.46</v>
      </c>
      <c r="C17" s="1"/>
      <c r="D17" s="1"/>
      <c r="E17" s="1">
        <v>-1281.54</v>
      </c>
      <c r="F17" s="2">
        <v>1.4135</v>
      </c>
      <c r="G17" s="1">
        <f>E17*F17</f>
        <v>-1811.45679</v>
      </c>
      <c r="H17" s="1">
        <f>B17-G17</f>
        <v>-0.0032100000000809814</v>
      </c>
      <c r="I17" s="1"/>
    </row>
    <row r="18" spans="2:11" s="7" customFormat="1" ht="12.75">
      <c r="B18" s="8">
        <v>-95.78</v>
      </c>
      <c r="C18" s="8"/>
      <c r="D18" s="8"/>
      <c r="E18" s="8">
        <v>-47.46</v>
      </c>
      <c r="F18" s="9">
        <v>2.0182</v>
      </c>
      <c r="G18" s="8">
        <f>E18*F18</f>
        <v>-95.78377200000001</v>
      </c>
      <c r="H18" s="8">
        <f>B18-G18</f>
        <v>0.003772000000012099</v>
      </c>
      <c r="I18" s="8"/>
      <c r="K18" s="3">
        <f>E18</f>
        <v>-47.46</v>
      </c>
    </row>
    <row r="19" spans="2:9" s="15" customFormat="1" ht="13.5" thickBot="1">
      <c r="B19" s="16">
        <f>SUM(B15:B18)</f>
        <v>99760.75</v>
      </c>
      <c r="C19" s="16"/>
      <c r="D19" s="16"/>
      <c r="E19" s="16">
        <f>SUM(E15:E18)</f>
        <v>70544.19</v>
      </c>
      <c r="G19" s="16">
        <f>SUM(G15:G18)</f>
        <v>99764.26358400003</v>
      </c>
      <c r="H19" s="16">
        <f>SUM(H15:H18)</f>
        <v>-3.5135840000123864</v>
      </c>
      <c r="I19" s="16">
        <f>I13+B19</f>
        <v>300057.7</v>
      </c>
    </row>
    <row r="21" spans="1:11" ht="12.75">
      <c r="A21" t="s">
        <v>6</v>
      </c>
      <c r="B21" s="1">
        <v>145329.26</v>
      </c>
      <c r="C21" s="1"/>
      <c r="D21" s="1"/>
      <c r="E21" s="1">
        <v>72009.33</v>
      </c>
      <c r="F21" s="2">
        <v>2.0182</v>
      </c>
      <c r="G21" s="1">
        <f>E21*F21</f>
        <v>145329.22980600002</v>
      </c>
      <c r="H21" s="1">
        <f>B21-G21</f>
        <v>0.030193999991752207</v>
      </c>
      <c r="I21" s="1"/>
      <c r="K21" s="3">
        <f>E21</f>
        <v>72009.33</v>
      </c>
    </row>
    <row r="22" spans="2:11" s="7" customFormat="1" ht="12.75">
      <c r="B22" s="8">
        <v>0</v>
      </c>
      <c r="C22" s="8"/>
      <c r="D22" s="8"/>
      <c r="E22" s="8">
        <v>0</v>
      </c>
      <c r="F22" s="9">
        <v>2.0182</v>
      </c>
      <c r="G22" s="8">
        <f>E22*F22</f>
        <v>0</v>
      </c>
      <c r="H22" s="8">
        <f>B22-G22</f>
        <v>0</v>
      </c>
      <c r="I22" s="8"/>
      <c r="K22" s="3">
        <f>E22</f>
        <v>0</v>
      </c>
    </row>
    <row r="23" spans="2:9" s="15" customFormat="1" ht="13.5" thickBot="1">
      <c r="B23" s="16">
        <f>SUM(B21:B22)</f>
        <v>145329.26</v>
      </c>
      <c r="C23" s="16"/>
      <c r="D23" s="16"/>
      <c r="E23" s="16">
        <f>SUM(E21:E22)</f>
        <v>72009.33</v>
      </c>
      <c r="G23" s="16">
        <f>SUM(G21:G22)</f>
        <v>145329.22980600002</v>
      </c>
      <c r="H23" s="16">
        <f>SUM(H21:H22)</f>
        <v>0.030193999991752207</v>
      </c>
      <c r="I23" s="16">
        <f>I19+B23</f>
        <v>445386.96</v>
      </c>
    </row>
    <row r="25" spans="1:11" ht="12.75">
      <c r="A25" t="s">
        <v>7</v>
      </c>
      <c r="B25" s="1">
        <v>282823.67</v>
      </c>
      <c r="C25" s="1"/>
      <c r="D25" s="1"/>
      <c r="E25" s="1">
        <v>140136.59</v>
      </c>
      <c r="F25" s="2">
        <v>2.0182</v>
      </c>
      <c r="G25" s="1">
        <f>E25*F25</f>
        <v>282823.665938</v>
      </c>
      <c r="H25" s="1">
        <f>B25-G25</f>
        <v>0.004061999963596463</v>
      </c>
      <c r="I25" s="1"/>
      <c r="K25" s="3">
        <f>E25</f>
        <v>140136.59</v>
      </c>
    </row>
    <row r="26" spans="2:11" s="7" customFormat="1" ht="12.75">
      <c r="B26" s="8">
        <v>-130873.33</v>
      </c>
      <c r="C26" s="8"/>
      <c r="D26" s="8"/>
      <c r="E26" s="8">
        <v>-64846.56</v>
      </c>
      <c r="F26" s="9">
        <v>2.0182</v>
      </c>
      <c r="G26" s="8">
        <f>E26*F26</f>
        <v>-130873.327392</v>
      </c>
      <c r="H26" s="8">
        <f>B26-G26</f>
        <v>-0.0026079999952344224</v>
      </c>
      <c r="I26" s="8"/>
      <c r="K26" s="3">
        <f>E26</f>
        <v>-64846.56</v>
      </c>
    </row>
    <row r="27" spans="2:9" s="15" customFormat="1" ht="13.5" thickBot="1">
      <c r="B27" s="16">
        <f>SUM(B25:B26)</f>
        <v>151950.33999999997</v>
      </c>
      <c r="C27" s="16"/>
      <c r="D27" s="16"/>
      <c r="E27" s="16">
        <f>SUM(E25:E26)</f>
        <v>75290.03</v>
      </c>
      <c r="G27" s="16">
        <f>SUM(G25:G26)</f>
        <v>151950.338546</v>
      </c>
      <c r="H27" s="16">
        <f>SUM(H25:H26)</f>
        <v>0.0014539999683620408</v>
      </c>
      <c r="I27" s="16">
        <f>I23+B27</f>
        <v>597337.3</v>
      </c>
    </row>
    <row r="29" spans="1:11" ht="12.75">
      <c r="A29" t="s">
        <v>8</v>
      </c>
      <c r="B29" s="1">
        <v>144501</v>
      </c>
      <c r="C29" s="1"/>
      <c r="D29" s="1"/>
      <c r="E29" s="1">
        <v>71598.94</v>
      </c>
      <c r="F29" s="2">
        <v>2.0182</v>
      </c>
      <c r="G29" s="1">
        <f>E29*F29</f>
        <v>144500.98070800002</v>
      </c>
      <c r="H29" s="1">
        <f>B29-G29</f>
        <v>0.01929199998266995</v>
      </c>
      <c r="I29" s="1"/>
      <c r="K29" s="3">
        <f>E29</f>
        <v>71598.94</v>
      </c>
    </row>
    <row r="30" spans="2:11" s="7" customFormat="1" ht="12.75">
      <c r="B30" s="8"/>
      <c r="C30" s="8"/>
      <c r="D30" s="8"/>
      <c r="E30" s="8"/>
      <c r="F30" s="9">
        <v>2.0182</v>
      </c>
      <c r="G30" s="8">
        <f>E30*F30</f>
        <v>0</v>
      </c>
      <c r="H30" s="8">
        <f>B30-G30</f>
        <v>0</v>
      </c>
      <c r="I30" s="8"/>
      <c r="K30" s="3">
        <f>E30</f>
        <v>0</v>
      </c>
    </row>
    <row r="31" spans="2:9" s="15" customFormat="1" ht="13.5" thickBot="1">
      <c r="B31" s="16">
        <f>SUM(B29:B30)</f>
        <v>144501</v>
      </c>
      <c r="C31" s="16"/>
      <c r="D31" s="16"/>
      <c r="E31" s="16">
        <f>SUM(E29:E30)</f>
        <v>71598.94</v>
      </c>
      <c r="G31" s="16">
        <f>SUM(G29:G30)</f>
        <v>144500.98070800002</v>
      </c>
      <c r="H31" s="16">
        <f>SUM(H29:H30)</f>
        <v>0.01929199998266995</v>
      </c>
      <c r="I31" s="16">
        <f>I27+B31</f>
        <v>741838.3</v>
      </c>
    </row>
    <row r="33" spans="1:11" ht="12.75">
      <c r="A33" t="s">
        <v>9</v>
      </c>
      <c r="B33" s="1">
        <v>149734.97</v>
      </c>
      <c r="C33" s="1"/>
      <c r="D33" s="1"/>
      <c r="E33" s="1">
        <v>74192.33</v>
      </c>
      <c r="F33" s="2">
        <v>2.0182</v>
      </c>
      <c r="G33" s="1">
        <f>E33*F33</f>
        <v>149734.96040600003</v>
      </c>
      <c r="H33" s="1">
        <f>B33-G33</f>
        <v>0.009593999973731115</v>
      </c>
      <c r="I33" s="1"/>
      <c r="K33" s="3">
        <f>E33</f>
        <v>74192.33</v>
      </c>
    </row>
    <row r="34" spans="2:11" s="7" customFormat="1" ht="12.75">
      <c r="B34" s="8"/>
      <c r="C34" s="8"/>
      <c r="D34" s="8"/>
      <c r="E34" s="8"/>
      <c r="F34" s="9">
        <v>2.0182</v>
      </c>
      <c r="G34" s="8">
        <f>E34*F34</f>
        <v>0</v>
      </c>
      <c r="H34" s="8">
        <f>B34-G34</f>
        <v>0</v>
      </c>
      <c r="I34" s="8"/>
      <c r="K34" s="3">
        <f>E34</f>
        <v>0</v>
      </c>
    </row>
    <row r="35" spans="2:9" s="15" customFormat="1" ht="13.5" thickBot="1">
      <c r="B35" s="16">
        <f>SUM(B33:B34)</f>
        <v>149734.97</v>
      </c>
      <c r="C35" s="16"/>
      <c r="D35" s="16"/>
      <c r="E35" s="16">
        <f>SUM(E33:E34)</f>
        <v>74192.33</v>
      </c>
      <c r="G35" s="16">
        <f>SUM(G33:G34)</f>
        <v>149734.96040600003</v>
      </c>
      <c r="H35" s="16">
        <f>SUM(H33:H34)</f>
        <v>0.009593999973731115</v>
      </c>
      <c r="I35" s="16">
        <f>I31+B35</f>
        <v>891573.27</v>
      </c>
    </row>
    <row r="37" spans="1:11" ht="12.75">
      <c r="A37" t="s">
        <v>10</v>
      </c>
      <c r="B37" s="1">
        <v>177088.54</v>
      </c>
      <c r="C37" s="1"/>
      <c r="D37" s="1"/>
      <c r="E37" s="1">
        <v>87745.78</v>
      </c>
      <c r="F37" s="2">
        <v>2.0182</v>
      </c>
      <c r="G37" s="1">
        <f>E37*F37</f>
        <v>177088.533196</v>
      </c>
      <c r="H37" s="1">
        <f>B37-G37</f>
        <v>0.006804000004194677</v>
      </c>
      <c r="I37" s="1"/>
      <c r="K37" s="3">
        <f>E37</f>
        <v>87745.78</v>
      </c>
    </row>
    <row r="38" spans="2:11" s="7" customFormat="1" ht="12.75">
      <c r="B38" s="8">
        <v>-27321.48</v>
      </c>
      <c r="C38" s="8"/>
      <c r="D38" s="8"/>
      <c r="E38" s="8">
        <v>-13537.55</v>
      </c>
      <c r="F38" s="9">
        <v>2.0182</v>
      </c>
      <c r="G38" s="8">
        <f>E38*F38</f>
        <v>-27321.48341</v>
      </c>
      <c r="H38" s="8">
        <f>B38-G38</f>
        <v>0.0034100000011676457</v>
      </c>
      <c r="I38" s="8"/>
      <c r="K38" s="3">
        <f>E38</f>
        <v>-13537.55</v>
      </c>
    </row>
    <row r="39" spans="2:9" s="15" customFormat="1" ht="13.5" thickBot="1">
      <c r="B39" s="16">
        <f>SUM(B37:B38)</f>
        <v>149767.06</v>
      </c>
      <c r="C39" s="16"/>
      <c r="D39" s="16"/>
      <c r="E39" s="16">
        <f>SUM(E37:E38)</f>
        <v>74208.23</v>
      </c>
      <c r="G39" s="16">
        <f>SUM(G37:G38)</f>
        <v>149767.049786</v>
      </c>
      <c r="H39" s="16">
        <f>SUM(H37:H38)</f>
        <v>0.010214000005362323</v>
      </c>
      <c r="I39" s="16">
        <f>I35+B39</f>
        <v>1041340.3300000001</v>
      </c>
    </row>
    <row r="41" spans="1:11" ht="12.75">
      <c r="A41" t="s">
        <v>11</v>
      </c>
      <c r="B41" s="1">
        <v>150304.56</v>
      </c>
      <c r="C41" s="1"/>
      <c r="D41" s="1"/>
      <c r="E41" s="1">
        <v>74474.56</v>
      </c>
      <c r="F41" s="2">
        <v>2.0182</v>
      </c>
      <c r="G41" s="1">
        <f>E41*F41</f>
        <v>150304.556992</v>
      </c>
      <c r="H41" s="1">
        <f>B41-G41</f>
        <v>0.0030079999996814877</v>
      </c>
      <c r="I41" s="1"/>
      <c r="K41" s="3">
        <f>E41</f>
        <v>74474.56</v>
      </c>
    </row>
    <row r="42" spans="2:11" s="7" customFormat="1" ht="12.75">
      <c r="B42" s="8"/>
      <c r="C42" s="8"/>
      <c r="D42" s="8"/>
      <c r="E42" s="8"/>
      <c r="F42" s="9">
        <v>2.0182</v>
      </c>
      <c r="G42" s="8">
        <f>E42*F42</f>
        <v>0</v>
      </c>
      <c r="H42" s="8">
        <f>B42-G42</f>
        <v>0</v>
      </c>
      <c r="I42" s="8"/>
      <c r="K42" s="3">
        <f>E42</f>
        <v>0</v>
      </c>
    </row>
    <row r="43" spans="2:9" s="15" customFormat="1" ht="13.5" thickBot="1">
      <c r="B43" s="16">
        <f>SUM(B41:B42)</f>
        <v>150304.56</v>
      </c>
      <c r="C43" s="16"/>
      <c r="D43" s="16"/>
      <c r="E43" s="16">
        <f>SUM(E41:E42)</f>
        <v>74474.56</v>
      </c>
      <c r="G43" s="16">
        <f>SUM(G41:G42)</f>
        <v>150304.556992</v>
      </c>
      <c r="H43" s="16">
        <f>SUM(H41:H42)</f>
        <v>0.0030079999996814877</v>
      </c>
      <c r="I43" s="16">
        <f>I39+B43</f>
        <v>1191644.8900000001</v>
      </c>
    </row>
    <row r="45" spans="1:11" ht="12.75">
      <c r="A45" t="s">
        <v>12</v>
      </c>
      <c r="B45" s="1">
        <v>149988.43</v>
      </c>
      <c r="C45" s="1"/>
      <c r="D45" s="1"/>
      <c r="E45" s="1">
        <v>74317.92</v>
      </c>
      <c r="F45" s="2">
        <v>2.0182</v>
      </c>
      <c r="G45" s="1">
        <f>E45*F45</f>
        <v>149988.42614400003</v>
      </c>
      <c r="H45" s="1">
        <f>B45-G45</f>
        <v>0.0038559999666176736</v>
      </c>
      <c r="I45" s="1"/>
      <c r="K45" s="3">
        <f>E45</f>
        <v>74317.92</v>
      </c>
    </row>
    <row r="46" spans="2:9" s="7" customFormat="1" ht="12.75">
      <c r="B46" s="8"/>
      <c r="C46" s="8"/>
      <c r="D46" s="8"/>
      <c r="E46" s="8"/>
      <c r="F46" s="9">
        <v>2.0182</v>
      </c>
      <c r="G46" s="8">
        <f>E46*F46</f>
        <v>0</v>
      </c>
      <c r="H46" s="8">
        <f>B46-G46</f>
        <v>0</v>
      </c>
      <c r="I46" s="8"/>
    </row>
    <row r="47" spans="2:9" s="15" customFormat="1" ht="13.5" thickBot="1">
      <c r="B47" s="16">
        <f>SUM(B45:B46)</f>
        <v>149988.43</v>
      </c>
      <c r="C47" s="16"/>
      <c r="D47" s="16"/>
      <c r="E47" s="16">
        <f>SUM(E45:E46)</f>
        <v>74317.92</v>
      </c>
      <c r="G47" s="16">
        <f>SUM(G45:G46)</f>
        <v>149988.42614400003</v>
      </c>
      <c r="H47" s="16">
        <f>SUM(H45:H46)</f>
        <v>0.0038559999666176736</v>
      </c>
      <c r="I47" s="16">
        <f>I43+B47</f>
        <v>1341633.32</v>
      </c>
    </row>
    <row r="49" spans="1:11" ht="12.75">
      <c r="A49" t="s">
        <v>13</v>
      </c>
      <c r="B49" s="1">
        <v>149621.52</v>
      </c>
      <c r="C49" s="1"/>
      <c r="D49" s="1"/>
      <c r="E49" s="1">
        <v>74136.13</v>
      </c>
      <c r="F49" s="2">
        <v>2.0182</v>
      </c>
      <c r="G49" s="1">
        <f>E49*F49</f>
        <v>149621.537566</v>
      </c>
      <c r="H49" s="1">
        <f>B49-G49</f>
        <v>-0.01756600002408959</v>
      </c>
      <c r="I49" s="1"/>
      <c r="K49" s="3">
        <f>E49</f>
        <v>74136.13</v>
      </c>
    </row>
    <row r="50" spans="2:9" s="7" customFormat="1" ht="12.75">
      <c r="B50" s="8"/>
      <c r="C50" s="8"/>
      <c r="D50" s="8"/>
      <c r="E50" s="8"/>
      <c r="F50" s="9">
        <v>2.0182</v>
      </c>
      <c r="G50" s="8">
        <f>E50*F50</f>
        <v>0</v>
      </c>
      <c r="H50" s="8">
        <f>B50-G50</f>
        <v>0</v>
      </c>
      <c r="I50" s="8"/>
    </row>
    <row r="51" spans="2:9" s="15" customFormat="1" ht="13.5" thickBot="1">
      <c r="B51" s="16">
        <f>SUM(B49:B50)</f>
        <v>149621.52</v>
      </c>
      <c r="C51" s="16"/>
      <c r="D51" s="16"/>
      <c r="E51" s="16">
        <f>SUM(E49:E50)</f>
        <v>74136.13</v>
      </c>
      <c r="G51" s="16">
        <f>SUM(G49:G50)</f>
        <v>149621.537566</v>
      </c>
      <c r="H51" s="16">
        <f>SUM(H49:H50)</f>
        <v>-0.01756600002408959</v>
      </c>
      <c r="I51" s="16">
        <f>I47+B51</f>
        <v>1491254.84</v>
      </c>
    </row>
    <row r="53" spans="1:11" ht="12.75">
      <c r="A53" t="s">
        <v>14</v>
      </c>
      <c r="B53" s="1">
        <v>141149.22</v>
      </c>
      <c r="C53" s="1"/>
      <c r="D53" s="1"/>
      <c r="E53" s="1">
        <v>69938.18</v>
      </c>
      <c r="F53" s="2">
        <v>2.0182</v>
      </c>
      <c r="G53" s="1">
        <f>E53*F53</f>
        <v>141149.234876</v>
      </c>
      <c r="H53" s="1">
        <f>B53-G53</f>
        <v>-0.014876000001095235</v>
      </c>
      <c r="I53" s="1"/>
      <c r="K53" s="3">
        <f>E53</f>
        <v>69938.18</v>
      </c>
    </row>
    <row r="54" spans="2:9" s="7" customFormat="1" ht="12.75">
      <c r="B54" s="8"/>
      <c r="C54" s="8"/>
      <c r="D54" s="8"/>
      <c r="E54" s="8"/>
      <c r="F54" s="9">
        <v>2.0182</v>
      </c>
      <c r="G54" s="8">
        <f>E54*F54</f>
        <v>0</v>
      </c>
      <c r="H54" s="8">
        <f>B54-G54</f>
        <v>0</v>
      </c>
      <c r="I54" s="8"/>
    </row>
    <row r="55" spans="2:11" s="15" customFormat="1" ht="13.5" thickBot="1">
      <c r="B55" s="16">
        <f>SUM(B53:B54)</f>
        <v>141149.22</v>
      </c>
      <c r="C55" s="16"/>
      <c r="D55" s="16"/>
      <c r="E55" s="16">
        <f>SUM(E53:E54)</f>
        <v>69938.18</v>
      </c>
      <c r="G55" s="16">
        <f>SUM(G53:G54)</f>
        <v>141149.234876</v>
      </c>
      <c r="H55" s="16">
        <f>SUM(H53:H54)</f>
        <v>-0.014876000001095235</v>
      </c>
      <c r="I55" s="16">
        <f>I51+B55</f>
        <v>1632404.06</v>
      </c>
      <c r="K55" s="18">
        <f>SUM(K16:K54)</f>
        <v>660248.4199999999</v>
      </c>
    </row>
    <row r="57" spans="9:12" ht="12.75">
      <c r="I57" s="1">
        <v>1632404.06</v>
      </c>
      <c r="K57">
        <v>0.120059</v>
      </c>
      <c r="L57" t="s">
        <v>137</v>
      </c>
    </row>
    <row r="58" spans="9:12" ht="12.75">
      <c r="I58" s="3">
        <f>I55-I57</f>
        <v>0</v>
      </c>
      <c r="K58" s="3">
        <f>K55*K57</f>
        <v>79268.76505677999</v>
      </c>
      <c r="L58" t="s">
        <v>138</v>
      </c>
    </row>
    <row r="63" spans="1:9" ht="12.75">
      <c r="A63" t="s">
        <v>45</v>
      </c>
      <c r="B63" s="1"/>
      <c r="C63" s="1"/>
      <c r="D63" s="1"/>
      <c r="E63" s="1"/>
      <c r="F63" s="2"/>
      <c r="G63" s="1"/>
      <c r="H63" s="1"/>
      <c r="I63" s="1"/>
    </row>
    <row r="64" spans="1:9" ht="12.75">
      <c r="A64" t="s">
        <v>100</v>
      </c>
      <c r="B64" s="1"/>
      <c r="C64" s="1"/>
      <c r="D64" s="1"/>
      <c r="E64" s="1"/>
      <c r="F64" s="2"/>
      <c r="G64" s="1"/>
      <c r="H64" s="1"/>
      <c r="I64" s="1"/>
    </row>
    <row r="65" spans="1:9" ht="12.75">
      <c r="A65" t="s">
        <v>46</v>
      </c>
      <c r="B65" s="1"/>
      <c r="C65" s="1"/>
      <c r="D65" s="1"/>
      <c r="E65" s="1"/>
      <c r="F65" s="2"/>
      <c r="G65" s="1"/>
      <c r="H65" s="1"/>
      <c r="I65" s="1"/>
    </row>
    <row r="66" spans="2:9" ht="12.75">
      <c r="B66" s="1"/>
      <c r="C66" s="1"/>
      <c r="D66" s="1"/>
      <c r="E66" s="1"/>
      <c r="F66" s="2"/>
      <c r="G66" s="1"/>
      <c r="H66" s="1"/>
      <c r="I66" s="1"/>
    </row>
    <row r="67" spans="2:9" s="4" customFormat="1" ht="25.5">
      <c r="B67" s="5" t="s">
        <v>15</v>
      </c>
      <c r="C67" s="5" t="s">
        <v>16</v>
      </c>
      <c r="D67" s="5" t="s">
        <v>36</v>
      </c>
      <c r="E67" s="5" t="s">
        <v>35</v>
      </c>
      <c r="F67" s="6" t="s">
        <v>17</v>
      </c>
      <c r="G67" s="5" t="s">
        <v>18</v>
      </c>
      <c r="H67" s="5" t="s">
        <v>19</v>
      </c>
      <c r="I67" s="5" t="s">
        <v>22</v>
      </c>
    </row>
    <row r="68" spans="2:9" ht="12.75">
      <c r="B68" s="1"/>
      <c r="C68" s="1"/>
      <c r="D68" s="1"/>
      <c r="E68" s="1"/>
      <c r="F68" s="2"/>
      <c r="G68" s="1"/>
      <c r="H68" s="1"/>
      <c r="I68" s="1"/>
    </row>
    <row r="69" spans="1:9" ht="12.75">
      <c r="A69" t="s">
        <v>3</v>
      </c>
      <c r="B69" s="1">
        <v>24779.73</v>
      </c>
      <c r="C69" s="1"/>
      <c r="D69" s="1"/>
      <c r="E69" s="1">
        <v>2539.48</v>
      </c>
      <c r="F69" s="2">
        <v>9.7578</v>
      </c>
      <c r="G69" s="1">
        <f>E69*F69</f>
        <v>24779.737944</v>
      </c>
      <c r="H69" s="1">
        <f>B69-G69</f>
        <v>-0.007944000000861706</v>
      </c>
      <c r="I69" s="1"/>
    </row>
    <row r="70" spans="2:9" ht="12.75">
      <c r="B70" s="1">
        <v>599611.68</v>
      </c>
      <c r="C70" s="1">
        <v>14344777.1</v>
      </c>
      <c r="D70" s="1"/>
      <c r="E70" s="1"/>
      <c r="F70" s="2">
        <v>0.0418</v>
      </c>
      <c r="G70" s="1">
        <f>C70*F70</f>
        <v>599611.6827799999</v>
      </c>
      <c r="H70" s="1">
        <f aca="true" t="shared" si="0" ref="H70:H75">B70-G70</f>
        <v>-0.0027799998642876744</v>
      </c>
      <c r="I70" s="1"/>
    </row>
    <row r="71" spans="2:9" ht="12.75">
      <c r="B71" s="1">
        <v>683042.38</v>
      </c>
      <c r="C71" s="1"/>
      <c r="D71" s="1"/>
      <c r="E71" s="1">
        <v>69999.63</v>
      </c>
      <c r="F71" s="2">
        <f>F69</f>
        <v>9.7578</v>
      </c>
      <c r="G71" s="1">
        <f>E71*F71</f>
        <v>683042.389614</v>
      </c>
      <c r="H71" s="1">
        <f t="shared" si="0"/>
        <v>-0.00961399998050183</v>
      </c>
      <c r="I71" s="1"/>
    </row>
    <row r="72" spans="2:9" ht="12.75">
      <c r="B72" s="1">
        <v>1029769.16</v>
      </c>
      <c r="C72" s="1">
        <v>14710988.27</v>
      </c>
      <c r="D72" s="1"/>
      <c r="E72" s="1"/>
      <c r="F72" s="2">
        <v>0.07</v>
      </c>
      <c r="G72" s="1">
        <f>C72*F72</f>
        <v>1029769.1789</v>
      </c>
      <c r="H72" s="1">
        <f t="shared" si="0"/>
        <v>-0.018900000024586916</v>
      </c>
      <c r="I72" s="1"/>
    </row>
    <row r="73" spans="2:9" ht="12.75">
      <c r="B73" s="1">
        <v>-1213.87</v>
      </c>
      <c r="C73" s="1"/>
      <c r="D73" s="1"/>
      <c r="E73" s="1">
        <v>-124.4</v>
      </c>
      <c r="F73" s="2">
        <f>F69</f>
        <v>9.7578</v>
      </c>
      <c r="G73" s="1">
        <f>E73*F73</f>
        <v>-1213.87032</v>
      </c>
      <c r="H73" s="1">
        <f t="shared" si="0"/>
        <v>0.00032000000010157237</v>
      </c>
      <c r="I73" s="1"/>
    </row>
    <row r="74" spans="2:9" ht="12.75">
      <c r="B74" s="1">
        <v>-24570.29</v>
      </c>
      <c r="C74" s="1">
        <v>-587806</v>
      </c>
      <c r="D74" s="1"/>
      <c r="E74" s="1"/>
      <c r="F74" s="2">
        <f>F70</f>
        <v>0.0418</v>
      </c>
      <c r="G74" s="1">
        <f>C74*F74</f>
        <v>-24570.2908</v>
      </c>
      <c r="H74" s="1">
        <f t="shared" si="0"/>
        <v>0.0007999999979801942</v>
      </c>
      <c r="I74" s="1"/>
    </row>
    <row r="75" spans="2:9" ht="12.75">
      <c r="B75" s="1">
        <v>-20266.95</v>
      </c>
      <c r="C75" s="1"/>
      <c r="D75" s="1"/>
      <c r="E75" s="1">
        <v>-2077</v>
      </c>
      <c r="F75" s="2">
        <f>F71</f>
        <v>9.7578</v>
      </c>
      <c r="G75" s="1">
        <f>E75*F75</f>
        <v>-20266.9506</v>
      </c>
      <c r="H75" s="1">
        <f t="shared" si="0"/>
        <v>0.0005999999993946403</v>
      </c>
      <c r="I75" s="1"/>
    </row>
    <row r="76" spans="2:9" s="7" customFormat="1" ht="12.75">
      <c r="B76" s="8">
        <v>-32825.38</v>
      </c>
      <c r="C76" s="8">
        <v>-468934</v>
      </c>
      <c r="D76" s="8"/>
      <c r="E76" s="8"/>
      <c r="F76" s="9">
        <f>F72</f>
        <v>0.07</v>
      </c>
      <c r="G76" s="8">
        <f>C76*F76</f>
        <v>-32825.380000000005</v>
      </c>
      <c r="H76" s="8">
        <f>B76-G76</f>
        <v>0</v>
      </c>
      <c r="I76" s="8"/>
    </row>
    <row r="77" spans="2:9" s="15" customFormat="1" ht="13.5" thickBot="1">
      <c r="B77" s="16">
        <f>SUM(B69:B76)</f>
        <v>2258326.46</v>
      </c>
      <c r="C77" s="16">
        <f>SUM(C69:C76)</f>
        <v>27999025.369999997</v>
      </c>
      <c r="D77" s="16">
        <f>SUM(D69:D76)</f>
        <v>0</v>
      </c>
      <c r="E77" s="16">
        <f>SUM(E69:E76)</f>
        <v>70337.71</v>
      </c>
      <c r="G77" s="16">
        <f>SUM(G69:G76)</f>
        <v>2258326.4975179997</v>
      </c>
      <c r="H77" s="16">
        <f>SUM(H69:H76)</f>
        <v>-0.03751799987276172</v>
      </c>
      <c r="I77" s="16">
        <f>B77</f>
        <v>2258326.46</v>
      </c>
    </row>
    <row r="79" spans="1:9" ht="12.75">
      <c r="A79" t="s">
        <v>4</v>
      </c>
      <c r="B79" s="1">
        <v>23531.21</v>
      </c>
      <c r="C79" s="1"/>
      <c r="D79" s="1"/>
      <c r="E79" s="1">
        <v>2411.53</v>
      </c>
      <c r="F79" s="2">
        <v>9.7578</v>
      </c>
      <c r="G79" s="1">
        <f>E79*F79</f>
        <v>23531.227434</v>
      </c>
      <c r="H79" s="1">
        <f>B79-G79</f>
        <v>-0.017434000001230743</v>
      </c>
      <c r="I79" s="1"/>
    </row>
    <row r="80" spans="2:9" ht="12.75">
      <c r="B80" s="1">
        <v>620602.64</v>
      </c>
      <c r="C80" s="1">
        <v>14846953.09</v>
      </c>
      <c r="D80" s="1"/>
      <c r="E80" s="1"/>
      <c r="F80" s="2">
        <v>0.0418</v>
      </c>
      <c r="G80" s="1">
        <f>C80*F80</f>
        <v>620602.6391619999</v>
      </c>
      <c r="H80" s="1">
        <f aca="true" t="shared" si="1" ref="H80:H85">B80-G80</f>
        <v>0.0008380000945180655</v>
      </c>
      <c r="I80" s="1"/>
    </row>
    <row r="81" spans="2:9" ht="12.75">
      <c r="B81" s="1">
        <v>695873.43</v>
      </c>
      <c r="C81" s="1"/>
      <c r="D81" s="1"/>
      <c r="E81" s="1">
        <v>71314.58</v>
      </c>
      <c r="F81" s="2">
        <f>F79</f>
        <v>9.7578</v>
      </c>
      <c r="G81" s="1">
        <f>E81*F81</f>
        <v>695873.408724</v>
      </c>
      <c r="H81" s="1">
        <f t="shared" si="1"/>
        <v>0.02127600007224828</v>
      </c>
      <c r="I81" s="1"/>
    </row>
    <row r="82" spans="2:9" ht="12.75">
      <c r="B82" s="1">
        <v>1359807</v>
      </c>
      <c r="C82" s="1">
        <v>19425814.44</v>
      </c>
      <c r="D82" s="1"/>
      <c r="E82" s="1"/>
      <c r="F82" s="2">
        <v>0.07</v>
      </c>
      <c r="G82" s="1">
        <f>C82*F82</f>
        <v>1359807.0108000003</v>
      </c>
      <c r="H82" s="1">
        <f t="shared" si="1"/>
        <v>-0.01080000028014183</v>
      </c>
      <c r="I82" s="1"/>
    </row>
    <row r="83" spans="2:9" ht="12.75">
      <c r="B83" s="1">
        <v>0</v>
      </c>
      <c r="C83" s="1"/>
      <c r="D83" s="1"/>
      <c r="E83" s="1"/>
      <c r="F83" s="2">
        <f>F79</f>
        <v>9.7578</v>
      </c>
      <c r="G83" s="1">
        <f>E83*F83</f>
        <v>0</v>
      </c>
      <c r="H83" s="1">
        <f t="shared" si="1"/>
        <v>0</v>
      </c>
      <c r="I83" s="1"/>
    </row>
    <row r="84" spans="2:9" ht="12.75">
      <c r="B84" s="1">
        <v>-22236.97</v>
      </c>
      <c r="C84" s="1">
        <v>-531985</v>
      </c>
      <c r="D84" s="1"/>
      <c r="E84" s="1"/>
      <c r="F84" s="2">
        <f>F80</f>
        <v>0.0418</v>
      </c>
      <c r="G84" s="1">
        <f>C84*F84</f>
        <v>-22236.972999999998</v>
      </c>
      <c r="H84" s="1">
        <f t="shared" si="1"/>
        <v>0.0029999999969732016</v>
      </c>
      <c r="I84" s="1"/>
    </row>
    <row r="85" spans="2:9" ht="12.75">
      <c r="B85" s="1">
        <v>-23038.17</v>
      </c>
      <c r="C85" s="1"/>
      <c r="D85" s="1"/>
      <c r="E85" s="1">
        <v>-2361</v>
      </c>
      <c r="F85" s="2">
        <f>F81</f>
        <v>9.7578</v>
      </c>
      <c r="G85" s="1">
        <f>E85*F85</f>
        <v>-23038.1658</v>
      </c>
      <c r="H85" s="1">
        <f t="shared" si="1"/>
        <v>-0.004199999999400461</v>
      </c>
      <c r="I85" s="1"/>
    </row>
    <row r="86" spans="2:9" s="7" customFormat="1" ht="12.75">
      <c r="B86" s="8">
        <v>-49400.33</v>
      </c>
      <c r="C86" s="8">
        <v>-705719</v>
      </c>
      <c r="D86" s="8"/>
      <c r="E86" s="8"/>
      <c r="F86" s="9">
        <f>F82</f>
        <v>0.07</v>
      </c>
      <c r="G86" s="8">
        <f>C86*F86</f>
        <v>-49400.33</v>
      </c>
      <c r="H86" s="8">
        <f>B86-G86</f>
        <v>0</v>
      </c>
      <c r="I86" s="8"/>
    </row>
    <row r="87" spans="2:9" s="15" customFormat="1" ht="13.5" thickBot="1">
      <c r="B87" s="16">
        <f>SUM(B79:B86)</f>
        <v>2605138.81</v>
      </c>
      <c r="C87" s="16">
        <f>SUM(C79:C86)</f>
        <v>33035063.53</v>
      </c>
      <c r="D87" s="16">
        <f>SUM(D79:D86)</f>
        <v>0</v>
      </c>
      <c r="E87" s="16">
        <f>SUM(E79:E86)</f>
        <v>71365.11</v>
      </c>
      <c r="G87" s="16">
        <f>SUM(G79:G86)</f>
        <v>2605138.81732</v>
      </c>
      <c r="H87" s="16">
        <f>SUM(H79:H86)</f>
        <v>-0.007320000117033487</v>
      </c>
      <c r="I87" s="16">
        <f>I77+B87</f>
        <v>4863465.27</v>
      </c>
    </row>
    <row r="89" spans="1:9" ht="12.75">
      <c r="A89" t="s">
        <v>5</v>
      </c>
      <c r="B89" s="1">
        <v>24466.7</v>
      </c>
      <c r="C89" s="1"/>
      <c r="D89" s="1"/>
      <c r="E89" s="1">
        <v>2507.4</v>
      </c>
      <c r="F89" s="2">
        <v>9.7578</v>
      </c>
      <c r="G89" s="1">
        <f>E89*F89</f>
        <v>24466.70772</v>
      </c>
      <c r="H89" s="1">
        <f>B89-G89</f>
        <v>-0.007719999997789273</v>
      </c>
      <c r="I89" s="1"/>
    </row>
    <row r="90" spans="2:9" ht="12.75">
      <c r="B90" s="1">
        <v>562982.66</v>
      </c>
      <c r="C90" s="1">
        <v>13468484.44</v>
      </c>
      <c r="D90" s="1"/>
      <c r="E90" s="1"/>
      <c r="F90" s="2">
        <v>0.0418</v>
      </c>
      <c r="G90" s="1">
        <f>C90*F90</f>
        <v>562982.649592</v>
      </c>
      <c r="H90" s="1">
        <f aca="true" t="shared" si="2" ref="H90:H95">B90-G90</f>
        <v>0.010408000089228153</v>
      </c>
      <c r="I90" s="1"/>
    </row>
    <row r="91" spans="2:9" ht="12.75">
      <c r="B91" s="1">
        <v>676857.55</v>
      </c>
      <c r="C91" s="1"/>
      <c r="D91" s="1"/>
      <c r="E91" s="1">
        <v>69365.79</v>
      </c>
      <c r="F91" s="2">
        <f>F89</f>
        <v>9.7578</v>
      </c>
      <c r="G91" s="1">
        <f>E91*F91</f>
        <v>676857.5056619999</v>
      </c>
      <c r="H91" s="1">
        <f t="shared" si="2"/>
        <v>0.044338000123389065</v>
      </c>
      <c r="I91" s="1"/>
    </row>
    <row r="92" spans="2:9" ht="12.75">
      <c r="B92" s="1">
        <v>1236590.12</v>
      </c>
      <c r="C92" s="1">
        <v>17665573.25</v>
      </c>
      <c r="D92" s="1"/>
      <c r="E92" s="1"/>
      <c r="F92" s="2">
        <v>0.07</v>
      </c>
      <c r="G92" s="1">
        <f>C92*F92</f>
        <v>1236590.1275000002</v>
      </c>
      <c r="H92" s="1">
        <f t="shared" si="2"/>
        <v>-0.00750000006519258</v>
      </c>
      <c r="I92" s="1"/>
    </row>
    <row r="93" spans="2:9" ht="12.75">
      <c r="B93" s="1">
        <v>0</v>
      </c>
      <c r="C93" s="1"/>
      <c r="D93" s="1"/>
      <c r="E93" s="1"/>
      <c r="F93" s="2">
        <f>F89</f>
        <v>9.7578</v>
      </c>
      <c r="G93" s="1">
        <f>E93*F93</f>
        <v>0</v>
      </c>
      <c r="H93" s="1">
        <f t="shared" si="2"/>
        <v>0</v>
      </c>
      <c r="I93" s="1"/>
    </row>
    <row r="94" spans="2:9" ht="12.75">
      <c r="B94" s="1">
        <v>-7634.69</v>
      </c>
      <c r="C94" s="1">
        <v>-182648</v>
      </c>
      <c r="D94" s="1"/>
      <c r="E94" s="1"/>
      <c r="F94" s="2">
        <f>F90</f>
        <v>0.0418</v>
      </c>
      <c r="G94" s="1">
        <f>C94*F94</f>
        <v>-7634.6864</v>
      </c>
      <c r="H94" s="1">
        <f t="shared" si="2"/>
        <v>-0.0036000000000058208</v>
      </c>
      <c r="I94" s="1"/>
    </row>
    <row r="95" spans="2:9" ht="12.75">
      <c r="B95" s="1">
        <v>-12968.12</v>
      </c>
      <c r="C95" s="1"/>
      <c r="D95" s="1"/>
      <c r="E95" s="1">
        <v>-1329</v>
      </c>
      <c r="F95" s="2">
        <f>F91</f>
        <v>9.7578</v>
      </c>
      <c r="G95" s="1">
        <f>E95*F95</f>
        <v>-12968.116199999999</v>
      </c>
      <c r="H95" s="1">
        <f t="shared" si="2"/>
        <v>-0.0038000000022293534</v>
      </c>
      <c r="I95" s="1"/>
    </row>
    <row r="96" spans="2:9" s="7" customFormat="1" ht="12.75">
      <c r="B96" s="8">
        <v>-22810.83</v>
      </c>
      <c r="C96" s="8">
        <v>-325869</v>
      </c>
      <c r="D96" s="8"/>
      <c r="E96" s="8"/>
      <c r="F96" s="9">
        <f>F92</f>
        <v>0.07</v>
      </c>
      <c r="G96" s="8">
        <f>C96*F96</f>
        <v>-22810.83</v>
      </c>
      <c r="H96" s="8">
        <f>B96-G96</f>
        <v>0</v>
      </c>
      <c r="I96" s="8"/>
    </row>
    <row r="97" spans="2:9" s="15" customFormat="1" ht="13.5" thickBot="1">
      <c r="B97" s="16">
        <f>SUM(B89:B96)</f>
        <v>2457483.39</v>
      </c>
      <c r="C97" s="16">
        <f>SUM(C89:C96)</f>
        <v>30625540.689999998</v>
      </c>
      <c r="D97" s="16">
        <f>SUM(D89:D96)</f>
        <v>0</v>
      </c>
      <c r="E97" s="16">
        <f>SUM(E89:E96)</f>
        <v>70544.18999999999</v>
      </c>
      <c r="G97" s="16">
        <f>SUM(G89:G96)</f>
        <v>2457483.3578739995</v>
      </c>
      <c r="H97" s="16">
        <f>SUM(H89:H96)</f>
        <v>0.03212600014740019</v>
      </c>
      <c r="I97" s="16">
        <f>I87+B97</f>
        <v>7320948.66</v>
      </c>
    </row>
    <row r="99" spans="1:9" ht="12.75">
      <c r="A99" t="s">
        <v>6</v>
      </c>
      <c r="B99" s="1">
        <v>23161.38</v>
      </c>
      <c r="C99" s="1"/>
      <c r="D99" s="1"/>
      <c r="E99" s="1">
        <v>2373.63</v>
      </c>
      <c r="F99" s="2">
        <v>9.7578</v>
      </c>
      <c r="G99" s="1">
        <f>E99*F99</f>
        <v>23161.406814</v>
      </c>
      <c r="H99" s="1">
        <f>B99-G99</f>
        <v>-0.026814000000740634</v>
      </c>
      <c r="I99" s="1"/>
    </row>
    <row r="100" spans="2:9" ht="12.75">
      <c r="B100" s="1">
        <v>648149.82</v>
      </c>
      <c r="C100" s="1">
        <v>15505976.91</v>
      </c>
      <c r="D100" s="1"/>
      <c r="E100" s="1"/>
      <c r="F100" s="2">
        <v>0.0418</v>
      </c>
      <c r="G100" s="1">
        <f>C100*F100</f>
        <v>648149.834838</v>
      </c>
      <c r="H100" s="1">
        <f aca="true" t="shared" si="3" ref="H100:H105">B100-G100</f>
        <v>-0.014838000060990453</v>
      </c>
      <c r="I100" s="1"/>
    </row>
    <row r="101" spans="2:9" ht="12.75">
      <c r="B101" s="1">
        <v>679491.23</v>
      </c>
      <c r="C101" s="1"/>
      <c r="D101" s="1"/>
      <c r="E101" s="1">
        <v>69635.7</v>
      </c>
      <c r="F101" s="2">
        <f>F99</f>
        <v>9.7578</v>
      </c>
      <c r="G101" s="1">
        <f>E101*F101</f>
        <v>679491.2334599999</v>
      </c>
      <c r="H101" s="1">
        <f t="shared" si="3"/>
        <v>-0.0034599999198690057</v>
      </c>
      <c r="I101" s="1"/>
    </row>
    <row r="102" spans="2:9" ht="12.75">
      <c r="B102" s="1">
        <v>1218044.75</v>
      </c>
      <c r="C102" s="1">
        <v>17400639.36</v>
      </c>
      <c r="D102" s="1"/>
      <c r="E102" s="1"/>
      <c r="F102" s="2">
        <v>0.07</v>
      </c>
      <c r="G102" s="1">
        <f>C102*F102</f>
        <v>1218044.7552</v>
      </c>
      <c r="H102" s="1">
        <f t="shared" si="3"/>
        <v>-0.005200000014156103</v>
      </c>
      <c r="I102" s="1"/>
    </row>
    <row r="103" spans="2:9" ht="12.75">
      <c r="B103" s="1"/>
      <c r="C103" s="1"/>
      <c r="D103" s="1"/>
      <c r="E103" s="1"/>
      <c r="F103" s="2">
        <f>F99</f>
        <v>9.7578</v>
      </c>
      <c r="G103" s="1">
        <f>E103*F103</f>
        <v>0</v>
      </c>
      <c r="H103" s="1">
        <f t="shared" si="3"/>
        <v>0</v>
      </c>
      <c r="I103" s="1"/>
    </row>
    <row r="104" spans="2:9" ht="12.75">
      <c r="B104" s="1"/>
      <c r="C104" s="1"/>
      <c r="D104" s="1"/>
      <c r="E104" s="1"/>
      <c r="F104" s="2">
        <f>F100</f>
        <v>0.0418</v>
      </c>
      <c r="G104" s="1">
        <f>C104*F104</f>
        <v>0</v>
      </c>
      <c r="H104" s="1">
        <f t="shared" si="3"/>
        <v>0</v>
      </c>
      <c r="I104" s="1"/>
    </row>
    <row r="105" spans="2:9" ht="12.75">
      <c r="B105" s="1"/>
      <c r="C105" s="1"/>
      <c r="D105" s="1"/>
      <c r="E105" s="1"/>
      <c r="F105" s="2">
        <f>F101</f>
        <v>9.7578</v>
      </c>
      <c r="G105" s="1">
        <f>E105*F105</f>
        <v>0</v>
      </c>
      <c r="H105" s="1">
        <f t="shared" si="3"/>
        <v>0</v>
      </c>
      <c r="I105" s="1"/>
    </row>
    <row r="106" spans="2:9" s="7" customFormat="1" ht="12.75">
      <c r="B106" s="8"/>
      <c r="C106" s="8"/>
      <c r="D106" s="8"/>
      <c r="E106" s="8"/>
      <c r="F106" s="9">
        <f>F102</f>
        <v>0.07</v>
      </c>
      <c r="G106" s="8">
        <f>C106*F106</f>
        <v>0</v>
      </c>
      <c r="H106" s="8">
        <f>B106-G106</f>
        <v>0</v>
      </c>
      <c r="I106" s="8"/>
    </row>
    <row r="107" spans="2:9" s="15" customFormat="1" ht="13.5" thickBot="1">
      <c r="B107" s="16">
        <f>SUM(B99:B106)</f>
        <v>2568847.1799999997</v>
      </c>
      <c r="C107" s="16">
        <f>SUM(C99:C106)</f>
        <v>32906616.27</v>
      </c>
      <c r="D107" s="16">
        <f>SUM(D99:D106)</f>
        <v>0</v>
      </c>
      <c r="E107" s="16">
        <f>SUM(E99:E106)</f>
        <v>72009.33</v>
      </c>
      <c r="G107" s="16">
        <f>SUM(G99:G106)</f>
        <v>2568847.230312</v>
      </c>
      <c r="H107" s="16">
        <f>SUM(H99:H106)</f>
        <v>-0.050311999995756196</v>
      </c>
      <c r="I107" s="16">
        <f>I97+B107</f>
        <v>9889795.84</v>
      </c>
    </row>
    <row r="109" spans="1:9" ht="12.75">
      <c r="A109" t="s">
        <v>7</v>
      </c>
      <c r="B109" s="1">
        <v>30274.8</v>
      </c>
      <c r="C109" s="1"/>
      <c r="D109" s="1"/>
      <c r="E109" s="1">
        <v>4235.9</v>
      </c>
      <c r="F109" s="2">
        <v>7.1472</v>
      </c>
      <c r="G109" s="1">
        <f>E109*F109</f>
        <v>30274.824479999996</v>
      </c>
      <c r="H109" s="1">
        <f>B109-G109</f>
        <v>-0.024479999996401602</v>
      </c>
      <c r="I109" s="1"/>
    </row>
    <row r="110" spans="2:9" ht="12.75">
      <c r="B110" s="1">
        <v>828816.19</v>
      </c>
      <c r="C110" s="1">
        <v>26736003.33</v>
      </c>
      <c r="D110" s="1"/>
      <c r="E110" s="1"/>
      <c r="F110" s="2">
        <v>0.031</v>
      </c>
      <c r="G110" s="1">
        <f>C110*F110</f>
        <v>828816.1032299999</v>
      </c>
      <c r="H110" s="1">
        <f aca="true" t="shared" si="4" ref="H110:H115">B110-G110</f>
        <v>0.08677000005263835</v>
      </c>
      <c r="I110" s="1"/>
    </row>
    <row r="111" spans="2:9" ht="12.75">
      <c r="B111" s="1">
        <v>908120.04</v>
      </c>
      <c r="C111" s="1"/>
      <c r="D111" s="1"/>
      <c r="E111" s="1">
        <v>127059.55</v>
      </c>
      <c r="F111" s="2">
        <f>F109</f>
        <v>7.1472</v>
      </c>
      <c r="G111" s="1">
        <f>E111*F111</f>
        <v>908120.01576</v>
      </c>
      <c r="H111" s="1">
        <f t="shared" si="4"/>
        <v>0.024240000057034194</v>
      </c>
      <c r="I111" s="1"/>
    </row>
    <row r="112" spans="2:9" ht="12.75">
      <c r="B112" s="1">
        <v>2138392.51</v>
      </c>
      <c r="C112" s="1">
        <v>36182615.31</v>
      </c>
      <c r="D112" s="1"/>
      <c r="E112" s="1"/>
      <c r="F112" s="2">
        <v>0.0591</v>
      </c>
      <c r="G112" s="1">
        <f>C112*F112</f>
        <v>2138392.564821</v>
      </c>
      <c r="H112" s="1">
        <f t="shared" si="4"/>
        <v>-0.054821000434458256</v>
      </c>
      <c r="I112" s="1"/>
    </row>
    <row r="113" spans="2:9" ht="12.75">
      <c r="B113" s="1">
        <v>-14825.21</v>
      </c>
      <c r="C113" s="1"/>
      <c r="D113" s="1"/>
      <c r="E113" s="1">
        <v>-2074.27</v>
      </c>
      <c r="F113" s="2">
        <f>F109</f>
        <v>7.1472</v>
      </c>
      <c r="G113" s="1">
        <f>E113*F113</f>
        <v>-14825.222544</v>
      </c>
      <c r="H113" s="1">
        <f t="shared" si="4"/>
        <v>0.012544000001071254</v>
      </c>
      <c r="I113" s="1"/>
    </row>
    <row r="114" spans="2:9" ht="12.75">
      <c r="B114" s="1">
        <v>-383656.81</v>
      </c>
      <c r="C114" s="1">
        <v>-12376024.85</v>
      </c>
      <c r="D114" s="1"/>
      <c r="E114" s="1"/>
      <c r="F114" s="2">
        <f>F110</f>
        <v>0.031</v>
      </c>
      <c r="G114" s="1">
        <f>C114*F114</f>
        <v>-383656.77035</v>
      </c>
      <c r="H114" s="1">
        <f t="shared" si="4"/>
        <v>-0.039649999991524965</v>
      </c>
      <c r="I114" s="1"/>
    </row>
    <row r="115" spans="2:9" ht="12.75">
      <c r="B115" s="1">
        <v>-385456.73</v>
      </c>
      <c r="C115" s="1"/>
      <c r="D115" s="1"/>
      <c r="E115" s="1">
        <v>-53931.15</v>
      </c>
      <c r="F115" s="2">
        <f>F111</f>
        <v>7.1472</v>
      </c>
      <c r="G115" s="1">
        <f>E115*F115</f>
        <v>-385456.71528</v>
      </c>
      <c r="H115" s="1">
        <f t="shared" si="4"/>
        <v>-0.014719999977387488</v>
      </c>
      <c r="I115" s="1"/>
    </row>
    <row r="116" spans="2:9" s="7" customFormat="1" ht="12.75">
      <c r="B116" s="8">
        <v>-993840.25</v>
      </c>
      <c r="C116" s="8">
        <v>-16816248.37</v>
      </c>
      <c r="D116" s="8"/>
      <c r="E116" s="8"/>
      <c r="F116" s="9">
        <f>F112</f>
        <v>0.0591</v>
      </c>
      <c r="G116" s="8">
        <f>C116*F116</f>
        <v>-993840.278667</v>
      </c>
      <c r="H116" s="8">
        <f>B116-G116</f>
        <v>0.028667000005953014</v>
      </c>
      <c r="I116" s="8"/>
    </row>
    <row r="117" spans="2:9" s="15" customFormat="1" ht="13.5" thickBot="1">
      <c r="B117" s="16">
        <f>SUM(B109:B116)</f>
        <v>2127824.54</v>
      </c>
      <c r="C117" s="16">
        <f>SUM(C109:C116)</f>
        <v>33726345.42</v>
      </c>
      <c r="D117" s="16">
        <f>SUM(D109:D116)</f>
        <v>0</v>
      </c>
      <c r="E117" s="16">
        <f>SUM(E109:E116)</f>
        <v>75290.03</v>
      </c>
      <c r="G117" s="16">
        <f>SUM(G109:G116)</f>
        <v>2127824.52145</v>
      </c>
      <c r="H117" s="16">
        <f>SUM(H109:H116)</f>
        <v>0.018549999716924503</v>
      </c>
      <c r="I117" s="16">
        <f>I107+B117</f>
        <v>12017620.379999999</v>
      </c>
    </row>
    <row r="125" spans="1:9" ht="12.75">
      <c r="A125" t="s">
        <v>47</v>
      </c>
      <c r="B125" s="1"/>
      <c r="C125" s="1"/>
      <c r="D125" s="1"/>
      <c r="E125" s="1"/>
      <c r="F125" s="2"/>
      <c r="G125" s="1"/>
      <c r="H125" s="1"/>
      <c r="I125" s="1"/>
    </row>
    <row r="126" spans="1:9" ht="12.75">
      <c r="A126" t="s">
        <v>71</v>
      </c>
      <c r="B126" s="1"/>
      <c r="C126" s="1"/>
      <c r="D126" s="1"/>
      <c r="E126" s="1"/>
      <c r="F126" s="2"/>
      <c r="G126" s="1"/>
      <c r="H126" s="1"/>
      <c r="I126" s="1"/>
    </row>
    <row r="127" spans="1:9" ht="12.75">
      <c r="A127" t="s">
        <v>48</v>
      </c>
      <c r="B127" s="1"/>
      <c r="C127" s="1"/>
      <c r="D127" s="1"/>
      <c r="E127" s="1"/>
      <c r="F127" s="2"/>
      <c r="G127" s="1"/>
      <c r="H127" s="1"/>
      <c r="I127" s="1"/>
    </row>
    <row r="128" spans="1:9" ht="12.75">
      <c r="A128" t="s">
        <v>49</v>
      </c>
      <c r="B128" s="1"/>
      <c r="C128" s="1"/>
      <c r="D128" s="1"/>
      <c r="E128" s="1"/>
      <c r="F128" s="2"/>
      <c r="G128" s="1"/>
      <c r="H128" s="1"/>
      <c r="I128" s="1"/>
    </row>
    <row r="129" spans="2:9" ht="12.75">
      <c r="B129" s="1"/>
      <c r="C129" s="1"/>
      <c r="D129" s="1"/>
      <c r="E129" s="1"/>
      <c r="F129" s="2"/>
      <c r="G129" s="1"/>
      <c r="H129" s="1"/>
      <c r="I129" s="1"/>
    </row>
    <row r="130" spans="2:9" s="4" customFormat="1" ht="25.5">
      <c r="B130" s="5" t="s">
        <v>15</v>
      </c>
      <c r="C130" s="5" t="s">
        <v>16</v>
      </c>
      <c r="D130" s="5" t="s">
        <v>36</v>
      </c>
      <c r="E130" s="5" t="s">
        <v>35</v>
      </c>
      <c r="F130" s="6" t="s">
        <v>17</v>
      </c>
      <c r="G130" s="5" t="s">
        <v>18</v>
      </c>
      <c r="H130" s="5" t="s">
        <v>19</v>
      </c>
      <c r="I130" s="5" t="s">
        <v>22</v>
      </c>
    </row>
    <row r="131" spans="2:9" ht="12.75">
      <c r="B131" s="1"/>
      <c r="C131" s="1"/>
      <c r="D131" s="1"/>
      <c r="E131" s="1"/>
      <c r="F131" s="2"/>
      <c r="G131" s="1"/>
      <c r="H131" s="1"/>
      <c r="I131" s="1"/>
    </row>
    <row r="132" spans="1:9" ht="12.75">
      <c r="A132" t="s">
        <v>7</v>
      </c>
      <c r="B132" s="1"/>
      <c r="C132" s="1"/>
      <c r="D132" s="1"/>
      <c r="E132" s="1"/>
      <c r="F132" s="2">
        <v>0.0052</v>
      </c>
      <c r="G132" s="1">
        <f>C132*F132</f>
        <v>0</v>
      </c>
      <c r="H132" s="1">
        <f>B132-G132</f>
        <v>0</v>
      </c>
      <c r="I132" s="1"/>
    </row>
    <row r="133" spans="2:9" ht="12.75">
      <c r="B133" s="1"/>
      <c r="C133" s="1"/>
      <c r="D133" s="1"/>
      <c r="E133" s="1"/>
      <c r="F133" s="2">
        <v>0.0052</v>
      </c>
      <c r="G133" s="1">
        <f>D133*F133</f>
        <v>0</v>
      </c>
      <c r="H133" s="1">
        <f>B133-G133</f>
        <v>0</v>
      </c>
      <c r="I133" s="1"/>
    </row>
    <row r="134" spans="2:9" ht="12.75">
      <c r="B134" s="1"/>
      <c r="C134" s="1"/>
      <c r="D134" s="1"/>
      <c r="E134" s="1"/>
      <c r="F134" s="2">
        <f>F132</f>
        <v>0.0052</v>
      </c>
      <c r="G134" s="1">
        <f>C134*F134</f>
        <v>0</v>
      </c>
      <c r="H134" s="1">
        <f>B134-G134</f>
        <v>0</v>
      </c>
      <c r="I134" s="1"/>
    </row>
    <row r="135" spans="2:9" s="7" customFormat="1" ht="12.75">
      <c r="B135" s="8"/>
      <c r="C135" s="8"/>
      <c r="D135" s="8"/>
      <c r="E135" s="8"/>
      <c r="F135" s="9">
        <f>F133</f>
        <v>0.0052</v>
      </c>
      <c r="G135" s="8">
        <f>D135*F135</f>
        <v>0</v>
      </c>
      <c r="H135" s="8">
        <f>B135-G135</f>
        <v>0</v>
      </c>
      <c r="I135" s="8"/>
    </row>
    <row r="136" spans="2:9" s="16" customFormat="1" ht="13.5" thickBot="1">
      <c r="B136" s="16">
        <f>SUM(B132:B135)</f>
        <v>0</v>
      </c>
      <c r="C136" s="16">
        <f>SUM(C132:C135)</f>
        <v>0</v>
      </c>
      <c r="D136" s="16">
        <f>SUM(D132:D135)</f>
        <v>0</v>
      </c>
      <c r="E136" s="16">
        <f>SUM(E132:E135)</f>
        <v>0</v>
      </c>
      <c r="G136" s="16">
        <f>SUM(G132:G135)</f>
        <v>0</v>
      </c>
      <c r="H136" s="16">
        <f>SUM(H132:H135)</f>
        <v>0</v>
      </c>
      <c r="I136" s="16">
        <f>B136</f>
        <v>0</v>
      </c>
    </row>
    <row r="137" spans="2:9" ht="12.75">
      <c r="B137" s="1"/>
      <c r="C137" s="1"/>
      <c r="D137" s="1"/>
      <c r="E137" s="1"/>
      <c r="G137" s="1"/>
      <c r="H137" s="1"/>
      <c r="I137" s="1"/>
    </row>
    <row r="138" spans="1:9" ht="12.75">
      <c r="A138" t="s">
        <v>8</v>
      </c>
      <c r="B138" s="1">
        <v>172806.09</v>
      </c>
      <c r="C138" s="1">
        <v>33231940.24</v>
      </c>
      <c r="D138" s="1"/>
      <c r="E138" s="1"/>
      <c r="F138" s="2">
        <v>0.0052</v>
      </c>
      <c r="G138" s="1">
        <f>C138*F138</f>
        <v>172806.08924799997</v>
      </c>
      <c r="H138" s="1">
        <f>B138-G138</f>
        <v>0.0007520000217482448</v>
      </c>
      <c r="I138" s="1"/>
    </row>
    <row r="139" spans="2:9" ht="12.75">
      <c r="B139" s="1">
        <v>5514.16</v>
      </c>
      <c r="C139" s="1"/>
      <c r="D139" s="1">
        <v>1060410.82</v>
      </c>
      <c r="E139" s="1"/>
      <c r="F139" s="2">
        <v>0.0052</v>
      </c>
      <c r="G139" s="1">
        <f>D139*F139</f>
        <v>5514.136264</v>
      </c>
      <c r="H139" s="1">
        <f>B139-G139</f>
        <v>0.02373600000009901</v>
      </c>
      <c r="I139" s="1"/>
    </row>
    <row r="140" spans="2:9" ht="12.75">
      <c r="B140" s="1"/>
      <c r="C140" s="1"/>
      <c r="D140" s="1"/>
      <c r="E140" s="1"/>
      <c r="F140" s="2">
        <f>F138</f>
        <v>0.0052</v>
      </c>
      <c r="G140" s="1">
        <f>C140*F140</f>
        <v>0</v>
      </c>
      <c r="H140" s="1">
        <f>B140-G140</f>
        <v>0</v>
      </c>
      <c r="I140" s="1"/>
    </row>
    <row r="141" spans="2:9" s="7" customFormat="1" ht="12.75">
      <c r="B141" s="8"/>
      <c r="C141" s="8"/>
      <c r="D141" s="8"/>
      <c r="E141" s="8"/>
      <c r="F141" s="9">
        <f>F139</f>
        <v>0.0052</v>
      </c>
      <c r="G141" s="8">
        <f>D141*F141</f>
        <v>0</v>
      </c>
      <c r="H141" s="8">
        <f>B141-G141</f>
        <v>0</v>
      </c>
      <c r="I141" s="8"/>
    </row>
    <row r="142" spans="2:9" s="16" customFormat="1" ht="13.5" thickBot="1">
      <c r="B142" s="16">
        <f>SUM(B138:B141)</f>
        <v>178320.25</v>
      </c>
      <c r="C142" s="16">
        <f>SUM(C138:C141)</f>
        <v>33231940.24</v>
      </c>
      <c r="D142" s="16">
        <f>SUM(D138:D141)</f>
        <v>1060410.82</v>
      </c>
      <c r="E142" s="16">
        <f>SUM(E138:E141)</f>
        <v>0</v>
      </c>
      <c r="G142" s="16">
        <f>SUM(G138:G141)</f>
        <v>178320.22551199998</v>
      </c>
      <c r="H142" s="16">
        <f>SUM(H138:H141)</f>
        <v>0.024488000021847256</v>
      </c>
      <c r="I142" s="16">
        <f>I136+B142</f>
        <v>178320.25</v>
      </c>
    </row>
    <row r="143" spans="2:9" ht="12.75">
      <c r="B143" s="1"/>
      <c r="C143" s="1"/>
      <c r="D143" s="1"/>
      <c r="E143" s="1"/>
      <c r="G143" s="1"/>
      <c r="H143" s="1"/>
      <c r="I143" s="1"/>
    </row>
    <row r="144" spans="1:9" ht="12.75">
      <c r="A144" t="s">
        <v>9</v>
      </c>
      <c r="B144" s="1">
        <v>174076.94</v>
      </c>
      <c r="C144" s="1">
        <v>33476339.9</v>
      </c>
      <c r="D144" s="1"/>
      <c r="E144" s="1"/>
      <c r="F144" s="2">
        <v>0.0052</v>
      </c>
      <c r="G144" s="1">
        <f>C144*F144</f>
        <v>174076.96748</v>
      </c>
      <c r="H144" s="1">
        <f>B144-G144</f>
        <v>-0.027479999989736825</v>
      </c>
      <c r="I144" s="1"/>
    </row>
    <row r="145" spans="2:9" ht="12.75">
      <c r="B145" s="1">
        <v>5554.81</v>
      </c>
      <c r="C145" s="1"/>
      <c r="D145" s="1">
        <v>1068226.38</v>
      </c>
      <c r="E145" s="1"/>
      <c r="F145" s="2">
        <v>0.0052</v>
      </c>
      <c r="G145" s="1">
        <f>D145*F145</f>
        <v>5554.777176</v>
      </c>
      <c r="H145" s="1">
        <f>B145-G145</f>
        <v>0.03282400000080088</v>
      </c>
      <c r="I145" s="1"/>
    </row>
    <row r="146" spans="2:9" ht="12.75">
      <c r="B146" s="1"/>
      <c r="C146" s="1"/>
      <c r="D146" s="1"/>
      <c r="E146" s="1"/>
      <c r="F146" s="2">
        <f>F144</f>
        <v>0.0052</v>
      </c>
      <c r="G146" s="1">
        <f>C146*F146</f>
        <v>0</v>
      </c>
      <c r="H146" s="1">
        <f>B146-G146</f>
        <v>0</v>
      </c>
      <c r="I146" s="1"/>
    </row>
    <row r="147" spans="2:9" s="7" customFormat="1" ht="12.75">
      <c r="B147" s="8"/>
      <c r="C147" s="8"/>
      <c r="D147" s="8"/>
      <c r="E147" s="8"/>
      <c r="F147" s="9">
        <f>F145</f>
        <v>0.0052</v>
      </c>
      <c r="G147" s="8">
        <f>D147*F147</f>
        <v>0</v>
      </c>
      <c r="H147" s="8">
        <f>B147-G147</f>
        <v>0</v>
      </c>
      <c r="I147" s="8"/>
    </row>
    <row r="148" spans="2:9" s="16" customFormat="1" ht="13.5" thickBot="1">
      <c r="B148" s="16">
        <f>SUM(B144:B147)</f>
        <v>179631.75</v>
      </c>
      <c r="C148" s="16">
        <f>SUM(C144:C147)</f>
        <v>33476339.9</v>
      </c>
      <c r="D148" s="16">
        <f>SUM(D144:D147)</f>
        <v>1068226.38</v>
      </c>
      <c r="E148" s="16">
        <f>SUM(E144:E147)</f>
        <v>0</v>
      </c>
      <c r="G148" s="16">
        <f>SUM(G144:G147)</f>
        <v>179631.744656</v>
      </c>
      <c r="H148" s="16">
        <f>SUM(H144:H147)</f>
        <v>0.005344000011064054</v>
      </c>
      <c r="I148" s="16">
        <f>I142+B148</f>
        <v>357952</v>
      </c>
    </row>
    <row r="149" spans="2:9" ht="12.75">
      <c r="B149" s="1"/>
      <c r="C149" s="1"/>
      <c r="D149" s="1"/>
      <c r="E149" s="1"/>
      <c r="G149" s="1"/>
      <c r="H149" s="1"/>
      <c r="I149" s="1"/>
    </row>
    <row r="150" spans="1:9" ht="12.75">
      <c r="A150" t="s">
        <v>10</v>
      </c>
      <c r="B150" s="1">
        <v>211239.68</v>
      </c>
      <c r="C150" s="1">
        <v>40623013.69</v>
      </c>
      <c r="D150" s="1"/>
      <c r="E150" s="1"/>
      <c r="F150" s="2">
        <v>0.0052</v>
      </c>
      <c r="G150" s="1">
        <f>C150*F150</f>
        <v>211239.67118799998</v>
      </c>
      <c r="H150" s="1">
        <f>B150-G150</f>
        <v>0.008812000014586374</v>
      </c>
      <c r="I150" s="1"/>
    </row>
    <row r="151" spans="2:9" ht="12.75">
      <c r="B151" s="1">
        <v>6740.88</v>
      </c>
      <c r="C151" s="1"/>
      <c r="D151" s="1">
        <v>1296318.62</v>
      </c>
      <c r="E151" s="1"/>
      <c r="F151" s="2">
        <v>0.0052</v>
      </c>
      <c r="G151" s="1">
        <f>D151*F151</f>
        <v>6740.856824</v>
      </c>
      <c r="H151" s="1">
        <f>B151-G151</f>
        <v>0.023175999999693886</v>
      </c>
      <c r="I151" s="1"/>
    </row>
    <row r="152" spans="2:9" ht="12.75">
      <c r="B152" s="1">
        <v>-33540.91</v>
      </c>
      <c r="C152" s="1">
        <v>-6450175.31</v>
      </c>
      <c r="D152" s="1"/>
      <c r="E152" s="1"/>
      <c r="F152" s="2">
        <f>F150</f>
        <v>0.0052</v>
      </c>
      <c r="G152" s="1">
        <f>C152*F152</f>
        <v>-33540.911611999996</v>
      </c>
      <c r="H152" s="1">
        <f>B152-G152</f>
        <v>0.0016119999927468598</v>
      </c>
      <c r="I152" s="1"/>
    </row>
    <row r="153" spans="2:9" s="7" customFormat="1" ht="12.75">
      <c r="B153" s="8">
        <v>-1070.41</v>
      </c>
      <c r="C153" s="8"/>
      <c r="D153" s="8">
        <v>-205846.19</v>
      </c>
      <c r="E153" s="8"/>
      <c r="F153" s="9">
        <f>F151</f>
        <v>0.0052</v>
      </c>
      <c r="G153" s="8">
        <f>D153*F153</f>
        <v>-1070.400188</v>
      </c>
      <c r="H153" s="8">
        <f>B153-G153</f>
        <v>-0.009812000000010812</v>
      </c>
      <c r="I153" s="8"/>
    </row>
    <row r="154" spans="2:9" s="16" customFormat="1" ht="13.5" thickBot="1">
      <c r="B154" s="16">
        <f>SUM(B150:B153)</f>
        <v>183369.24</v>
      </c>
      <c r="C154" s="16">
        <f>SUM(C150:C153)</f>
        <v>34172838.379999995</v>
      </c>
      <c r="D154" s="16">
        <f>SUM(D150:D153)</f>
        <v>1090472.4300000002</v>
      </c>
      <c r="E154" s="16">
        <f>SUM(E150:E153)</f>
        <v>0</v>
      </c>
      <c r="G154" s="16">
        <f>SUM(G150:G153)</f>
        <v>183369.21621199997</v>
      </c>
      <c r="H154" s="16">
        <f>SUM(H150:H153)</f>
        <v>0.023788000007016308</v>
      </c>
      <c r="I154" s="16">
        <f>I148+B154</f>
        <v>541321.24</v>
      </c>
    </row>
    <row r="156" spans="1:9" ht="12.75">
      <c r="A156" t="s">
        <v>11</v>
      </c>
      <c r="B156" s="1">
        <v>183916.63</v>
      </c>
      <c r="C156" s="1">
        <v>35368578.93</v>
      </c>
      <c r="D156" s="1"/>
      <c r="E156" s="1"/>
      <c r="F156" s="2">
        <v>0.0052</v>
      </c>
      <c r="G156" s="1">
        <f>C156*F156</f>
        <v>183916.610436</v>
      </c>
      <c r="H156" s="1">
        <f>B156-G156</f>
        <v>0.019564000016544014</v>
      </c>
      <c r="I156" s="1"/>
    </row>
    <row r="157" spans="2:9" ht="12.75">
      <c r="B157" s="1">
        <v>5868.75</v>
      </c>
      <c r="C157" s="1"/>
      <c r="D157" s="1">
        <v>1128608.67</v>
      </c>
      <c r="E157" s="1"/>
      <c r="F157" s="2">
        <v>0.0052</v>
      </c>
      <c r="G157" s="1">
        <f>D157*F157</f>
        <v>5868.765084</v>
      </c>
      <c r="H157" s="1">
        <f>B157-G157</f>
        <v>-0.015083999999660591</v>
      </c>
      <c r="I157" s="1"/>
    </row>
    <row r="158" spans="2:9" ht="12.75">
      <c r="B158" s="1"/>
      <c r="C158" s="1"/>
      <c r="D158" s="1"/>
      <c r="E158" s="1"/>
      <c r="F158" s="2">
        <f>F156</f>
        <v>0.0052</v>
      </c>
      <c r="G158" s="1">
        <f>C158*F158</f>
        <v>0</v>
      </c>
      <c r="H158" s="1">
        <f>B158-G158</f>
        <v>0</v>
      </c>
      <c r="I158" s="1"/>
    </row>
    <row r="159" spans="2:9" s="7" customFormat="1" ht="12.75">
      <c r="B159" s="8"/>
      <c r="C159" s="8"/>
      <c r="D159" s="8"/>
      <c r="E159" s="8"/>
      <c r="F159" s="9">
        <f>F157</f>
        <v>0.0052</v>
      </c>
      <c r="G159" s="8">
        <f>D159*F159</f>
        <v>0</v>
      </c>
      <c r="H159" s="8">
        <f>B159-G159</f>
        <v>0</v>
      </c>
      <c r="I159" s="8"/>
    </row>
    <row r="160" spans="2:9" s="16" customFormat="1" ht="13.5" thickBot="1">
      <c r="B160" s="16">
        <f>SUM(B156:B159)</f>
        <v>189785.38</v>
      </c>
      <c r="C160" s="16">
        <f>SUM(C156:C159)</f>
        <v>35368578.93</v>
      </c>
      <c r="D160" s="16">
        <f>SUM(D156:D159)</f>
        <v>1128608.67</v>
      </c>
      <c r="E160" s="16">
        <f>SUM(E156:E159)</f>
        <v>0</v>
      </c>
      <c r="G160" s="16">
        <f>SUM(G156:G159)</f>
        <v>189785.37552</v>
      </c>
      <c r="H160" s="16">
        <f>SUM(H156:H159)</f>
        <v>0.004480000016883423</v>
      </c>
      <c r="I160" s="16">
        <f>I154+B160</f>
        <v>731106.62</v>
      </c>
    </row>
    <row r="162" spans="1:9" ht="12.75">
      <c r="A162" t="s">
        <v>12</v>
      </c>
      <c r="B162" s="1">
        <v>176406.05</v>
      </c>
      <c r="C162" s="1">
        <v>33924233.92</v>
      </c>
      <c r="D162" s="1"/>
      <c r="E162" s="1"/>
      <c r="F162" s="2">
        <v>0.0052</v>
      </c>
      <c r="G162" s="1">
        <f>C162*F162</f>
        <v>176406.016384</v>
      </c>
      <c r="H162" s="1">
        <f>B162-G162</f>
        <v>0.03361600000062026</v>
      </c>
      <c r="I162" s="1"/>
    </row>
    <row r="163" spans="2:9" ht="12.75">
      <c r="B163" s="1">
        <v>5629.12</v>
      </c>
      <c r="C163" s="1"/>
      <c r="D163" s="1">
        <v>1082520.52</v>
      </c>
      <c r="E163" s="1"/>
      <c r="F163" s="2">
        <v>0.0052</v>
      </c>
      <c r="G163" s="1">
        <f>D163*F163</f>
        <v>5629.106704</v>
      </c>
      <c r="H163" s="1">
        <f>B163-G163</f>
        <v>0.013296000000082131</v>
      </c>
      <c r="I163" s="1"/>
    </row>
    <row r="164" spans="2:9" ht="12.75">
      <c r="B164" s="1"/>
      <c r="C164" s="1"/>
      <c r="D164" s="1"/>
      <c r="E164" s="1"/>
      <c r="F164" s="2">
        <f>F162</f>
        <v>0.0052</v>
      </c>
      <c r="G164" s="1">
        <f>C164*F164</f>
        <v>0</v>
      </c>
      <c r="H164" s="1">
        <f>B164-G164</f>
        <v>0</v>
      </c>
      <c r="I164" s="1"/>
    </row>
    <row r="165" spans="2:9" s="7" customFormat="1" ht="12.75">
      <c r="B165" s="8"/>
      <c r="C165" s="8"/>
      <c r="D165" s="8"/>
      <c r="E165" s="8"/>
      <c r="F165" s="9">
        <f>F163</f>
        <v>0.0052</v>
      </c>
      <c r="G165" s="8">
        <f>D165*F165</f>
        <v>0</v>
      </c>
      <c r="H165" s="8">
        <f>B165-G165</f>
        <v>0</v>
      </c>
      <c r="I165" s="8"/>
    </row>
    <row r="166" spans="2:9" s="16" customFormat="1" ht="13.5" thickBot="1">
      <c r="B166" s="16">
        <f>SUM(B162:B165)</f>
        <v>182035.16999999998</v>
      </c>
      <c r="C166" s="16">
        <f>SUM(C162:C165)</f>
        <v>33924233.92</v>
      </c>
      <c r="D166" s="16">
        <f>SUM(D162:D165)</f>
        <v>1082520.52</v>
      </c>
      <c r="E166" s="16">
        <f>SUM(E162:E165)</f>
        <v>0</v>
      </c>
      <c r="G166" s="16">
        <f>SUM(G162:G165)</f>
        <v>182035.123088</v>
      </c>
      <c r="H166" s="16">
        <f>SUM(H162:H165)</f>
        <v>0.04691200000070239</v>
      </c>
      <c r="I166" s="16">
        <f>I160+B166</f>
        <v>913141.79</v>
      </c>
    </row>
    <row r="168" spans="1:9" ht="12.75">
      <c r="A168" t="s">
        <v>13</v>
      </c>
      <c r="B168" s="1">
        <v>179458.8</v>
      </c>
      <c r="C168" s="1">
        <v>34511310.27</v>
      </c>
      <c r="D168" s="1"/>
      <c r="E168" s="1"/>
      <c r="F168" s="2">
        <v>0.0052</v>
      </c>
      <c r="G168" s="1">
        <f>C168*F168</f>
        <v>179458.81340400001</v>
      </c>
      <c r="H168" s="1">
        <f>B168-G168</f>
        <v>-0.013404000026639551</v>
      </c>
      <c r="I168" s="1"/>
    </row>
    <row r="169" spans="2:9" ht="12.75">
      <c r="B169" s="1">
        <v>5726.52</v>
      </c>
      <c r="C169" s="1"/>
      <c r="D169" s="1">
        <v>1101248.8</v>
      </c>
      <c r="E169" s="1"/>
      <c r="F169" s="2">
        <v>0.0052</v>
      </c>
      <c r="G169" s="1">
        <f>D169*F169</f>
        <v>5726.49376</v>
      </c>
      <c r="H169" s="1">
        <f>B169-G169</f>
        <v>0.026240000000143482</v>
      </c>
      <c r="I169" s="1"/>
    </row>
    <row r="170" spans="2:9" ht="12.75">
      <c r="B170" s="1"/>
      <c r="C170" s="1"/>
      <c r="D170" s="1"/>
      <c r="E170" s="1"/>
      <c r="F170" s="2">
        <f>F168</f>
        <v>0.0052</v>
      </c>
      <c r="G170" s="1">
        <f>C170*F170</f>
        <v>0</v>
      </c>
      <c r="H170" s="1">
        <f>B170-G170</f>
        <v>0</v>
      </c>
      <c r="I170" s="1"/>
    </row>
    <row r="171" spans="2:9" s="7" customFormat="1" ht="12.75">
      <c r="B171" s="8"/>
      <c r="C171" s="8"/>
      <c r="D171" s="8"/>
      <c r="E171" s="8"/>
      <c r="F171" s="9">
        <f>F169</f>
        <v>0.0052</v>
      </c>
      <c r="G171" s="8">
        <f>D171*F171</f>
        <v>0</v>
      </c>
      <c r="H171" s="8">
        <f>B171-G171</f>
        <v>0</v>
      </c>
      <c r="I171" s="8"/>
    </row>
    <row r="172" spans="2:9" s="16" customFormat="1" ht="13.5" thickBot="1">
      <c r="B172" s="16">
        <f>SUM(B168:B171)</f>
        <v>185185.31999999998</v>
      </c>
      <c r="C172" s="16">
        <f>SUM(C168:C171)</f>
        <v>34511310.27</v>
      </c>
      <c r="D172" s="16">
        <f>SUM(D168:D171)</f>
        <v>1101248.8</v>
      </c>
      <c r="E172" s="16">
        <f>SUM(E168:E171)</f>
        <v>0</v>
      </c>
      <c r="G172" s="16">
        <f>SUM(G168:G171)</f>
        <v>185185.30716400003</v>
      </c>
      <c r="H172" s="16">
        <f>SUM(H168:H171)</f>
        <v>0.012835999973503931</v>
      </c>
      <c r="I172" s="16">
        <f>I166+B172</f>
        <v>1098327.11</v>
      </c>
    </row>
    <row r="174" spans="1:9" ht="12.75">
      <c r="A174" t="s">
        <v>14</v>
      </c>
      <c r="B174" s="1">
        <v>168964.37</v>
      </c>
      <c r="C174" s="1">
        <v>32493153.02</v>
      </c>
      <c r="D174" s="1"/>
      <c r="E174" s="1"/>
      <c r="F174" s="2">
        <v>0.0052</v>
      </c>
      <c r="G174" s="1">
        <f>C174*F174</f>
        <v>168964.395704</v>
      </c>
      <c r="H174" s="1">
        <f>B174-G174</f>
        <v>-0.025703999999677762</v>
      </c>
      <c r="I174" s="1"/>
    </row>
    <row r="175" spans="2:9" ht="12.75">
      <c r="B175" s="1">
        <v>5391.61</v>
      </c>
      <c r="C175" s="1"/>
      <c r="D175" s="1">
        <v>1036846.02</v>
      </c>
      <c r="E175" s="1"/>
      <c r="F175" s="2">
        <v>0.0052</v>
      </c>
      <c r="G175" s="1">
        <f>D175*F175</f>
        <v>5391.599304</v>
      </c>
      <c r="H175" s="1">
        <f>B175-G175</f>
        <v>0.010695999999370542</v>
      </c>
      <c r="I175" s="1"/>
    </row>
    <row r="176" spans="2:9" ht="12.75">
      <c r="B176" s="1"/>
      <c r="C176" s="1"/>
      <c r="D176" s="1"/>
      <c r="E176" s="1"/>
      <c r="F176" s="2">
        <f>F174</f>
        <v>0.0052</v>
      </c>
      <c r="G176" s="1">
        <f>C176*F176</f>
        <v>0</v>
      </c>
      <c r="H176" s="1">
        <f>B176-G176</f>
        <v>0</v>
      </c>
      <c r="I176" s="1"/>
    </row>
    <row r="177" spans="2:9" s="7" customFormat="1" ht="12.75">
      <c r="B177" s="8"/>
      <c r="C177" s="8"/>
      <c r="D177" s="8"/>
      <c r="E177" s="8"/>
      <c r="F177" s="9">
        <f>F175</f>
        <v>0.0052</v>
      </c>
      <c r="G177" s="8">
        <f>D177*F177</f>
        <v>0</v>
      </c>
      <c r="H177" s="8">
        <f>B177-G177</f>
        <v>0</v>
      </c>
      <c r="I177" s="8"/>
    </row>
    <row r="178" spans="2:9" s="16" customFormat="1" ht="13.5" thickBot="1">
      <c r="B178" s="16">
        <f>SUM(B174:B177)</f>
        <v>174355.97999999998</v>
      </c>
      <c r="C178" s="16">
        <f>SUM(C174:C177)</f>
        <v>32493153.02</v>
      </c>
      <c r="D178" s="16">
        <f>SUM(D174:D177)</f>
        <v>1036846.02</v>
      </c>
      <c r="E178" s="16">
        <f>SUM(E174:E177)</f>
        <v>0</v>
      </c>
      <c r="G178" s="16">
        <f>SUM(G174:G177)</f>
        <v>174355.995008</v>
      </c>
      <c r="H178" s="16">
        <f>SUM(H174:H177)</f>
        <v>-0.01500800000030722</v>
      </c>
      <c r="I178" s="16">
        <f>I172+B178</f>
        <v>1272683.09</v>
      </c>
    </row>
    <row r="180" ht="12.75">
      <c r="I180" s="1">
        <v>1272683.09</v>
      </c>
    </row>
    <row r="181" ht="12.75">
      <c r="I181" s="1">
        <f>I178-I180</f>
        <v>0</v>
      </c>
    </row>
    <row r="187" spans="1:9" ht="12.75">
      <c r="A187" t="s">
        <v>50</v>
      </c>
      <c r="B187" s="1"/>
      <c r="C187" s="1"/>
      <c r="D187" s="1"/>
      <c r="E187" s="1"/>
      <c r="F187" s="2"/>
      <c r="G187" s="1"/>
      <c r="H187" s="1"/>
      <c r="I187" s="1"/>
    </row>
    <row r="188" spans="1:9" ht="12.75">
      <c r="A188" t="s">
        <v>51</v>
      </c>
      <c r="B188" s="1"/>
      <c r="C188" s="1"/>
      <c r="D188" s="1"/>
      <c r="E188" s="1"/>
      <c r="F188" s="2"/>
      <c r="G188" s="1"/>
      <c r="H188" s="1"/>
      <c r="I188" s="1"/>
    </row>
    <row r="189" spans="1:9" ht="12.75">
      <c r="A189" t="s">
        <v>52</v>
      </c>
      <c r="B189" s="1"/>
      <c r="C189" s="1"/>
      <c r="D189" s="1"/>
      <c r="E189" s="1"/>
      <c r="F189" s="2"/>
      <c r="G189" s="1"/>
      <c r="H189" s="1"/>
      <c r="I189" s="1"/>
    </row>
    <row r="190" spans="2:9" ht="12.75">
      <c r="B190" s="1"/>
      <c r="C190" s="1"/>
      <c r="D190" s="1"/>
      <c r="E190" s="1"/>
      <c r="F190" s="2"/>
      <c r="G190" s="1"/>
      <c r="H190" s="1"/>
      <c r="I190" s="1"/>
    </row>
    <row r="191" spans="2:9" s="4" customFormat="1" ht="25.5">
      <c r="B191" s="5" t="s">
        <v>15</v>
      </c>
      <c r="C191" s="5" t="s">
        <v>16</v>
      </c>
      <c r="D191" s="5" t="s">
        <v>36</v>
      </c>
      <c r="E191" s="5" t="s">
        <v>35</v>
      </c>
      <c r="F191" s="6" t="s">
        <v>17</v>
      </c>
      <c r="G191" s="5" t="s">
        <v>18</v>
      </c>
      <c r="H191" s="5" t="s">
        <v>19</v>
      </c>
      <c r="I191" s="5" t="s">
        <v>22</v>
      </c>
    </row>
    <row r="192" spans="2:9" ht="12.75">
      <c r="B192" s="1"/>
      <c r="C192" s="1"/>
      <c r="D192" s="1"/>
      <c r="E192" s="1"/>
      <c r="F192" s="2"/>
      <c r="G192" s="1"/>
      <c r="H192" s="1"/>
      <c r="I192" s="1"/>
    </row>
    <row r="193" spans="1:9" ht="12.75">
      <c r="A193" t="s">
        <v>3</v>
      </c>
      <c r="B193" s="1"/>
      <c r="C193" s="1"/>
      <c r="D193" s="1"/>
      <c r="E193" s="1"/>
      <c r="F193" s="2">
        <v>-0.6</v>
      </c>
      <c r="G193" s="1">
        <f>E193*F193</f>
        <v>0</v>
      </c>
      <c r="H193" s="1">
        <f>B193-G193</f>
        <v>0</v>
      </c>
      <c r="I193" s="1"/>
    </row>
    <row r="194" spans="2:9" ht="12.75">
      <c r="B194" s="1"/>
      <c r="C194" s="1"/>
      <c r="D194" s="1"/>
      <c r="E194" s="1"/>
      <c r="F194" s="2">
        <v>-0.6</v>
      </c>
      <c r="G194" s="1">
        <f>E194*F194</f>
        <v>0</v>
      </c>
      <c r="H194" s="1">
        <f>B194-G194</f>
        <v>0</v>
      </c>
      <c r="I194" s="1"/>
    </row>
    <row r="195" spans="2:9" s="7" customFormat="1" ht="12.75">
      <c r="B195" s="8"/>
      <c r="C195" s="8"/>
      <c r="D195" s="8"/>
      <c r="E195" s="8"/>
      <c r="F195" s="9">
        <v>-1.56</v>
      </c>
      <c r="G195" s="8">
        <f>E195*F195</f>
        <v>0</v>
      </c>
      <c r="H195" s="8">
        <f>B195-G195</f>
        <v>0</v>
      </c>
      <c r="I195" s="8"/>
    </row>
    <row r="196" spans="2:9" s="16" customFormat="1" ht="13.5" thickBot="1">
      <c r="B196" s="16">
        <f>SUM(B193:B195)</f>
        <v>0</v>
      </c>
      <c r="C196" s="16">
        <f>SUM(C193:C195)</f>
        <v>0</v>
      </c>
      <c r="D196" s="16">
        <f>SUM(D193:D195)</f>
        <v>0</v>
      </c>
      <c r="E196" s="16">
        <f>SUM(E193:E195)</f>
        <v>0</v>
      </c>
      <c r="G196" s="16">
        <f>SUM(G193:G195)</f>
        <v>0</v>
      </c>
      <c r="H196" s="16">
        <f>SUM(H193:H195)</f>
        <v>0</v>
      </c>
      <c r="I196" s="16">
        <f>B196</f>
        <v>0</v>
      </c>
    </row>
    <row r="197" spans="2:9" ht="12.75">
      <c r="B197" s="1"/>
      <c r="C197" s="1"/>
      <c r="D197" s="1"/>
      <c r="E197" s="1"/>
      <c r="F197" s="2"/>
      <c r="G197" s="1"/>
      <c r="H197" s="1"/>
      <c r="I197" s="1"/>
    </row>
    <row r="198" spans="1:9" ht="12.75">
      <c r="A198" t="s">
        <v>4</v>
      </c>
      <c r="B198" s="1">
        <v>-41025.95</v>
      </c>
      <c r="C198" s="1"/>
      <c r="D198" s="1"/>
      <c r="E198" s="1">
        <v>68376.58</v>
      </c>
      <c r="F198" s="2">
        <v>-0.6</v>
      </c>
      <c r="G198" s="1">
        <f>E198*F198</f>
        <v>-41025.948</v>
      </c>
      <c r="H198" s="1">
        <f>B198-G198</f>
        <v>-0.0020000000004074536</v>
      </c>
      <c r="I198" s="1"/>
    </row>
    <row r="199" spans="2:9" ht="12.75">
      <c r="B199" s="1">
        <v>1416.6</v>
      </c>
      <c r="C199" s="1"/>
      <c r="D199" s="1"/>
      <c r="E199" s="1">
        <v>-2361</v>
      </c>
      <c r="F199" s="2">
        <v>-0.6</v>
      </c>
      <c r="G199" s="1">
        <f>E199*F199</f>
        <v>1416.6</v>
      </c>
      <c r="H199" s="1">
        <f>B199-G199</f>
        <v>0</v>
      </c>
      <c r="I199" s="1"/>
    </row>
    <row r="200" spans="2:9" s="7" customFormat="1" ht="12.75">
      <c r="B200" s="8">
        <v>-4583.28</v>
      </c>
      <c r="C200" s="8"/>
      <c r="D200" s="8"/>
      <c r="E200" s="8">
        <v>2938</v>
      </c>
      <c r="F200" s="9">
        <v>-1.56</v>
      </c>
      <c r="G200" s="8">
        <f>E200*F200</f>
        <v>-4583.28</v>
      </c>
      <c r="H200" s="8">
        <f>B200-G200</f>
        <v>0</v>
      </c>
      <c r="I200" s="8"/>
    </row>
    <row r="201" spans="2:9" s="16" customFormat="1" ht="13.5" thickBot="1">
      <c r="B201" s="16">
        <f>SUM(B198:B200)</f>
        <v>-44192.63</v>
      </c>
      <c r="C201" s="16">
        <f>SUM(C198:C200)</f>
        <v>0</v>
      </c>
      <c r="D201" s="16">
        <f>SUM(D198:D200)</f>
        <v>0</v>
      </c>
      <c r="E201" s="16">
        <f>SUM(E198:E200)</f>
        <v>68953.58</v>
      </c>
      <c r="G201" s="16">
        <f>SUM(G198:G200)</f>
        <v>-44192.628</v>
      </c>
      <c r="H201" s="16">
        <f>SUM(H198:H200)</f>
        <v>-0.0020000000004074536</v>
      </c>
      <c r="I201" s="16">
        <f>I196+B201</f>
        <v>-44192.63</v>
      </c>
    </row>
    <row r="202" spans="2:9" ht="12.75">
      <c r="B202" s="1"/>
      <c r="C202" s="1"/>
      <c r="D202" s="1"/>
      <c r="E202" s="1"/>
      <c r="G202" s="1"/>
      <c r="H202" s="1"/>
      <c r="I202" s="1"/>
    </row>
    <row r="203" spans="1:9" ht="12.75">
      <c r="A203" t="s">
        <v>5</v>
      </c>
      <c r="B203" s="1">
        <v>-41833.91</v>
      </c>
      <c r="C203" s="1"/>
      <c r="D203" s="1"/>
      <c r="E203" s="1">
        <v>69723.19</v>
      </c>
      <c r="F203" s="2">
        <v>-0.6</v>
      </c>
      <c r="G203" s="1">
        <f>E203*F203</f>
        <v>-41833.914</v>
      </c>
      <c r="H203" s="1">
        <f>B203-G203</f>
        <v>0.00399999999353895</v>
      </c>
      <c r="I203" s="1"/>
    </row>
    <row r="204" spans="2:9" ht="12.75">
      <c r="B204" s="1">
        <v>797.4</v>
      </c>
      <c r="C204" s="1"/>
      <c r="D204" s="1"/>
      <c r="E204" s="1">
        <v>-1329</v>
      </c>
      <c r="F204" s="2">
        <v>-0.6</v>
      </c>
      <c r="G204" s="1">
        <f>E204*F204</f>
        <v>797.4</v>
      </c>
      <c r="H204" s="1">
        <f>B204-G204</f>
        <v>0</v>
      </c>
      <c r="I204" s="1"/>
    </row>
    <row r="205" spans="2:9" s="7" customFormat="1" ht="12.75">
      <c r="B205" s="8">
        <v>-3354</v>
      </c>
      <c r="C205" s="8"/>
      <c r="D205" s="8"/>
      <c r="E205" s="8">
        <v>2150</v>
      </c>
      <c r="F205" s="9">
        <v>-1.56</v>
      </c>
      <c r="G205" s="8">
        <f>E205*F205</f>
        <v>-3354</v>
      </c>
      <c r="H205" s="8">
        <f>B205-G205</f>
        <v>0</v>
      </c>
      <c r="I205" s="8"/>
    </row>
    <row r="206" spans="2:9" s="16" customFormat="1" ht="13.5" thickBot="1">
      <c r="B206" s="16">
        <f>SUM(B203:B205)</f>
        <v>-44390.51</v>
      </c>
      <c r="C206" s="16">
        <f>SUM(C203:C205)</f>
        <v>0</v>
      </c>
      <c r="D206" s="16">
        <f>SUM(D203:D205)</f>
        <v>0</v>
      </c>
      <c r="E206" s="16">
        <f>SUM(E203:E205)</f>
        <v>70544.19</v>
      </c>
      <c r="G206" s="16">
        <f>SUM(G203:G205)</f>
        <v>-44390.513999999996</v>
      </c>
      <c r="H206" s="16">
        <f>SUM(H203:H205)</f>
        <v>0.00399999999353895</v>
      </c>
      <c r="I206" s="16">
        <f>I201+B206</f>
        <v>-88583.14</v>
      </c>
    </row>
    <row r="207" spans="2:9" ht="12.75">
      <c r="B207" s="1"/>
      <c r="C207" s="1"/>
      <c r="D207" s="1"/>
      <c r="E207" s="1"/>
      <c r="G207" s="1"/>
      <c r="H207" s="1"/>
      <c r="I207" s="1"/>
    </row>
    <row r="208" spans="1:9" ht="12.75">
      <c r="A208" t="s">
        <v>6</v>
      </c>
      <c r="B208" s="1">
        <v>-41385.18</v>
      </c>
      <c r="C208" s="1"/>
      <c r="D208" s="1"/>
      <c r="E208" s="1">
        <v>68975.33</v>
      </c>
      <c r="F208" s="2">
        <v>-0.6</v>
      </c>
      <c r="G208" s="1">
        <f>E208*F208</f>
        <v>-41385.198</v>
      </c>
      <c r="H208" s="1">
        <f>B208-G208</f>
        <v>0.017999999996391125</v>
      </c>
      <c r="I208" s="1"/>
    </row>
    <row r="209" spans="2:9" s="7" customFormat="1" ht="12.75">
      <c r="B209" s="8">
        <v>-4733.04</v>
      </c>
      <c r="C209" s="8"/>
      <c r="D209" s="8"/>
      <c r="E209" s="8">
        <v>3034</v>
      </c>
      <c r="F209" s="9">
        <v>-1.56</v>
      </c>
      <c r="G209" s="8">
        <f>E209*F209</f>
        <v>-4733.04</v>
      </c>
      <c r="H209" s="8">
        <f>B209-G209</f>
        <v>0</v>
      </c>
      <c r="I209" s="8"/>
    </row>
    <row r="210" spans="2:9" s="16" customFormat="1" ht="13.5" thickBot="1">
      <c r="B210" s="16">
        <f>SUM(B208:B209)</f>
        <v>-46118.22</v>
      </c>
      <c r="C210" s="16">
        <f>SUM(C208:C209)</f>
        <v>0</v>
      </c>
      <c r="D210" s="16">
        <f>SUM(D208:D209)</f>
        <v>0</v>
      </c>
      <c r="E210" s="16">
        <f>SUM(E208:E209)</f>
        <v>72009.33</v>
      </c>
      <c r="G210" s="16">
        <f>SUM(G208:G209)</f>
        <v>-46118.238</v>
      </c>
      <c r="H210" s="16">
        <f>SUM(H208:H209)</f>
        <v>0.017999999996391125</v>
      </c>
      <c r="I210" s="16">
        <f>I206+B210</f>
        <v>-134701.36</v>
      </c>
    </row>
    <row r="211" spans="2:9" ht="12.75">
      <c r="B211" s="1"/>
      <c r="C211" s="1"/>
      <c r="D211" s="1"/>
      <c r="E211" s="1"/>
      <c r="G211" s="1"/>
      <c r="H211" s="1"/>
      <c r="I211" s="1"/>
    </row>
    <row r="212" spans="1:9" ht="12.75">
      <c r="A212" t="s">
        <v>7</v>
      </c>
      <c r="B212" s="1">
        <v>-76916.65</v>
      </c>
      <c r="C212" s="1"/>
      <c r="D212" s="1"/>
      <c r="E212" s="1">
        <v>128194.45</v>
      </c>
      <c r="F212" s="2">
        <v>-0.6</v>
      </c>
      <c r="G212" s="1">
        <f>E212*F212</f>
        <v>-76916.67</v>
      </c>
      <c r="H212" s="1">
        <f>B212-G212</f>
        <v>0.020000000004074536</v>
      </c>
      <c r="I212" s="1"/>
    </row>
    <row r="213" spans="2:9" ht="12.75">
      <c r="B213" s="1">
        <v>33603.23</v>
      </c>
      <c r="C213" s="1"/>
      <c r="D213" s="1"/>
      <c r="E213" s="1">
        <v>-56005.42</v>
      </c>
      <c r="F213" s="2">
        <v>-0.6</v>
      </c>
      <c r="G213" s="1">
        <f>E213*F213</f>
        <v>33603.252</v>
      </c>
      <c r="H213" s="1">
        <f>B213-G213</f>
        <v>-0.021999999997206032</v>
      </c>
      <c r="I213" s="1"/>
    </row>
    <row r="214" spans="2:9" s="7" customFormat="1" ht="12.75">
      <c r="B214" s="8">
        <v>-4837.56</v>
      </c>
      <c r="C214" s="8"/>
      <c r="D214" s="8"/>
      <c r="E214" s="8">
        <v>3101</v>
      </c>
      <c r="F214" s="9">
        <v>-1.56</v>
      </c>
      <c r="G214" s="8">
        <f>E214*F214</f>
        <v>-4837.56</v>
      </c>
      <c r="H214" s="8">
        <f>B214-G214</f>
        <v>0</v>
      </c>
      <c r="I214" s="8"/>
    </row>
    <row r="215" spans="2:9" s="16" customFormat="1" ht="13.5" thickBot="1">
      <c r="B215" s="16">
        <f>SUM(B212:B214)</f>
        <v>-48150.97999999999</v>
      </c>
      <c r="C215" s="16">
        <f>SUM(C212:C214)</f>
        <v>0</v>
      </c>
      <c r="D215" s="16">
        <f>SUM(D212:D214)</f>
        <v>0</v>
      </c>
      <c r="E215" s="16">
        <f>SUM(E212:E214)</f>
        <v>75290.03</v>
      </c>
      <c r="G215" s="16">
        <f>SUM(G212:G214)</f>
        <v>-48150.977999999996</v>
      </c>
      <c r="H215" s="16">
        <f>SUM(H212:H214)</f>
        <v>-0.001999999993131496</v>
      </c>
      <c r="I215" s="16">
        <f>I210+B215</f>
        <v>-182852.33999999997</v>
      </c>
    </row>
    <row r="216" spans="2:9" ht="12.75">
      <c r="B216" s="1"/>
      <c r="C216" s="1"/>
      <c r="D216" s="1"/>
      <c r="E216" s="1"/>
      <c r="G216" s="1"/>
      <c r="H216" s="1"/>
      <c r="I216" s="1"/>
    </row>
    <row r="217" spans="1:9" ht="12.75">
      <c r="A217" t="s">
        <v>8</v>
      </c>
      <c r="B217" s="1">
        <v>-42959.39</v>
      </c>
      <c r="C217" s="1"/>
      <c r="D217" s="1"/>
      <c r="E217" s="1">
        <v>71598.94</v>
      </c>
      <c r="F217" s="2">
        <v>-0.6</v>
      </c>
      <c r="G217" s="1">
        <f>E217*F217</f>
        <v>-42959.364</v>
      </c>
      <c r="H217" s="1">
        <f>B217-G217</f>
        <v>-0.02599999999802094</v>
      </c>
      <c r="I217" s="1"/>
    </row>
    <row r="218" spans="2:9" s="7" customFormat="1" ht="12.75">
      <c r="B218" s="8"/>
      <c r="C218" s="8"/>
      <c r="D218" s="8"/>
      <c r="E218" s="8"/>
      <c r="F218" s="9">
        <v>-0.6</v>
      </c>
      <c r="G218" s="8">
        <f>E218*F218</f>
        <v>0</v>
      </c>
      <c r="H218" s="8">
        <f>B218-G218</f>
        <v>0</v>
      </c>
      <c r="I218" s="8"/>
    </row>
    <row r="219" spans="2:9" s="16" customFormat="1" ht="13.5" thickBot="1">
      <c r="B219" s="16">
        <f>SUM(B217:B218)</f>
        <v>-42959.39</v>
      </c>
      <c r="C219" s="16">
        <f>SUM(C217:C218)</f>
        <v>0</v>
      </c>
      <c r="D219" s="16">
        <f>SUM(D217:D218)</f>
        <v>0</v>
      </c>
      <c r="E219" s="16">
        <f>SUM(E217:E218)</f>
        <v>71598.94</v>
      </c>
      <c r="G219" s="16">
        <f>SUM(G217:G218)</f>
        <v>-42959.364</v>
      </c>
      <c r="H219" s="16">
        <f>SUM(H217:H218)</f>
        <v>-0.02599999999802094</v>
      </c>
      <c r="I219" s="16">
        <f>I215+B219</f>
        <v>-225811.72999999998</v>
      </c>
    </row>
    <row r="220" spans="2:9" ht="12.75">
      <c r="B220" s="1"/>
      <c r="C220" s="1"/>
      <c r="D220" s="1"/>
      <c r="E220" s="1"/>
      <c r="G220" s="1"/>
      <c r="H220" s="1"/>
      <c r="I220" s="1"/>
    </row>
    <row r="221" spans="1:9" ht="12.75">
      <c r="A221" t="s">
        <v>9</v>
      </c>
      <c r="B221" s="1">
        <v>-44515.4</v>
      </c>
      <c r="C221" s="1"/>
      <c r="D221" s="1"/>
      <c r="E221" s="1">
        <v>74192.33</v>
      </c>
      <c r="F221" s="2">
        <v>-0.6</v>
      </c>
      <c r="G221" s="1">
        <f>E221*F221</f>
        <v>-44515.398</v>
      </c>
      <c r="H221" s="1">
        <f>B221-G221</f>
        <v>-0.0020000000004074536</v>
      </c>
      <c r="I221" s="1"/>
    </row>
    <row r="222" spans="2:9" s="7" customFormat="1" ht="12.75">
      <c r="B222" s="8"/>
      <c r="C222" s="8"/>
      <c r="D222" s="8"/>
      <c r="E222" s="8"/>
      <c r="F222" s="9">
        <v>-0.6</v>
      </c>
      <c r="G222" s="8">
        <f>E222*F222</f>
        <v>0</v>
      </c>
      <c r="H222" s="8">
        <f>B222-G222</f>
        <v>0</v>
      </c>
      <c r="I222" s="8"/>
    </row>
    <row r="223" spans="2:9" s="16" customFormat="1" ht="13.5" thickBot="1">
      <c r="B223" s="16">
        <f>SUM(B221:B222)</f>
        <v>-44515.4</v>
      </c>
      <c r="C223" s="16">
        <f>SUM(C221:C222)</f>
        <v>0</v>
      </c>
      <c r="D223" s="16">
        <f>SUM(D221:D222)</f>
        <v>0</v>
      </c>
      <c r="E223" s="16">
        <f>SUM(E221:E222)</f>
        <v>74192.33</v>
      </c>
      <c r="G223" s="16">
        <f>SUM(G221:G222)</f>
        <v>-44515.398</v>
      </c>
      <c r="H223" s="16">
        <f>SUM(H221:H222)</f>
        <v>-0.0020000000004074536</v>
      </c>
      <c r="I223" s="16">
        <f>I219+B223</f>
        <v>-270327.13</v>
      </c>
    </row>
    <row r="224" spans="2:9" ht="12.75">
      <c r="B224" s="1"/>
      <c r="C224" s="1"/>
      <c r="D224" s="1"/>
      <c r="E224" s="1"/>
      <c r="G224" s="1"/>
      <c r="H224" s="1"/>
      <c r="I224" s="1"/>
    </row>
    <row r="225" spans="1:9" ht="12.75">
      <c r="A225" t="s">
        <v>10</v>
      </c>
      <c r="B225" s="1">
        <v>-52647.43</v>
      </c>
      <c r="C225" s="1"/>
      <c r="D225" s="1"/>
      <c r="E225" s="1">
        <v>87745.78</v>
      </c>
      <c r="F225" s="2">
        <v>-0.6</v>
      </c>
      <c r="G225" s="1">
        <f>E225*F225</f>
        <v>-52647.468</v>
      </c>
      <c r="H225" s="1">
        <f>B225-G225</f>
        <v>0.03800000000046566</v>
      </c>
      <c r="I225" s="1"/>
    </row>
    <row r="226" spans="2:9" s="7" customFormat="1" ht="12.75">
      <c r="B226" s="8">
        <v>8122.53</v>
      </c>
      <c r="C226" s="8"/>
      <c r="D226" s="8"/>
      <c r="E226" s="8">
        <v>-13537.55</v>
      </c>
      <c r="F226" s="9">
        <v>-0.6</v>
      </c>
      <c r="G226" s="8">
        <f>E226*F226</f>
        <v>8122.529999999999</v>
      </c>
      <c r="H226" s="8">
        <f>B226-G226</f>
        <v>0</v>
      </c>
      <c r="I226" s="8"/>
    </row>
    <row r="227" spans="2:9" s="16" customFormat="1" ht="13.5" thickBot="1">
      <c r="B227" s="16">
        <f>SUM(B225:B226)</f>
        <v>-44524.9</v>
      </c>
      <c r="C227" s="16">
        <f>SUM(C225:C226)</f>
        <v>0</v>
      </c>
      <c r="D227" s="16">
        <f>SUM(D225:D226)</f>
        <v>0</v>
      </c>
      <c r="E227" s="16">
        <f>SUM(E225:E226)</f>
        <v>74208.23</v>
      </c>
      <c r="G227" s="16">
        <f>SUM(G225:G226)</f>
        <v>-44524.938</v>
      </c>
      <c r="H227" s="16">
        <f>SUM(H225:H226)</f>
        <v>0.03800000000046566</v>
      </c>
      <c r="I227" s="16">
        <f>I223+B227</f>
        <v>-314852.03</v>
      </c>
    </row>
    <row r="228" spans="2:9" ht="12.75">
      <c r="B228" s="1"/>
      <c r="C228" s="1"/>
      <c r="D228" s="1"/>
      <c r="E228" s="1"/>
      <c r="G228" s="1"/>
      <c r="H228" s="1"/>
      <c r="I228" s="1"/>
    </row>
    <row r="229" spans="1:9" ht="12.75">
      <c r="A229" t="s">
        <v>11</v>
      </c>
      <c r="B229" s="1">
        <v>-44684.73</v>
      </c>
      <c r="C229" s="1"/>
      <c r="D229" s="1"/>
      <c r="E229" s="1">
        <v>74474.56</v>
      </c>
      <c r="F229" s="2">
        <v>-0.6</v>
      </c>
      <c r="G229" s="1">
        <f>E229*F229</f>
        <v>-44684.736</v>
      </c>
      <c r="H229" s="1">
        <f>B229-G229</f>
        <v>0.005999999993946403</v>
      </c>
      <c r="I229" s="1"/>
    </row>
    <row r="230" spans="2:9" s="7" customFormat="1" ht="12.75">
      <c r="B230" s="8">
        <v>0</v>
      </c>
      <c r="C230" s="8"/>
      <c r="D230" s="8"/>
      <c r="E230" s="8"/>
      <c r="F230" s="9">
        <v>-0.6</v>
      </c>
      <c r="G230" s="8">
        <f>E230*F230</f>
        <v>0</v>
      </c>
      <c r="H230" s="8">
        <f>B230-G230</f>
        <v>0</v>
      </c>
      <c r="I230" s="8"/>
    </row>
    <row r="231" spans="2:9" s="16" customFormat="1" ht="13.5" thickBot="1">
      <c r="B231" s="16">
        <f>SUM(B229:B230)</f>
        <v>-44684.73</v>
      </c>
      <c r="C231" s="16">
        <f>SUM(C229:C230)</f>
        <v>0</v>
      </c>
      <c r="D231" s="16">
        <f>SUM(D229:D230)</f>
        <v>0</v>
      </c>
      <c r="E231" s="16">
        <f>SUM(E229:E230)</f>
        <v>74474.56</v>
      </c>
      <c r="G231" s="16">
        <f>SUM(G229:G230)</f>
        <v>-44684.736</v>
      </c>
      <c r="H231" s="16">
        <f>SUM(H229:H230)</f>
        <v>0.005999999993946403</v>
      </c>
      <c r="I231" s="16">
        <f>I227+B231</f>
        <v>-359536.76</v>
      </c>
    </row>
    <row r="232" spans="2:9" ht="12.75">
      <c r="B232" s="1"/>
      <c r="C232" s="1"/>
      <c r="D232" s="1"/>
      <c r="E232" s="1"/>
      <c r="G232" s="1"/>
      <c r="H232" s="1"/>
      <c r="I232" s="1"/>
    </row>
    <row r="233" spans="1:9" ht="12.75">
      <c r="A233" t="s">
        <v>12</v>
      </c>
      <c r="B233" s="1">
        <v>-44590.73</v>
      </c>
      <c r="C233" s="1"/>
      <c r="D233" s="1"/>
      <c r="E233" s="1">
        <v>74317.92</v>
      </c>
      <c r="F233" s="2">
        <v>-0.6</v>
      </c>
      <c r="G233" s="1">
        <f>E233*F233</f>
        <v>-44590.752</v>
      </c>
      <c r="H233" s="1">
        <f>B233-G233</f>
        <v>0.021999999997206032</v>
      </c>
      <c r="I233" s="1"/>
    </row>
    <row r="234" spans="2:9" s="7" customFormat="1" ht="12.75">
      <c r="B234" s="8">
        <v>0</v>
      </c>
      <c r="C234" s="8"/>
      <c r="D234" s="8"/>
      <c r="E234" s="8"/>
      <c r="F234" s="9">
        <v>-0.6</v>
      </c>
      <c r="G234" s="8">
        <f>E234*F234</f>
        <v>0</v>
      </c>
      <c r="H234" s="8">
        <f>B234-G234</f>
        <v>0</v>
      </c>
      <c r="I234" s="8"/>
    </row>
    <row r="235" spans="2:9" s="16" customFormat="1" ht="13.5" thickBot="1">
      <c r="B235" s="16">
        <f>SUM(B233:B234)</f>
        <v>-44590.73</v>
      </c>
      <c r="C235" s="16">
        <f>SUM(C233:C234)</f>
        <v>0</v>
      </c>
      <c r="D235" s="16">
        <f>SUM(D233:D234)</f>
        <v>0</v>
      </c>
      <c r="E235" s="16">
        <f>SUM(E233:E234)</f>
        <v>74317.92</v>
      </c>
      <c r="G235" s="16">
        <f>SUM(G233:G234)</f>
        <v>-44590.752</v>
      </c>
      <c r="H235" s="16">
        <f>SUM(H233:H234)</f>
        <v>0.021999999997206032</v>
      </c>
      <c r="I235" s="16">
        <f>I231+B235</f>
        <v>-404127.49</v>
      </c>
    </row>
    <row r="236" spans="2:9" ht="12.75">
      <c r="B236" s="1"/>
      <c r="C236" s="1"/>
      <c r="D236" s="1"/>
      <c r="E236" s="1"/>
      <c r="G236" s="1"/>
      <c r="H236" s="1"/>
      <c r="I236" s="1"/>
    </row>
    <row r="237" spans="1:9" ht="12.75">
      <c r="A237" t="s">
        <v>13</v>
      </c>
      <c r="B237" s="1">
        <v>-44481.68</v>
      </c>
      <c r="C237" s="1"/>
      <c r="D237" s="1"/>
      <c r="E237" s="1">
        <v>74136.13</v>
      </c>
      <c r="F237" s="2">
        <v>-0.6</v>
      </c>
      <c r="G237" s="1">
        <f>E237*F237</f>
        <v>-44481.678</v>
      </c>
      <c r="H237" s="1">
        <f>B237-G237</f>
        <v>-0.0020000000004074536</v>
      </c>
      <c r="I237" s="1"/>
    </row>
    <row r="238" spans="2:9" s="7" customFormat="1" ht="12.75">
      <c r="B238" s="8">
        <v>0</v>
      </c>
      <c r="C238" s="8"/>
      <c r="D238" s="8"/>
      <c r="E238" s="8"/>
      <c r="F238" s="9">
        <v>-0.6</v>
      </c>
      <c r="G238" s="8">
        <f>E238*F238</f>
        <v>0</v>
      </c>
      <c r="H238" s="8">
        <f>B238-G238</f>
        <v>0</v>
      </c>
      <c r="I238" s="8"/>
    </row>
    <row r="239" spans="2:9" s="16" customFormat="1" ht="13.5" thickBot="1">
      <c r="B239" s="16">
        <f>SUM(B237:B238)</f>
        <v>-44481.68</v>
      </c>
      <c r="C239" s="16">
        <f>SUM(C237:C238)</f>
        <v>0</v>
      </c>
      <c r="D239" s="16">
        <f>SUM(D237:D238)</f>
        <v>0</v>
      </c>
      <c r="E239" s="16">
        <f>SUM(E237:E238)</f>
        <v>74136.13</v>
      </c>
      <c r="G239" s="16">
        <f>SUM(G237:G238)</f>
        <v>-44481.678</v>
      </c>
      <c r="H239" s="16">
        <f>SUM(H237:H238)</f>
        <v>-0.0020000000004074536</v>
      </c>
      <c r="I239" s="16">
        <f>I235+B239</f>
        <v>-448609.17</v>
      </c>
    </row>
    <row r="240" spans="2:9" ht="12.75">
      <c r="B240" s="1"/>
      <c r="C240" s="1"/>
      <c r="D240" s="1"/>
      <c r="E240" s="1"/>
      <c r="G240" s="1"/>
      <c r="H240" s="1"/>
      <c r="I240" s="1"/>
    </row>
    <row r="241" spans="1:9" ht="12.75">
      <c r="A241" t="s">
        <v>14</v>
      </c>
      <c r="B241" s="1">
        <v>-41962.89</v>
      </c>
      <c r="C241" s="1"/>
      <c r="D241" s="1"/>
      <c r="E241" s="1">
        <v>69938.18</v>
      </c>
      <c r="F241" s="2">
        <v>-0.6</v>
      </c>
      <c r="G241" s="1">
        <f>E241*F241</f>
        <v>-41962.907999999996</v>
      </c>
      <c r="H241" s="1">
        <f>B241-G241</f>
        <v>0.017999999996391125</v>
      </c>
      <c r="I241" s="1"/>
    </row>
    <row r="242" spans="2:9" s="7" customFormat="1" ht="12.75">
      <c r="B242" s="8">
        <v>0</v>
      </c>
      <c r="C242" s="8"/>
      <c r="D242" s="8"/>
      <c r="E242" s="8"/>
      <c r="F242" s="9">
        <v>-0.6</v>
      </c>
      <c r="G242" s="8">
        <f>E242*F242</f>
        <v>0</v>
      </c>
      <c r="H242" s="8">
        <f>B242-G242</f>
        <v>0</v>
      </c>
      <c r="I242" s="8"/>
    </row>
    <row r="243" spans="2:9" s="16" customFormat="1" ht="13.5" thickBot="1">
      <c r="B243" s="16">
        <f>SUM(B241:B242)</f>
        <v>-41962.89</v>
      </c>
      <c r="C243" s="16">
        <f>SUM(C241:C242)</f>
        <v>0</v>
      </c>
      <c r="D243" s="16">
        <f>SUM(D241:D242)</f>
        <v>0</v>
      </c>
      <c r="E243" s="16">
        <f>SUM(E241:E242)</f>
        <v>69938.18</v>
      </c>
      <c r="G243" s="16">
        <f>SUM(G241:G242)</f>
        <v>-41962.907999999996</v>
      </c>
      <c r="H243" s="16">
        <f>SUM(H241:H242)</f>
        <v>0.017999999996391125</v>
      </c>
      <c r="I243" s="16">
        <f>I239+B243</f>
        <v>-490572.06</v>
      </c>
    </row>
    <row r="244" spans="2:9" ht="12.75">
      <c r="B244" s="1"/>
      <c r="C244" s="1"/>
      <c r="D244" s="1"/>
      <c r="E244" s="1"/>
      <c r="G244" s="1"/>
      <c r="H244" s="1"/>
      <c r="I244" s="1"/>
    </row>
    <row r="245" spans="2:9" ht="12.75">
      <c r="B245" s="1"/>
      <c r="C245" s="1"/>
      <c r="D245" s="1"/>
      <c r="E245" s="1"/>
      <c r="G245" s="1"/>
      <c r="H245" s="1"/>
      <c r="I245" s="1">
        <v>-490572.07</v>
      </c>
    </row>
    <row r="246" spans="2:9" ht="12.75">
      <c r="B246" s="1"/>
      <c r="C246" s="1"/>
      <c r="D246" s="1"/>
      <c r="E246" s="1"/>
      <c r="G246" s="1"/>
      <c r="H246" s="1"/>
      <c r="I246" s="1">
        <f>I243-I245</f>
        <v>0.010000000009313226</v>
      </c>
    </row>
    <row r="247" spans="2:9" ht="12.75">
      <c r="B247" s="1"/>
      <c r="C247" s="1"/>
      <c r="D247" s="1"/>
      <c r="E247" s="1"/>
      <c r="G247" s="1"/>
      <c r="H247" s="1"/>
      <c r="I247" s="1"/>
    </row>
    <row r="248" spans="2:9" ht="12.75">
      <c r="B248" s="1"/>
      <c r="C248" s="1"/>
      <c r="D248" s="1"/>
      <c r="E248" s="1"/>
      <c r="G248" s="1"/>
      <c r="H248" s="1"/>
      <c r="I248" s="1"/>
    </row>
    <row r="249" spans="2:9" ht="12.75">
      <c r="B249" s="1"/>
      <c r="C249" s="1"/>
      <c r="D249" s="1"/>
      <c r="E249" s="1"/>
      <c r="G249" s="1"/>
      <c r="H249" s="1"/>
      <c r="I249" s="1"/>
    </row>
    <row r="250" spans="2:9" ht="12.75">
      <c r="B250" s="1"/>
      <c r="C250" s="1"/>
      <c r="D250" s="1"/>
      <c r="E250" s="1"/>
      <c r="G250" s="1"/>
      <c r="H250" s="1"/>
      <c r="I250" s="1"/>
    </row>
    <row r="251" spans="2:9" ht="12.75">
      <c r="B251" s="1"/>
      <c r="C251" s="1"/>
      <c r="D251" s="1"/>
      <c r="E251" s="1"/>
      <c r="G251" s="1"/>
      <c r="H251" s="1"/>
      <c r="I251" s="1"/>
    </row>
    <row r="252" spans="2:9" ht="12.75">
      <c r="B252" s="1"/>
      <c r="C252" s="1"/>
      <c r="D252" s="1"/>
      <c r="E252" s="1"/>
      <c r="G252" s="1"/>
      <c r="H252" s="1"/>
      <c r="I252" s="1"/>
    </row>
    <row r="253" spans="2:9" ht="12.75">
      <c r="B253" s="1"/>
      <c r="C253" s="1"/>
      <c r="D253" s="1"/>
      <c r="E253" s="1"/>
      <c r="G253" s="1"/>
      <c r="H253" s="1"/>
      <c r="I253" s="1"/>
    </row>
    <row r="254" spans="2:9" ht="12.75">
      <c r="B254" s="1"/>
      <c r="C254" s="1"/>
      <c r="D254" s="1"/>
      <c r="E254" s="1"/>
      <c r="G254" s="1"/>
      <c r="H254" s="1"/>
      <c r="I254" s="1"/>
    </row>
    <row r="255" spans="2:9" ht="12.75">
      <c r="B255" s="1"/>
      <c r="C255" s="1"/>
      <c r="D255" s="1"/>
      <c r="E255" s="1"/>
      <c r="G255" s="1"/>
      <c r="H255" s="1"/>
      <c r="I255" s="1"/>
    </row>
    <row r="256" spans="2:9" ht="12.75">
      <c r="B256" s="1"/>
      <c r="C256" s="1"/>
      <c r="D256" s="1"/>
      <c r="E256" s="1"/>
      <c r="G256" s="1"/>
      <c r="H256" s="1"/>
      <c r="I256" s="1"/>
    </row>
    <row r="257" spans="2:9" ht="12.75">
      <c r="B257" s="1"/>
      <c r="C257" s="1"/>
      <c r="D257" s="1"/>
      <c r="E257" s="1"/>
      <c r="G257" s="1"/>
      <c r="H257" s="1"/>
      <c r="I257" s="1"/>
    </row>
    <row r="258" spans="2:9" ht="12.75">
      <c r="B258" s="1"/>
      <c r="C258" s="1"/>
      <c r="D258" s="1"/>
      <c r="E258" s="1"/>
      <c r="G258" s="1"/>
      <c r="H258" s="1"/>
      <c r="I258" s="1"/>
    </row>
    <row r="259" spans="2:9" ht="12.75">
      <c r="B259" s="1"/>
      <c r="C259" s="1"/>
      <c r="D259" s="1"/>
      <c r="E259" s="1"/>
      <c r="G259" s="1"/>
      <c r="H259" s="1"/>
      <c r="I259" s="1"/>
    </row>
    <row r="260" spans="2:9" ht="12.75">
      <c r="B260" s="1"/>
      <c r="C260" s="1"/>
      <c r="D260" s="1"/>
      <c r="E260" s="1"/>
      <c r="G260" s="1"/>
      <c r="H260" s="1"/>
      <c r="I260" s="1"/>
    </row>
    <row r="261" spans="2:9" ht="12.75">
      <c r="B261" s="1"/>
      <c r="C261" s="1"/>
      <c r="D261" s="1"/>
      <c r="E261" s="1"/>
      <c r="G261" s="1"/>
      <c r="H261" s="1"/>
      <c r="I261" s="1"/>
    </row>
    <row r="262" spans="2:9" ht="12.75">
      <c r="B262" s="1"/>
      <c r="C262" s="1"/>
      <c r="D262" s="1"/>
      <c r="E262" s="1"/>
      <c r="G262" s="1"/>
      <c r="H262" s="1"/>
      <c r="I262" s="1"/>
    </row>
    <row r="263" spans="2:9" ht="12.75">
      <c r="B263" s="1"/>
      <c r="C263" s="1"/>
      <c r="D263" s="1"/>
      <c r="E263" s="1"/>
      <c r="G263" s="1"/>
      <c r="H263" s="1"/>
      <c r="I263" s="1"/>
    </row>
    <row r="264" spans="2:9" ht="12.75">
      <c r="B264" s="1"/>
      <c r="C264" s="1"/>
      <c r="D264" s="1"/>
      <c r="E264" s="1"/>
      <c r="G264" s="1"/>
      <c r="H264" s="1"/>
      <c r="I264" s="1"/>
    </row>
    <row r="265" spans="2:9" ht="12.75">
      <c r="B265" s="1"/>
      <c r="C265" s="1"/>
      <c r="D265" s="1"/>
      <c r="E265" s="1"/>
      <c r="G265" s="1"/>
      <c r="H265" s="1"/>
      <c r="I265" s="1"/>
    </row>
    <row r="266" spans="2:9" ht="12.75">
      <c r="B266" s="1"/>
      <c r="C266" s="1"/>
      <c r="D266" s="1"/>
      <c r="E266" s="1"/>
      <c r="G266" s="1"/>
      <c r="H266" s="1"/>
      <c r="I266" s="1"/>
    </row>
    <row r="267" spans="2:9" ht="12.75">
      <c r="B267" s="1"/>
      <c r="C267" s="1"/>
      <c r="D267" s="1"/>
      <c r="E267" s="1"/>
      <c r="G267" s="1"/>
      <c r="H267" s="1"/>
      <c r="I267" s="1"/>
    </row>
    <row r="268" spans="2:9" ht="12.75">
      <c r="B268" s="1"/>
      <c r="C268" s="1"/>
      <c r="D268" s="1"/>
      <c r="E268" s="1"/>
      <c r="G268" s="1"/>
      <c r="H268" s="1"/>
      <c r="I268" s="1"/>
    </row>
    <row r="269" spans="2:9" ht="12.75">
      <c r="B269" s="1"/>
      <c r="C269" s="1"/>
      <c r="D269" s="1"/>
      <c r="E269" s="1"/>
      <c r="G269" s="1"/>
      <c r="H269" s="1"/>
      <c r="I269" s="1"/>
    </row>
    <row r="270" spans="2:9" ht="12.75">
      <c r="B270" s="1"/>
      <c r="C270" s="1"/>
      <c r="D270" s="1"/>
      <c r="E270" s="1"/>
      <c r="G270" s="1"/>
      <c r="H270" s="1"/>
      <c r="I270" s="1"/>
    </row>
    <row r="271" spans="2:9" ht="12.75">
      <c r="B271" s="1"/>
      <c r="C271" s="1"/>
      <c r="D271" s="1"/>
      <c r="E271" s="1"/>
      <c r="G271" s="1"/>
      <c r="H271" s="1"/>
      <c r="I271" s="1"/>
    </row>
    <row r="272" spans="2:9" ht="12.75">
      <c r="B272" s="1"/>
      <c r="C272" s="1"/>
      <c r="D272" s="1"/>
      <c r="E272" s="1"/>
      <c r="G272" s="1"/>
      <c r="H272" s="1"/>
      <c r="I272" s="1"/>
    </row>
    <row r="273" spans="2:9" ht="12.75">
      <c r="B273" s="1"/>
      <c r="C273" s="1"/>
      <c r="D273" s="1"/>
      <c r="E273" s="1"/>
      <c r="G273" s="1"/>
      <c r="H273" s="1"/>
      <c r="I273" s="1"/>
    </row>
    <row r="274" spans="2:9" ht="12.75">
      <c r="B274" s="1"/>
      <c r="C274" s="1"/>
      <c r="D274" s="1"/>
      <c r="E274" s="1"/>
      <c r="G274" s="1"/>
      <c r="H274" s="1"/>
      <c r="I274" s="1"/>
    </row>
    <row r="275" spans="2:9" ht="12.75">
      <c r="B275" s="1"/>
      <c r="C275" s="1"/>
      <c r="D275" s="1"/>
      <c r="E275" s="1"/>
      <c r="G275" s="1"/>
      <c r="H275" s="1"/>
      <c r="I275" s="1"/>
    </row>
    <row r="276" spans="2:9" ht="12.75">
      <c r="B276" s="1"/>
      <c r="C276" s="1"/>
      <c r="D276" s="1"/>
      <c r="E276" s="1"/>
      <c r="G276" s="1"/>
      <c r="H276" s="1"/>
      <c r="I276" s="1"/>
    </row>
    <row r="277" spans="2:9" ht="12.75">
      <c r="B277" s="1"/>
      <c r="C277" s="1"/>
      <c r="D277" s="1"/>
      <c r="E277" s="1"/>
      <c r="G277" s="1"/>
      <c r="H277" s="1"/>
      <c r="I277" s="1"/>
    </row>
    <row r="278" spans="2:9" ht="12.75">
      <c r="B278" s="1"/>
      <c r="C278" s="1"/>
      <c r="D278" s="1"/>
      <c r="E278" s="1"/>
      <c r="G278" s="1"/>
      <c r="H278" s="1"/>
      <c r="I278" s="1"/>
    </row>
    <row r="279" spans="2:9" ht="12.75">
      <c r="B279" s="1"/>
      <c r="C279" s="1"/>
      <c r="D279" s="1"/>
      <c r="E279" s="1"/>
      <c r="G279" s="1"/>
      <c r="H279" s="1"/>
      <c r="I279" s="1"/>
    </row>
    <row r="280" spans="2:9" ht="12.75">
      <c r="B280" s="1"/>
      <c r="C280" s="1"/>
      <c r="D280" s="1"/>
      <c r="E280" s="1"/>
      <c r="G280" s="1"/>
      <c r="H280" s="1"/>
      <c r="I280" s="1"/>
    </row>
    <row r="281" spans="2:9" ht="12.75">
      <c r="B281" s="1"/>
      <c r="C281" s="1"/>
      <c r="D281" s="1"/>
      <c r="E281" s="1"/>
      <c r="G281" s="1"/>
      <c r="H281" s="1"/>
      <c r="I281" s="1"/>
    </row>
    <row r="282" spans="2:9" ht="12.75">
      <c r="B282" s="1"/>
      <c r="C282" s="1"/>
      <c r="D282" s="1"/>
      <c r="E282" s="1"/>
      <c r="G282" s="1"/>
      <c r="H282" s="1"/>
      <c r="I282" s="1"/>
    </row>
    <row r="283" spans="2:9" ht="12.75">
      <c r="B283" s="1"/>
      <c r="C283" s="1"/>
      <c r="D283" s="1"/>
      <c r="E283" s="1"/>
      <c r="G283" s="1"/>
      <c r="H283" s="1"/>
      <c r="I283" s="1"/>
    </row>
    <row r="284" spans="2:9" ht="12.75">
      <c r="B284" s="1"/>
      <c r="C284" s="1"/>
      <c r="D284" s="1"/>
      <c r="E284" s="1"/>
      <c r="G284" s="1"/>
      <c r="H284" s="1"/>
      <c r="I284" s="1"/>
    </row>
    <row r="285" spans="2:9" ht="12.75">
      <c r="B285" s="1"/>
      <c r="C285" s="1"/>
      <c r="D285" s="1"/>
      <c r="E285" s="1"/>
      <c r="G285" s="1"/>
      <c r="H285" s="1"/>
      <c r="I285" s="1"/>
    </row>
    <row r="286" spans="2:9" ht="12.75">
      <c r="B286" s="1"/>
      <c r="C286" s="1"/>
      <c r="D286" s="1"/>
      <c r="E286" s="1"/>
      <c r="G286" s="1"/>
      <c r="H286" s="1"/>
      <c r="I286" s="1"/>
    </row>
    <row r="287" spans="2:9" ht="12.75">
      <c r="B287" s="1"/>
      <c r="C287" s="1"/>
      <c r="D287" s="1"/>
      <c r="E287" s="1"/>
      <c r="G287" s="1"/>
      <c r="H287" s="1"/>
      <c r="I287" s="1"/>
    </row>
    <row r="288" spans="2:9" ht="12.75">
      <c r="B288" s="1"/>
      <c r="C288" s="1"/>
      <c r="D288" s="1"/>
      <c r="E288" s="1"/>
      <c r="G288" s="1"/>
      <c r="H288" s="1"/>
      <c r="I288" s="1"/>
    </row>
    <row r="289" spans="2:9" ht="12.75">
      <c r="B289" s="1"/>
      <c r="C289" s="1"/>
      <c r="D289" s="1"/>
      <c r="E289" s="1"/>
      <c r="G289" s="1"/>
      <c r="H289" s="1"/>
      <c r="I289" s="1"/>
    </row>
    <row r="290" spans="2:9" ht="12.75">
      <c r="B290" s="1"/>
      <c r="C290" s="1"/>
      <c r="D290" s="1"/>
      <c r="E290" s="1"/>
      <c r="G290" s="1"/>
      <c r="H290" s="1"/>
      <c r="I290" s="1"/>
    </row>
    <row r="291" spans="2:9" ht="12.75">
      <c r="B291" s="1"/>
      <c r="C291" s="1"/>
      <c r="D291" s="1"/>
      <c r="E291" s="1"/>
      <c r="G291" s="1"/>
      <c r="H291" s="1"/>
      <c r="I291" s="1"/>
    </row>
    <row r="292" spans="2:9" ht="12.75">
      <c r="B292" s="1"/>
      <c r="C292" s="1"/>
      <c r="D292" s="1"/>
      <c r="E292" s="1"/>
      <c r="G292" s="1"/>
      <c r="H292" s="1"/>
      <c r="I292" s="1"/>
    </row>
    <row r="293" spans="2:9" ht="12.75">
      <c r="B293" s="1"/>
      <c r="C293" s="1"/>
      <c r="D293" s="1"/>
      <c r="E293" s="1"/>
      <c r="G293" s="1"/>
      <c r="H293" s="1"/>
      <c r="I293" s="1"/>
    </row>
    <row r="294" spans="2:9" ht="12.75">
      <c r="B294" s="1"/>
      <c r="C294" s="1"/>
      <c r="D294" s="1"/>
      <c r="E294" s="1"/>
      <c r="G294" s="1"/>
      <c r="H294" s="1"/>
      <c r="I294" s="1"/>
    </row>
    <row r="295" spans="2:9" ht="12.75">
      <c r="B295" s="1"/>
      <c r="C295" s="1"/>
      <c r="D295" s="1"/>
      <c r="E295" s="1"/>
      <c r="G295" s="1"/>
      <c r="H295" s="1"/>
      <c r="I295" s="1"/>
    </row>
    <row r="296" spans="2:9" ht="12.75">
      <c r="B296" s="1"/>
      <c r="C296" s="1"/>
      <c r="D296" s="1"/>
      <c r="E296" s="1"/>
      <c r="G296" s="1"/>
      <c r="H296" s="1"/>
      <c r="I296" s="1"/>
    </row>
    <row r="297" spans="2:9" ht="12.75">
      <c r="B297" s="1"/>
      <c r="C297" s="1"/>
      <c r="D297" s="1"/>
      <c r="E297" s="1"/>
      <c r="G297" s="1"/>
      <c r="H297" s="1"/>
      <c r="I297" s="1"/>
    </row>
    <row r="298" spans="2:9" ht="12.75">
      <c r="B298" s="1"/>
      <c r="C298" s="1"/>
      <c r="D298" s="1"/>
      <c r="E298" s="1"/>
      <c r="G298" s="1"/>
      <c r="H298" s="1"/>
      <c r="I298" s="1"/>
    </row>
    <row r="299" spans="2:9" ht="12.75">
      <c r="B299" s="1"/>
      <c r="C299" s="1"/>
      <c r="D299" s="1"/>
      <c r="E299" s="1"/>
      <c r="G299" s="1"/>
      <c r="H299" s="1"/>
      <c r="I299" s="1"/>
    </row>
    <row r="300" spans="2:9" ht="12.75">
      <c r="B300" s="1"/>
      <c r="C300" s="1"/>
      <c r="D300" s="1"/>
      <c r="E300" s="1"/>
      <c r="G300" s="1"/>
      <c r="H300" s="1"/>
      <c r="I300" s="1"/>
    </row>
    <row r="301" spans="2:9" ht="12.75">
      <c r="B301" s="1"/>
      <c r="C301" s="1"/>
      <c r="D301" s="1"/>
      <c r="E301" s="1"/>
      <c r="G301" s="1"/>
      <c r="H301" s="1"/>
      <c r="I301" s="1"/>
    </row>
    <row r="302" spans="2:9" ht="12.75">
      <c r="B302" s="1"/>
      <c r="C302" s="1"/>
      <c r="D302" s="1"/>
      <c r="E302" s="1"/>
      <c r="G302" s="1"/>
      <c r="H302" s="1"/>
      <c r="I302" s="1"/>
    </row>
    <row r="303" spans="2:9" ht="12.75">
      <c r="B303" s="1"/>
      <c r="C303" s="1"/>
      <c r="D303" s="1"/>
      <c r="E303" s="1"/>
      <c r="G303" s="1"/>
      <c r="H303" s="1"/>
      <c r="I303" s="1"/>
    </row>
    <row r="304" spans="2:9" ht="12.75">
      <c r="B304" s="1"/>
      <c r="C304" s="1"/>
      <c r="D304" s="1"/>
      <c r="E304" s="1"/>
      <c r="G304" s="1"/>
      <c r="H304" s="1"/>
      <c r="I304" s="1"/>
    </row>
    <row r="305" spans="2:9" ht="12.75">
      <c r="B305" s="1"/>
      <c r="C305" s="1"/>
      <c r="D305" s="1"/>
      <c r="E305" s="1"/>
      <c r="G305" s="1"/>
      <c r="H305" s="1"/>
      <c r="I305" s="1"/>
    </row>
    <row r="306" spans="2:9" ht="12.75">
      <c r="B306" s="1"/>
      <c r="C306" s="1"/>
      <c r="D306" s="1"/>
      <c r="E306" s="1"/>
      <c r="G306" s="1"/>
      <c r="H306" s="1"/>
      <c r="I306" s="1"/>
    </row>
    <row r="307" spans="2:9" ht="12.75">
      <c r="B307" s="1"/>
      <c r="C307" s="1"/>
      <c r="D307" s="1"/>
      <c r="E307" s="1"/>
      <c r="G307" s="1"/>
      <c r="H307" s="1"/>
      <c r="I307" s="1"/>
    </row>
    <row r="308" spans="2:9" ht="12.75">
      <c r="B308" s="1"/>
      <c r="C308" s="1"/>
      <c r="D308" s="1"/>
      <c r="E308" s="1"/>
      <c r="G308" s="1"/>
      <c r="H308" s="1"/>
      <c r="I308" s="1"/>
    </row>
    <row r="309" spans="2:9" ht="12.75">
      <c r="B309" s="1"/>
      <c r="C309" s="1"/>
      <c r="D309" s="1"/>
      <c r="E309" s="1"/>
      <c r="G309" s="1"/>
      <c r="H309" s="1"/>
      <c r="I309" s="1"/>
    </row>
    <row r="310" spans="2:9" ht="12.75">
      <c r="B310" s="1"/>
      <c r="C310" s="1"/>
      <c r="D310" s="1"/>
      <c r="E310" s="1"/>
      <c r="G310" s="1"/>
      <c r="H310" s="1"/>
      <c r="I310" s="1"/>
    </row>
    <row r="311" spans="2:9" ht="12.75">
      <c r="B311" s="1"/>
      <c r="C311" s="1"/>
      <c r="D311" s="1"/>
      <c r="E311" s="1"/>
      <c r="G311" s="1"/>
      <c r="H311" s="1"/>
      <c r="I311" s="1"/>
    </row>
    <row r="312" spans="2:9" ht="12.75">
      <c r="B312" s="1"/>
      <c r="C312" s="1"/>
      <c r="D312" s="1"/>
      <c r="E312" s="1"/>
      <c r="G312" s="1"/>
      <c r="H312" s="1"/>
      <c r="I312" s="1"/>
    </row>
    <row r="313" spans="2:9" ht="12.75">
      <c r="B313" s="1"/>
      <c r="C313" s="1"/>
      <c r="D313" s="1"/>
      <c r="E313" s="1"/>
      <c r="G313" s="1"/>
      <c r="H313" s="1"/>
      <c r="I313" s="1"/>
    </row>
    <row r="314" spans="2:9" ht="12.75">
      <c r="B314" s="1"/>
      <c r="C314" s="1"/>
      <c r="D314" s="1"/>
      <c r="E314" s="1"/>
      <c r="G314" s="1"/>
      <c r="H314" s="1"/>
      <c r="I314" s="1"/>
    </row>
    <row r="315" spans="2:9" ht="12.75">
      <c r="B315" s="1"/>
      <c r="C315" s="1"/>
      <c r="D315" s="1"/>
      <c r="E315" s="1"/>
      <c r="G315" s="1"/>
      <c r="H315" s="1"/>
      <c r="I315" s="1"/>
    </row>
    <row r="316" spans="2:9" ht="12.75">
      <c r="B316" s="1"/>
      <c r="C316" s="1"/>
      <c r="D316" s="1"/>
      <c r="E316" s="1"/>
      <c r="G316" s="1"/>
      <c r="H316" s="1"/>
      <c r="I316" s="1"/>
    </row>
    <row r="317" spans="2:9" ht="12.75">
      <c r="B317" s="1"/>
      <c r="C317" s="1"/>
      <c r="D317" s="1"/>
      <c r="E317" s="1"/>
      <c r="G317" s="1"/>
      <c r="H317" s="1"/>
      <c r="I317" s="1"/>
    </row>
    <row r="318" spans="2:9" ht="12.75">
      <c r="B318" s="1"/>
      <c r="C318" s="1"/>
      <c r="D318" s="1"/>
      <c r="E318" s="1"/>
      <c r="G318" s="1"/>
      <c r="H318" s="1"/>
      <c r="I318" s="1"/>
    </row>
    <row r="319" spans="2:9" ht="12.75">
      <c r="B319" s="1"/>
      <c r="C319" s="1"/>
      <c r="D319" s="1"/>
      <c r="E319" s="1"/>
      <c r="G319" s="1"/>
      <c r="H319" s="1"/>
      <c r="I319" s="1"/>
    </row>
    <row r="320" spans="2:9" ht="12.75">
      <c r="B320" s="1"/>
      <c r="C320" s="1"/>
      <c r="D320" s="1"/>
      <c r="E320" s="1"/>
      <c r="G320" s="1"/>
      <c r="H320" s="1"/>
      <c r="I320" s="1"/>
    </row>
    <row r="321" spans="2:9" ht="12.75">
      <c r="B321" s="1"/>
      <c r="C321" s="1"/>
      <c r="D321" s="1"/>
      <c r="E321" s="1"/>
      <c r="G321" s="1"/>
      <c r="H321" s="1"/>
      <c r="I321" s="1"/>
    </row>
    <row r="322" spans="2:9" ht="12.75">
      <c r="B322" s="1"/>
      <c r="C322" s="1"/>
      <c r="D322" s="1"/>
      <c r="E322" s="1"/>
      <c r="G322" s="1"/>
      <c r="H322" s="1"/>
      <c r="I322" s="1"/>
    </row>
    <row r="323" spans="2:9" ht="12.75">
      <c r="B323" s="1"/>
      <c r="C323" s="1"/>
      <c r="D323" s="1"/>
      <c r="E323" s="1"/>
      <c r="G323" s="1"/>
      <c r="H323" s="1"/>
      <c r="I323" s="1"/>
    </row>
    <row r="324" spans="2:9" ht="12.75">
      <c r="B324" s="1"/>
      <c r="C324" s="1"/>
      <c r="D324" s="1"/>
      <c r="E324" s="1"/>
      <c r="G324" s="1"/>
      <c r="H324" s="1"/>
      <c r="I324" s="1"/>
    </row>
    <row r="325" spans="2:9" ht="12.75">
      <c r="B325" s="1"/>
      <c r="C325" s="1"/>
      <c r="D325" s="1"/>
      <c r="E325" s="1"/>
      <c r="G325" s="1"/>
      <c r="H325" s="1"/>
      <c r="I325" s="1"/>
    </row>
    <row r="326" spans="2:9" ht="12.75">
      <c r="B326" s="1"/>
      <c r="C326" s="1"/>
      <c r="D326" s="1"/>
      <c r="E326" s="1"/>
      <c r="G326" s="1"/>
      <c r="H326" s="1"/>
      <c r="I326" s="1"/>
    </row>
    <row r="327" spans="2:9" ht="12.75">
      <c r="B327" s="1"/>
      <c r="C327" s="1"/>
      <c r="D327" s="1"/>
      <c r="E327" s="1"/>
      <c r="G327" s="1"/>
      <c r="H327" s="1"/>
      <c r="I327" s="1"/>
    </row>
    <row r="328" spans="2:9" ht="12.75">
      <c r="B328" s="1"/>
      <c r="C328" s="1"/>
      <c r="D328" s="1"/>
      <c r="E328" s="1"/>
      <c r="G328" s="1"/>
      <c r="H328" s="1"/>
      <c r="I328" s="1"/>
    </row>
    <row r="329" spans="2:9" ht="12.75">
      <c r="B329" s="1"/>
      <c r="C329" s="1"/>
      <c r="D329" s="1"/>
      <c r="E329" s="1"/>
      <c r="G329" s="1"/>
      <c r="H329" s="1"/>
      <c r="I329" s="1"/>
    </row>
    <row r="330" spans="2:9" ht="12.75">
      <c r="B330" s="1"/>
      <c r="C330" s="1"/>
      <c r="D330" s="1"/>
      <c r="E330" s="1"/>
      <c r="G330" s="1"/>
      <c r="H330" s="1"/>
      <c r="I330" s="1"/>
    </row>
    <row r="331" spans="2:9" ht="12.75">
      <c r="B331" s="1"/>
      <c r="C331" s="1"/>
      <c r="D331" s="1"/>
      <c r="E331" s="1"/>
      <c r="G331" s="1"/>
      <c r="H331" s="1"/>
      <c r="I331" s="1"/>
    </row>
    <row r="332" spans="2:9" ht="12.75">
      <c r="B332" s="1"/>
      <c r="C332" s="1"/>
      <c r="D332" s="1"/>
      <c r="E332" s="1"/>
      <c r="G332" s="1"/>
      <c r="H332" s="1"/>
      <c r="I332" s="1"/>
    </row>
    <row r="333" spans="2:9" ht="12.75">
      <c r="B333" s="1"/>
      <c r="C333" s="1"/>
      <c r="D333" s="1"/>
      <c r="E333" s="1"/>
      <c r="G333" s="1"/>
      <c r="H333" s="1"/>
      <c r="I333" s="1"/>
    </row>
    <row r="334" spans="2:9" ht="12.75">
      <c r="B334" s="1"/>
      <c r="C334" s="1"/>
      <c r="D334" s="1"/>
      <c r="E334" s="1"/>
      <c r="G334" s="1"/>
      <c r="H334" s="1"/>
      <c r="I334" s="1"/>
    </row>
    <row r="335" spans="2:9" ht="12.75">
      <c r="B335" s="1"/>
      <c r="C335" s="1"/>
      <c r="D335" s="1"/>
      <c r="E335" s="1"/>
      <c r="G335" s="1"/>
      <c r="H335" s="1"/>
      <c r="I335" s="1"/>
    </row>
    <row r="336" spans="2:9" ht="12.75">
      <c r="B336" s="1"/>
      <c r="C336" s="1"/>
      <c r="D336" s="1"/>
      <c r="E336" s="1"/>
      <c r="G336" s="1"/>
      <c r="H336" s="1"/>
      <c r="I336" s="1"/>
    </row>
    <row r="337" spans="2:9" ht="12.75">
      <c r="B337" s="1"/>
      <c r="C337" s="1"/>
      <c r="D337" s="1"/>
      <c r="E337" s="1"/>
      <c r="G337" s="1"/>
      <c r="H337" s="1"/>
      <c r="I337" s="1"/>
    </row>
    <row r="338" spans="2:9" ht="12.75">
      <c r="B338" s="1"/>
      <c r="C338" s="1"/>
      <c r="D338" s="1"/>
      <c r="E338" s="1"/>
      <c r="G338" s="1"/>
      <c r="H338" s="1"/>
      <c r="I338" s="1"/>
    </row>
    <row r="339" spans="2:9" ht="12.75">
      <c r="B339" s="1"/>
      <c r="C339" s="1"/>
      <c r="D339" s="1"/>
      <c r="E339" s="1"/>
      <c r="G339" s="1"/>
      <c r="H339" s="1"/>
      <c r="I339" s="1"/>
    </row>
    <row r="340" spans="2:9" ht="12.75">
      <c r="B340" s="1"/>
      <c r="C340" s="1"/>
      <c r="D340" s="1"/>
      <c r="E340" s="1"/>
      <c r="G340" s="1"/>
      <c r="H340" s="1"/>
      <c r="I340" s="1"/>
    </row>
    <row r="341" spans="2:9" ht="12.75">
      <c r="B341" s="1"/>
      <c r="C341" s="1"/>
      <c r="D341" s="1"/>
      <c r="E341" s="1"/>
      <c r="G341" s="1"/>
      <c r="H341" s="1"/>
      <c r="I341" s="1"/>
    </row>
    <row r="342" spans="2:9" ht="12.75">
      <c r="B342" s="1"/>
      <c r="C342" s="1"/>
      <c r="D342" s="1"/>
      <c r="E342" s="1"/>
      <c r="G342" s="1"/>
      <c r="H342" s="1"/>
      <c r="I342" s="1"/>
    </row>
    <row r="343" spans="2:9" ht="12.75">
      <c r="B343" s="1"/>
      <c r="C343" s="1"/>
      <c r="D343" s="1"/>
      <c r="E343" s="1"/>
      <c r="G343" s="1"/>
      <c r="H343" s="1"/>
      <c r="I343" s="1"/>
    </row>
    <row r="344" spans="2:9" ht="12.75">
      <c r="B344" s="1"/>
      <c r="C344" s="1"/>
      <c r="D344" s="1"/>
      <c r="E344" s="1"/>
      <c r="G344" s="1"/>
      <c r="H344" s="1"/>
      <c r="I344" s="1"/>
    </row>
    <row r="345" spans="2:9" ht="12.75">
      <c r="B345" s="1"/>
      <c r="C345" s="1"/>
      <c r="D345" s="1"/>
      <c r="E345" s="1"/>
      <c r="G345" s="1"/>
      <c r="H345" s="1"/>
      <c r="I345" s="1"/>
    </row>
    <row r="346" spans="2:9" ht="12.75">
      <c r="B346" s="1"/>
      <c r="C346" s="1"/>
      <c r="D346" s="1"/>
      <c r="E346" s="1"/>
      <c r="G346" s="1"/>
      <c r="H346" s="1"/>
      <c r="I346" s="1"/>
    </row>
    <row r="347" spans="2:9" ht="12.75">
      <c r="B347" s="1"/>
      <c r="C347" s="1"/>
      <c r="D347" s="1"/>
      <c r="E347" s="1"/>
      <c r="G347" s="1"/>
      <c r="H347" s="1"/>
      <c r="I347" s="1"/>
    </row>
    <row r="348" spans="2:9" ht="12.75">
      <c r="B348" s="1"/>
      <c r="C348" s="1"/>
      <c r="D348" s="1"/>
      <c r="E348" s="1"/>
      <c r="G348" s="1"/>
      <c r="H348" s="1"/>
      <c r="I348" s="1"/>
    </row>
    <row r="349" spans="2:9" ht="12.75">
      <c r="B349" s="1"/>
      <c r="C349" s="1"/>
      <c r="D349" s="1"/>
      <c r="E349" s="1"/>
      <c r="G349" s="1"/>
      <c r="H349" s="1"/>
      <c r="I349" s="1"/>
    </row>
    <row r="350" spans="2:9" ht="12.75">
      <c r="B350" s="1"/>
      <c r="C350" s="1"/>
      <c r="D350" s="1"/>
      <c r="E350" s="1"/>
      <c r="G350" s="1"/>
      <c r="H350" s="1"/>
      <c r="I350" s="1"/>
    </row>
    <row r="351" spans="2:9" ht="12.75">
      <c r="B351" s="1"/>
      <c r="C351" s="1"/>
      <c r="D351" s="1"/>
      <c r="E351" s="1"/>
      <c r="G351" s="1"/>
      <c r="H351" s="1"/>
      <c r="I351" s="1"/>
    </row>
    <row r="352" spans="2:9" ht="12.75">
      <c r="B352" s="1"/>
      <c r="C352" s="1"/>
      <c r="D352" s="1"/>
      <c r="E352" s="1"/>
      <c r="G352" s="1"/>
      <c r="H352" s="1"/>
      <c r="I352" s="1"/>
    </row>
    <row r="353" spans="2:9" ht="12.75">
      <c r="B353" s="1"/>
      <c r="C353" s="1"/>
      <c r="D353" s="1"/>
      <c r="E353" s="1"/>
      <c r="G353" s="1"/>
      <c r="H353" s="1"/>
      <c r="I353" s="1"/>
    </row>
    <row r="354" spans="2:9" ht="12.75">
      <c r="B354" s="1"/>
      <c r="C354" s="1"/>
      <c r="D354" s="1"/>
      <c r="E354" s="1"/>
      <c r="G354" s="1"/>
      <c r="H354" s="1"/>
      <c r="I354" s="1"/>
    </row>
    <row r="355" spans="2:9" ht="12.75">
      <c r="B355" s="1"/>
      <c r="C355" s="1"/>
      <c r="D355" s="1"/>
      <c r="E355" s="1"/>
      <c r="G355" s="1"/>
      <c r="H355" s="1"/>
      <c r="I355" s="1"/>
    </row>
    <row r="356" spans="2:9" ht="12.75">
      <c r="B356" s="1"/>
      <c r="C356" s="1"/>
      <c r="D356" s="1"/>
      <c r="E356" s="1"/>
      <c r="G356" s="1"/>
      <c r="H356" s="1"/>
      <c r="I356" s="1"/>
    </row>
    <row r="357" spans="2:9" ht="12.75">
      <c r="B357" s="1"/>
      <c r="C357" s="1"/>
      <c r="D357" s="1"/>
      <c r="E357" s="1"/>
      <c r="G357" s="1"/>
      <c r="H357" s="1"/>
      <c r="I357" s="1"/>
    </row>
    <row r="358" spans="2:9" ht="12.75">
      <c r="B358" s="1"/>
      <c r="C358" s="1"/>
      <c r="D358" s="1"/>
      <c r="E358" s="1"/>
      <c r="G358" s="1"/>
      <c r="H358" s="1"/>
      <c r="I358" s="1"/>
    </row>
    <row r="359" spans="2:9" ht="12.75">
      <c r="B359" s="1"/>
      <c r="C359" s="1"/>
      <c r="D359" s="1"/>
      <c r="E359" s="1"/>
      <c r="G359" s="1"/>
      <c r="H359" s="1"/>
      <c r="I359" s="1"/>
    </row>
    <row r="360" spans="2:9" ht="12.75">
      <c r="B360" s="1"/>
      <c r="C360" s="1"/>
      <c r="D360" s="1"/>
      <c r="E360" s="1"/>
      <c r="G360" s="1"/>
      <c r="H360" s="1"/>
      <c r="I360" s="1"/>
    </row>
    <row r="361" spans="2:9" ht="12.75">
      <c r="B361" s="1"/>
      <c r="C361" s="1"/>
      <c r="D361" s="1"/>
      <c r="E361" s="1"/>
      <c r="G361" s="1"/>
      <c r="H361" s="1"/>
      <c r="I361" s="1"/>
    </row>
    <row r="362" spans="2:9" ht="12.75">
      <c r="B362" s="1"/>
      <c r="C362" s="1"/>
      <c r="D362" s="1"/>
      <c r="E362" s="1"/>
      <c r="G362" s="1"/>
      <c r="H362" s="1"/>
      <c r="I362" s="1"/>
    </row>
    <row r="363" spans="2:9" ht="12.75">
      <c r="B363" s="1"/>
      <c r="C363" s="1"/>
      <c r="D363" s="1"/>
      <c r="E363" s="1"/>
      <c r="G363" s="1"/>
      <c r="H363" s="1"/>
      <c r="I363" s="1"/>
    </row>
    <row r="364" spans="2:9" ht="12.75">
      <c r="B364" s="1"/>
      <c r="C364" s="1"/>
      <c r="D364" s="1"/>
      <c r="E364" s="1"/>
      <c r="G364" s="1"/>
      <c r="H364" s="1"/>
      <c r="I364" s="1"/>
    </row>
    <row r="365" spans="2:9" ht="12.75">
      <c r="B365" s="1"/>
      <c r="C365" s="1"/>
      <c r="D365" s="1"/>
      <c r="E365" s="1"/>
      <c r="G365" s="1"/>
      <c r="H365" s="1"/>
      <c r="I365" s="1"/>
    </row>
    <row r="366" spans="2:9" ht="12.75">
      <c r="B366" s="1"/>
      <c r="C366" s="1"/>
      <c r="D366" s="1"/>
      <c r="E366" s="1"/>
      <c r="G366" s="1"/>
      <c r="H366" s="1"/>
      <c r="I366" s="1"/>
    </row>
    <row r="367" spans="2:9" ht="12.75">
      <c r="B367" s="1"/>
      <c r="C367" s="1"/>
      <c r="D367" s="1"/>
      <c r="E367" s="1"/>
      <c r="G367" s="1"/>
      <c r="H367" s="1"/>
      <c r="I367" s="1"/>
    </row>
    <row r="368" spans="2:9" ht="12.75">
      <c r="B368" s="1"/>
      <c r="C368" s="1"/>
      <c r="D368" s="1"/>
      <c r="E368" s="1"/>
      <c r="G368" s="1"/>
      <c r="H368" s="1"/>
      <c r="I368" s="1"/>
    </row>
    <row r="369" spans="2:9" ht="12.75">
      <c r="B369" s="1"/>
      <c r="C369" s="1"/>
      <c r="D369" s="1"/>
      <c r="E369" s="1"/>
      <c r="G369" s="1"/>
      <c r="H369" s="1"/>
      <c r="I369" s="1"/>
    </row>
    <row r="370" spans="2:9" ht="12.75">
      <c r="B370" s="1"/>
      <c r="C370" s="1"/>
      <c r="D370" s="1"/>
      <c r="E370" s="1"/>
      <c r="G370" s="1"/>
      <c r="H370" s="1"/>
      <c r="I370" s="1"/>
    </row>
    <row r="371" spans="2:9" ht="12.75">
      <c r="B371" s="1"/>
      <c r="C371" s="1"/>
      <c r="D371" s="1"/>
      <c r="E371" s="1"/>
      <c r="G371" s="1"/>
      <c r="H371" s="1"/>
      <c r="I371" s="1"/>
    </row>
    <row r="372" spans="2:9" ht="12.75">
      <c r="B372" s="1"/>
      <c r="C372" s="1"/>
      <c r="D372" s="1"/>
      <c r="E372" s="1"/>
      <c r="G372" s="1"/>
      <c r="H372" s="1"/>
      <c r="I372" s="1"/>
    </row>
    <row r="373" spans="2:9" ht="12.75">
      <c r="B373" s="1"/>
      <c r="C373" s="1"/>
      <c r="D373" s="1"/>
      <c r="E373" s="1"/>
      <c r="G373" s="1"/>
      <c r="H373" s="1"/>
      <c r="I373" s="1"/>
    </row>
    <row r="374" spans="2:9" ht="12.75">
      <c r="B374" s="1"/>
      <c r="C374" s="1"/>
      <c r="D374" s="1"/>
      <c r="E374" s="1"/>
      <c r="G374" s="1"/>
      <c r="H374" s="1"/>
      <c r="I374" s="1"/>
    </row>
    <row r="375" spans="2:9" ht="12.75">
      <c r="B375" s="1"/>
      <c r="C375" s="1"/>
      <c r="D375" s="1"/>
      <c r="E375" s="1"/>
      <c r="G375" s="1"/>
      <c r="H375" s="1"/>
      <c r="I375" s="1"/>
    </row>
    <row r="376" spans="2:9" ht="12.75">
      <c r="B376" s="1"/>
      <c r="C376" s="1"/>
      <c r="D376" s="1"/>
      <c r="E376" s="1"/>
      <c r="G376" s="1"/>
      <c r="H376" s="1"/>
      <c r="I376" s="1"/>
    </row>
    <row r="377" spans="2:9" ht="12.75">
      <c r="B377" s="1"/>
      <c r="C377" s="1"/>
      <c r="D377" s="1"/>
      <c r="E377" s="1"/>
      <c r="G377" s="1"/>
      <c r="H377" s="1"/>
      <c r="I377" s="1"/>
    </row>
    <row r="378" spans="2:9" ht="12.75">
      <c r="B378" s="1"/>
      <c r="C378" s="1"/>
      <c r="D378" s="1"/>
      <c r="E378" s="1"/>
      <c r="G378" s="1"/>
      <c r="H378" s="1"/>
      <c r="I378" s="1"/>
    </row>
    <row r="379" spans="2:9" ht="12.75">
      <c r="B379" s="1"/>
      <c r="C379" s="1"/>
      <c r="D379" s="1"/>
      <c r="E379" s="1"/>
      <c r="G379" s="1"/>
      <c r="H379" s="1"/>
      <c r="I379" s="1"/>
    </row>
    <row r="380" spans="2:9" ht="12.75">
      <c r="B380" s="1"/>
      <c r="C380" s="1"/>
      <c r="D380" s="1"/>
      <c r="E380" s="1"/>
      <c r="G380" s="1"/>
      <c r="H380" s="1"/>
      <c r="I380" s="1"/>
    </row>
    <row r="381" spans="2:9" ht="12.75">
      <c r="B381" s="1"/>
      <c r="C381" s="1"/>
      <c r="D381" s="1"/>
      <c r="E381" s="1"/>
      <c r="G381" s="1"/>
      <c r="H381" s="1"/>
      <c r="I381" s="1"/>
    </row>
    <row r="382" spans="2:9" ht="12.75">
      <c r="B382" s="1"/>
      <c r="C382" s="1"/>
      <c r="D382" s="1"/>
      <c r="E382" s="1"/>
      <c r="G382" s="1"/>
      <c r="H382" s="1"/>
      <c r="I382" s="1"/>
    </row>
    <row r="383" spans="2:9" ht="12.75">
      <c r="B383" s="1"/>
      <c r="C383" s="1"/>
      <c r="D383" s="1"/>
      <c r="E383" s="1"/>
      <c r="G383" s="1"/>
      <c r="H383" s="1"/>
      <c r="I383" s="1"/>
    </row>
    <row r="384" spans="2:9" ht="12.75">
      <c r="B384" s="1"/>
      <c r="C384" s="1"/>
      <c r="D384" s="1"/>
      <c r="E384" s="1"/>
      <c r="G384" s="1"/>
      <c r="H384" s="1"/>
      <c r="I384" s="1"/>
    </row>
  </sheetData>
  <sheetProtection/>
  <printOptions/>
  <pageMargins left="0.75" right="0.75" top="1" bottom="1" header="0.5" footer="0.5"/>
  <pageSetup horizontalDpi="300" verticalDpi="300" orientation="portrait" scale="79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2"/>
  <sheetViews>
    <sheetView zoomScale="75" zoomScaleNormal="75" zoomScalePageLayoutView="0" workbookViewId="0" topLeftCell="A1">
      <selection activeCell="C45" sqref="C45"/>
    </sheetView>
  </sheetViews>
  <sheetFormatPr defaultColWidth="9.140625" defaultRowHeight="12.75"/>
  <cols>
    <col min="2" max="2" width="13.00390625" style="0" bestFit="1" customWidth="1"/>
    <col min="3" max="3" width="14.57421875" style="0" bestFit="1" customWidth="1"/>
    <col min="4" max="4" width="10.28125" style="0" bestFit="1" customWidth="1"/>
    <col min="5" max="5" width="12.57421875" style="0" bestFit="1" customWidth="1"/>
    <col min="6" max="6" width="9.28125" style="0" bestFit="1" customWidth="1"/>
    <col min="7" max="7" width="13.00390625" style="0" bestFit="1" customWidth="1"/>
    <col min="8" max="8" width="12.421875" style="0" bestFit="1" customWidth="1"/>
    <col min="9" max="9" width="14.7109375" style="0" bestFit="1" customWidth="1"/>
    <col min="10" max="10" width="13.8515625" style="1" bestFit="1" customWidth="1"/>
    <col min="11" max="11" width="12.8515625" style="0" bestFit="1" customWidth="1"/>
  </cols>
  <sheetData>
    <row r="1" spans="1:9" ht="12.75">
      <c r="A1" t="s">
        <v>53</v>
      </c>
      <c r="B1" s="1"/>
      <c r="C1" s="1"/>
      <c r="D1" s="1"/>
      <c r="E1" s="1"/>
      <c r="F1" s="2"/>
      <c r="G1" s="1"/>
      <c r="H1" s="1"/>
      <c r="I1" s="1"/>
    </row>
    <row r="2" spans="1:9" ht="12.75">
      <c r="A2" t="s">
        <v>54</v>
      </c>
      <c r="B2" s="1"/>
      <c r="C2" s="1"/>
      <c r="D2" s="1"/>
      <c r="E2" s="1"/>
      <c r="F2" s="2"/>
      <c r="G2" s="1"/>
      <c r="H2" s="1"/>
      <c r="I2" s="1"/>
    </row>
    <row r="3" spans="1:9" ht="12.75">
      <c r="A3" t="s">
        <v>55</v>
      </c>
      <c r="B3" s="1"/>
      <c r="C3" s="1"/>
      <c r="D3" s="1"/>
      <c r="E3" s="1"/>
      <c r="F3" s="2"/>
      <c r="G3" s="1"/>
      <c r="H3" s="1"/>
      <c r="I3" s="1"/>
    </row>
    <row r="4" spans="2:9" ht="12.75">
      <c r="B4" s="1"/>
      <c r="C4" s="1"/>
      <c r="D4" s="1"/>
      <c r="E4" s="1"/>
      <c r="F4" s="2"/>
      <c r="G4" s="1"/>
      <c r="H4" s="1"/>
      <c r="I4" s="1"/>
    </row>
    <row r="5" spans="2:11" s="4" customFormat="1" ht="25.5">
      <c r="B5" s="5" t="s">
        <v>15</v>
      </c>
      <c r="C5" s="5" t="s">
        <v>16</v>
      </c>
      <c r="D5" s="5" t="s">
        <v>36</v>
      </c>
      <c r="E5" s="5" t="s">
        <v>35</v>
      </c>
      <c r="F5" s="6" t="s">
        <v>17</v>
      </c>
      <c r="G5" s="5" t="s">
        <v>18</v>
      </c>
      <c r="H5" s="5" t="s">
        <v>19</v>
      </c>
      <c r="I5" s="5" t="s">
        <v>22</v>
      </c>
      <c r="J5" s="5"/>
      <c r="K5" s="4" t="s">
        <v>163</v>
      </c>
    </row>
    <row r="6" spans="2:9" ht="12.75">
      <c r="B6" s="1"/>
      <c r="C6" s="1"/>
      <c r="D6" s="1"/>
      <c r="E6" s="1"/>
      <c r="F6" s="2"/>
      <c r="G6" s="1"/>
      <c r="H6" s="1"/>
      <c r="I6" s="1"/>
    </row>
    <row r="7" spans="1:9" ht="12.75">
      <c r="A7" t="s">
        <v>3</v>
      </c>
      <c r="B7" s="1">
        <v>40479</v>
      </c>
      <c r="C7" s="1"/>
      <c r="D7" s="1"/>
      <c r="E7" s="1">
        <v>31178.46</v>
      </c>
      <c r="F7" s="2">
        <v>1.2983</v>
      </c>
      <c r="G7" s="1">
        <f>E7*F7</f>
        <v>40478.994618</v>
      </c>
      <c r="H7" s="1">
        <f>B7-G7</f>
        <v>0.0053820000030100346</v>
      </c>
      <c r="I7" s="1"/>
    </row>
    <row r="8" spans="2:10" s="7" customFormat="1" ht="12.75">
      <c r="B8" s="8"/>
      <c r="C8" s="8"/>
      <c r="D8" s="8"/>
      <c r="E8" s="8"/>
      <c r="F8" s="9">
        <v>1.2983</v>
      </c>
      <c r="G8" s="8">
        <f>E8*F8</f>
        <v>0</v>
      </c>
      <c r="H8" s="8">
        <f>B8-G8</f>
        <v>0</v>
      </c>
      <c r="I8" s="8"/>
      <c r="J8" s="8"/>
    </row>
    <row r="9" spans="2:10" s="15" customFormat="1" ht="13.5" thickBot="1">
      <c r="B9" s="16">
        <f>SUM(B7:B8)</f>
        <v>40479</v>
      </c>
      <c r="C9" s="16"/>
      <c r="D9" s="16"/>
      <c r="E9" s="16">
        <f>SUM(E7:E8)</f>
        <v>31178.46</v>
      </c>
      <c r="G9" s="16">
        <f>SUM(G7:G8)</f>
        <v>40478.994618</v>
      </c>
      <c r="H9" s="16">
        <f>SUM(H7:H8)</f>
        <v>0.0053820000030100346</v>
      </c>
      <c r="I9" s="16">
        <f>B9</f>
        <v>40479</v>
      </c>
      <c r="J9" s="16"/>
    </row>
    <row r="11" spans="1:9" ht="12.75">
      <c r="A11" t="s">
        <v>4</v>
      </c>
      <c r="B11" s="1">
        <v>54912.84</v>
      </c>
      <c r="C11" s="1"/>
      <c r="D11" s="1"/>
      <c r="E11" s="1">
        <v>42295.96</v>
      </c>
      <c r="F11" s="2">
        <v>1.2983</v>
      </c>
      <c r="G11" s="1">
        <f>E11*F11</f>
        <v>54912.844868</v>
      </c>
      <c r="H11" s="1">
        <f>B11-G11</f>
        <v>-0.004868000003625639</v>
      </c>
      <c r="I11" s="1"/>
    </row>
    <row r="12" spans="2:10" s="7" customFormat="1" ht="12.75">
      <c r="B12" s="8">
        <v>-14290.92</v>
      </c>
      <c r="C12" s="8"/>
      <c r="D12" s="8"/>
      <c r="E12" s="8">
        <v>-11007.41</v>
      </c>
      <c r="F12" s="9">
        <v>1.2983</v>
      </c>
      <c r="G12" s="8">
        <f>E12*F12</f>
        <v>-14290.920403</v>
      </c>
      <c r="H12" s="8">
        <f>B12-G12</f>
        <v>0.00040300000000570435</v>
      </c>
      <c r="I12" s="8"/>
      <c r="J12" s="8"/>
    </row>
    <row r="13" spans="2:10" s="15" customFormat="1" ht="13.5" thickBot="1">
      <c r="B13" s="16">
        <f>SUM(B11:B12)</f>
        <v>40621.92</v>
      </c>
      <c r="C13" s="16"/>
      <c r="D13" s="16"/>
      <c r="E13" s="16">
        <f>SUM(E11:E12)</f>
        <v>31288.55</v>
      </c>
      <c r="G13" s="16">
        <f>SUM(G11:G12)</f>
        <v>40621.924465000004</v>
      </c>
      <c r="H13" s="16">
        <f>SUM(H11:H12)</f>
        <v>-0.004465000003619934</v>
      </c>
      <c r="I13" s="16">
        <f>I9+B13</f>
        <v>81100.92</v>
      </c>
      <c r="J13" s="16"/>
    </row>
    <row r="15" spans="1:9" ht="12.75">
      <c r="A15" t="s">
        <v>5</v>
      </c>
      <c r="B15" s="1">
        <v>40967.93</v>
      </c>
      <c r="C15" s="1"/>
      <c r="D15" s="1"/>
      <c r="E15" s="1">
        <v>31555.06</v>
      </c>
      <c r="F15" s="2">
        <v>1.2983</v>
      </c>
      <c r="G15" s="1">
        <f>E15*F15</f>
        <v>40967.934398000005</v>
      </c>
      <c r="H15" s="1">
        <f>B15-G15</f>
        <v>-0.004398000004584901</v>
      </c>
      <c r="I15" s="1"/>
    </row>
    <row r="16" spans="2:9" ht="12.75">
      <c r="B16" s="1"/>
      <c r="C16" s="1"/>
      <c r="D16" s="1"/>
      <c r="E16" s="1"/>
      <c r="F16" s="19">
        <v>1.2983</v>
      </c>
      <c r="G16" s="1">
        <f>E16*F16</f>
        <v>0</v>
      </c>
      <c r="H16" s="1">
        <f>B16-G16</f>
        <v>0</v>
      </c>
      <c r="I16" s="1"/>
    </row>
    <row r="17" spans="2:9" ht="12.75">
      <c r="B17" s="1"/>
      <c r="C17" s="1"/>
      <c r="D17" s="1"/>
      <c r="E17" s="1"/>
      <c r="F17" s="2"/>
      <c r="G17" s="1">
        <f>E17*F17</f>
        <v>0</v>
      </c>
      <c r="H17" s="1">
        <f>B17-G17</f>
        <v>0</v>
      </c>
      <c r="I17" s="1"/>
    </row>
    <row r="18" spans="2:10" s="7" customFormat="1" ht="12.75">
      <c r="B18" s="8"/>
      <c r="C18" s="8"/>
      <c r="D18" s="8"/>
      <c r="E18" s="8"/>
      <c r="F18" s="9"/>
      <c r="G18" s="8">
        <f>E18*F18</f>
        <v>0</v>
      </c>
      <c r="H18" s="8">
        <f>B18-G18</f>
        <v>0</v>
      </c>
      <c r="I18" s="8"/>
      <c r="J18" s="8"/>
    </row>
    <row r="19" spans="2:10" s="15" customFormat="1" ht="13.5" thickBot="1">
      <c r="B19" s="16">
        <f>SUM(B15:B18)</f>
        <v>40967.93</v>
      </c>
      <c r="C19" s="16"/>
      <c r="D19" s="16"/>
      <c r="E19" s="16">
        <f>SUM(E15:E18)</f>
        <v>31555.06</v>
      </c>
      <c r="G19" s="16">
        <f>SUM(G15:G18)</f>
        <v>40967.934398000005</v>
      </c>
      <c r="H19" s="16">
        <f>SUM(H15:H18)</f>
        <v>-0.004398000004584901</v>
      </c>
      <c r="I19" s="16">
        <f>I13+B19</f>
        <v>122068.85</v>
      </c>
      <c r="J19" s="16"/>
    </row>
    <row r="21" spans="1:11" ht="12.75">
      <c r="A21" t="s">
        <v>6</v>
      </c>
      <c r="B21" s="1">
        <v>56443.83</v>
      </c>
      <c r="C21" s="1"/>
      <c r="D21" s="1"/>
      <c r="E21" s="1">
        <v>31342.01</v>
      </c>
      <c r="F21" s="2">
        <v>1.8009</v>
      </c>
      <c r="G21" s="1">
        <f>E21*F21</f>
        <v>56443.825808999994</v>
      </c>
      <c r="H21" s="1">
        <f>B21-G21</f>
        <v>0.004191000007267576</v>
      </c>
      <c r="I21" s="1"/>
      <c r="K21" s="3">
        <f>E21</f>
        <v>31342.01</v>
      </c>
    </row>
    <row r="22" spans="2:10" s="7" customFormat="1" ht="12.75">
      <c r="B22" s="8">
        <v>0</v>
      </c>
      <c r="C22" s="8"/>
      <c r="D22" s="8"/>
      <c r="E22" s="8">
        <v>0</v>
      </c>
      <c r="F22" s="9">
        <v>1.8009</v>
      </c>
      <c r="G22" s="8">
        <f>E22*F22</f>
        <v>0</v>
      </c>
      <c r="H22" s="8">
        <f>B22-G22</f>
        <v>0</v>
      </c>
      <c r="I22" s="8"/>
      <c r="J22" s="8"/>
    </row>
    <row r="23" spans="2:10" s="15" customFormat="1" ht="13.5" thickBot="1">
      <c r="B23" s="16">
        <f>SUM(B21:B22)</f>
        <v>56443.83</v>
      </c>
      <c r="C23" s="16"/>
      <c r="D23" s="16"/>
      <c r="E23" s="16">
        <f>SUM(E21:E22)</f>
        <v>31342.01</v>
      </c>
      <c r="G23" s="16">
        <f>SUM(G21:G22)</f>
        <v>56443.825808999994</v>
      </c>
      <c r="H23" s="16">
        <f>SUM(H21:H22)</f>
        <v>0.004191000007267576</v>
      </c>
      <c r="I23" s="16">
        <f>I19+B23</f>
        <v>178512.68</v>
      </c>
      <c r="J23" s="16"/>
    </row>
    <row r="25" spans="1:11" ht="12.75">
      <c r="A25" t="s">
        <v>7</v>
      </c>
      <c r="B25" s="1">
        <v>128454.06</v>
      </c>
      <c r="C25" s="1"/>
      <c r="D25" s="1"/>
      <c r="E25" s="1">
        <v>71327.7</v>
      </c>
      <c r="F25" s="2">
        <v>1.8009</v>
      </c>
      <c r="G25" s="1">
        <f>E25*F25</f>
        <v>128454.05492999998</v>
      </c>
      <c r="H25" s="1">
        <f>B25-G25</f>
        <v>0.0050700000138022006</v>
      </c>
      <c r="I25" s="1"/>
      <c r="K25" s="3">
        <f>E25</f>
        <v>71327.7</v>
      </c>
    </row>
    <row r="26" spans="2:11" s="7" customFormat="1" ht="12.75">
      <c r="B26" s="8">
        <v>-64227.03</v>
      </c>
      <c r="C26" s="8"/>
      <c r="D26" s="8"/>
      <c r="E26" s="8">
        <v>-35663.85</v>
      </c>
      <c r="F26" s="9">
        <v>1.8009</v>
      </c>
      <c r="G26" s="8">
        <f>E26*F26</f>
        <v>-64227.02746499999</v>
      </c>
      <c r="H26" s="8">
        <f>B26-G26</f>
        <v>-0.0025350000069011003</v>
      </c>
      <c r="I26" s="8"/>
      <c r="J26" s="8"/>
      <c r="K26" s="3">
        <f>E26</f>
        <v>-35663.85</v>
      </c>
    </row>
    <row r="27" spans="2:10" s="15" customFormat="1" ht="13.5" thickBot="1">
      <c r="B27" s="16">
        <f>SUM(B25:B26)</f>
        <v>64227.03</v>
      </c>
      <c r="C27" s="16"/>
      <c r="D27" s="16"/>
      <c r="E27" s="16">
        <f>SUM(E25:E26)</f>
        <v>35663.85</v>
      </c>
      <c r="G27" s="16">
        <f>SUM(G25:G26)</f>
        <v>64227.02746499999</v>
      </c>
      <c r="H27" s="16">
        <f>SUM(H25:H26)</f>
        <v>0.0025350000069011003</v>
      </c>
      <c r="I27" s="16">
        <f>I23+B27</f>
        <v>242739.71</v>
      </c>
      <c r="J27" s="16"/>
    </row>
    <row r="29" spans="1:11" ht="12.75">
      <c r="A29" t="s">
        <v>8</v>
      </c>
      <c r="B29" s="1">
        <v>62632.6</v>
      </c>
      <c r="C29" s="1"/>
      <c r="D29" s="1"/>
      <c r="E29" s="1">
        <v>34778.5</v>
      </c>
      <c r="F29" s="2">
        <v>1.8009</v>
      </c>
      <c r="G29" s="1">
        <f>E29*F29</f>
        <v>62632.60065</v>
      </c>
      <c r="H29" s="1">
        <f>B29-G29</f>
        <v>-0.0006500000017695129</v>
      </c>
      <c r="I29" s="1"/>
      <c r="K29" s="3">
        <f>E29</f>
        <v>34778.5</v>
      </c>
    </row>
    <row r="30" spans="2:10" s="7" customFormat="1" ht="12.75">
      <c r="B30" s="8"/>
      <c r="C30" s="8"/>
      <c r="D30" s="8"/>
      <c r="E30" s="8"/>
      <c r="F30" s="9">
        <v>1.8009</v>
      </c>
      <c r="G30" s="8">
        <f>E30*F30</f>
        <v>0</v>
      </c>
      <c r="H30" s="8">
        <f>B30-G30</f>
        <v>0</v>
      </c>
      <c r="I30" s="8"/>
      <c r="J30" s="8"/>
    </row>
    <row r="31" spans="2:10" s="15" customFormat="1" ht="13.5" thickBot="1">
      <c r="B31" s="16">
        <f>SUM(B29:B30)</f>
        <v>62632.6</v>
      </c>
      <c r="C31" s="16"/>
      <c r="D31" s="16"/>
      <c r="E31" s="16">
        <f>SUM(E29:E30)</f>
        <v>34778.5</v>
      </c>
      <c r="G31" s="16">
        <f>SUM(G29:G30)</f>
        <v>62632.60065</v>
      </c>
      <c r="H31" s="16">
        <f>SUM(H29:H30)</f>
        <v>-0.0006500000017695129</v>
      </c>
      <c r="I31" s="16">
        <f>I27+B31</f>
        <v>305372.31</v>
      </c>
      <c r="J31" s="16"/>
    </row>
    <row r="33" spans="1:11" ht="12.75">
      <c r="A33" t="s">
        <v>9</v>
      </c>
      <c r="B33" s="1">
        <v>65295.7</v>
      </c>
      <c r="C33" s="1"/>
      <c r="D33" s="1"/>
      <c r="E33" s="1">
        <v>36257.26</v>
      </c>
      <c r="F33" s="2">
        <v>1.8009</v>
      </c>
      <c r="G33" s="1">
        <f>E33*F33</f>
        <v>65295.699534</v>
      </c>
      <c r="H33" s="1">
        <f>B33-G33</f>
        <v>0.0004659999976865947</v>
      </c>
      <c r="I33" s="1"/>
      <c r="K33" s="3">
        <f>E33</f>
        <v>36257.26</v>
      </c>
    </row>
    <row r="34" spans="2:10" s="7" customFormat="1" ht="12.75">
      <c r="B34" s="8"/>
      <c r="C34" s="8"/>
      <c r="D34" s="8"/>
      <c r="E34" s="8"/>
      <c r="F34" s="9">
        <v>1.8009</v>
      </c>
      <c r="G34" s="8">
        <f>E34*F34</f>
        <v>0</v>
      </c>
      <c r="H34" s="8">
        <f>B34-G34</f>
        <v>0</v>
      </c>
      <c r="I34" s="8"/>
      <c r="J34" s="8"/>
    </row>
    <row r="35" spans="2:10" s="15" customFormat="1" ht="13.5" thickBot="1">
      <c r="B35" s="16">
        <f>SUM(B33:B34)</f>
        <v>65295.7</v>
      </c>
      <c r="C35" s="16"/>
      <c r="D35" s="16"/>
      <c r="E35" s="16">
        <f>SUM(E33:E34)</f>
        <v>36257.26</v>
      </c>
      <c r="G35" s="16">
        <f>SUM(G33:G34)</f>
        <v>65295.699534</v>
      </c>
      <c r="H35" s="16">
        <f>SUM(H33:H34)</f>
        <v>0.0004659999976865947</v>
      </c>
      <c r="I35" s="16">
        <f>I31+B35</f>
        <v>370668.01</v>
      </c>
      <c r="J35" s="16"/>
    </row>
    <row r="37" spans="1:11" ht="12.75">
      <c r="A37" t="s">
        <v>10</v>
      </c>
      <c r="B37" s="1">
        <v>68464.25</v>
      </c>
      <c r="C37" s="1"/>
      <c r="D37" s="1"/>
      <c r="E37" s="1">
        <v>38016.68</v>
      </c>
      <c r="F37" s="2">
        <v>1.8009</v>
      </c>
      <c r="G37" s="1">
        <f>E37*F37</f>
        <v>68464.239012</v>
      </c>
      <c r="H37" s="1">
        <f>B37-G37</f>
        <v>0.010987999994540587</v>
      </c>
      <c r="I37" s="1"/>
      <c r="K37" s="3">
        <f>E37</f>
        <v>38016.68</v>
      </c>
    </row>
    <row r="38" spans="2:10" s="7" customFormat="1" ht="12.75">
      <c r="B38" s="8"/>
      <c r="C38" s="8"/>
      <c r="D38" s="8"/>
      <c r="E38" s="8"/>
      <c r="F38" s="9">
        <v>1.8009</v>
      </c>
      <c r="G38" s="8">
        <f>E38*F38</f>
        <v>0</v>
      </c>
      <c r="H38" s="8">
        <f>B38-G38</f>
        <v>0</v>
      </c>
      <c r="I38" s="8"/>
      <c r="J38" s="8"/>
    </row>
    <row r="39" spans="2:10" s="15" customFormat="1" ht="13.5" thickBot="1">
      <c r="B39" s="16">
        <f>SUM(B37:B38)</f>
        <v>68464.25</v>
      </c>
      <c r="C39" s="16"/>
      <c r="D39" s="16"/>
      <c r="E39" s="16">
        <f>SUM(E37:E38)</f>
        <v>38016.68</v>
      </c>
      <c r="G39" s="16">
        <f>SUM(G37:G38)</f>
        <v>68464.239012</v>
      </c>
      <c r="H39" s="16">
        <f>SUM(H37:H38)</f>
        <v>0.010987999994540587</v>
      </c>
      <c r="I39" s="16">
        <f>I35+B39</f>
        <v>439132.26</v>
      </c>
      <c r="J39" s="16"/>
    </row>
    <row r="41" spans="1:11" ht="12.75">
      <c r="A41" t="s">
        <v>11</v>
      </c>
      <c r="B41" s="1">
        <v>65938.6</v>
      </c>
      <c r="C41" s="1"/>
      <c r="D41" s="1"/>
      <c r="E41" s="1">
        <v>36614.25</v>
      </c>
      <c r="F41" s="2">
        <v>1.8009</v>
      </c>
      <c r="G41" s="1">
        <f>E41*F41</f>
        <v>65938.602825</v>
      </c>
      <c r="H41" s="1">
        <f>B41-G41</f>
        <v>-0.0028249999886611477</v>
      </c>
      <c r="I41" s="1"/>
      <c r="K41" s="3">
        <f>E41</f>
        <v>36614.25</v>
      </c>
    </row>
    <row r="42" spans="2:10" s="7" customFormat="1" ht="12.75">
      <c r="B42" s="8"/>
      <c r="C42" s="8"/>
      <c r="D42" s="8"/>
      <c r="E42" s="8"/>
      <c r="F42" s="9">
        <v>1.8009</v>
      </c>
      <c r="G42" s="8">
        <f>E42*F42</f>
        <v>0</v>
      </c>
      <c r="H42" s="8">
        <f>B42-G42</f>
        <v>0</v>
      </c>
      <c r="I42" s="8"/>
      <c r="J42" s="8"/>
    </row>
    <row r="43" spans="2:10" s="15" customFormat="1" ht="13.5" thickBot="1">
      <c r="B43" s="16">
        <f>SUM(B41:B42)</f>
        <v>65938.6</v>
      </c>
      <c r="C43" s="16"/>
      <c r="D43" s="16"/>
      <c r="E43" s="16">
        <f>SUM(E41:E42)</f>
        <v>36614.25</v>
      </c>
      <c r="G43" s="16">
        <f>SUM(G41:G42)</f>
        <v>65938.602825</v>
      </c>
      <c r="H43" s="16">
        <f>SUM(H41:H42)</f>
        <v>-0.0028249999886611477</v>
      </c>
      <c r="I43" s="16">
        <f>I39+B43</f>
        <v>505070.86</v>
      </c>
      <c r="J43" s="16"/>
    </row>
    <row r="45" spans="1:11" ht="12.75">
      <c r="A45" t="s">
        <v>12</v>
      </c>
      <c r="B45" s="1">
        <v>67887.3</v>
      </c>
      <c r="C45" s="1"/>
      <c r="D45" s="1"/>
      <c r="E45" s="1">
        <v>37696.32</v>
      </c>
      <c r="F45" s="2">
        <v>1.8009</v>
      </c>
      <c r="G45" s="1">
        <f>E45*F45</f>
        <v>67887.302688</v>
      </c>
      <c r="H45" s="1">
        <f>B45-G45</f>
        <v>-0.0026879999932134524</v>
      </c>
      <c r="I45" s="1"/>
      <c r="K45" s="3">
        <f>E45</f>
        <v>37696.32</v>
      </c>
    </row>
    <row r="46" spans="2:10" s="7" customFormat="1" ht="12.75">
      <c r="B46" s="8"/>
      <c r="C46" s="8"/>
      <c r="D46" s="8"/>
      <c r="E46" s="8"/>
      <c r="F46" s="9">
        <v>1.8009</v>
      </c>
      <c r="G46" s="8">
        <f>E46*F46</f>
        <v>0</v>
      </c>
      <c r="H46" s="8">
        <f>B46-G46</f>
        <v>0</v>
      </c>
      <c r="I46" s="8"/>
      <c r="J46" s="8"/>
    </row>
    <row r="47" spans="2:10" s="15" customFormat="1" ht="13.5" thickBot="1">
      <c r="B47" s="16">
        <f>SUM(B45:B46)</f>
        <v>67887.3</v>
      </c>
      <c r="C47" s="16"/>
      <c r="D47" s="16"/>
      <c r="E47" s="16">
        <f>SUM(E45:E46)</f>
        <v>37696.32</v>
      </c>
      <c r="G47" s="16">
        <f>SUM(G45:G46)</f>
        <v>67887.302688</v>
      </c>
      <c r="H47" s="16">
        <f>SUM(H45:H46)</f>
        <v>-0.0026879999932134524</v>
      </c>
      <c r="I47" s="16">
        <f>I43+B47</f>
        <v>572958.16</v>
      </c>
      <c r="J47" s="16"/>
    </row>
    <row r="49" spans="1:11" ht="12.75">
      <c r="A49" t="s">
        <v>13</v>
      </c>
      <c r="B49" s="1">
        <v>67044</v>
      </c>
      <c r="C49" s="1"/>
      <c r="D49" s="1"/>
      <c r="E49" s="1">
        <v>37228.05</v>
      </c>
      <c r="F49" s="2">
        <v>1.8009</v>
      </c>
      <c r="G49" s="1">
        <f>E49*F49</f>
        <v>67043.995245</v>
      </c>
      <c r="H49" s="1">
        <f>B49-G49</f>
        <v>0.0047550000017508864</v>
      </c>
      <c r="I49" s="1"/>
      <c r="K49" s="3">
        <f>E49</f>
        <v>37228.05</v>
      </c>
    </row>
    <row r="50" spans="2:10" s="7" customFormat="1" ht="12.75">
      <c r="B50" s="8"/>
      <c r="C50" s="8"/>
      <c r="D50" s="8"/>
      <c r="E50" s="8"/>
      <c r="F50" s="9">
        <v>1.8009</v>
      </c>
      <c r="G50" s="8">
        <f>E50*F50</f>
        <v>0</v>
      </c>
      <c r="H50" s="8">
        <f>B50-G50</f>
        <v>0</v>
      </c>
      <c r="I50" s="8"/>
      <c r="J50" s="8"/>
    </row>
    <row r="51" spans="2:10" s="15" customFormat="1" ht="13.5" thickBot="1">
      <c r="B51" s="16">
        <f>SUM(B49:B50)</f>
        <v>67044</v>
      </c>
      <c r="C51" s="16"/>
      <c r="D51" s="16"/>
      <c r="E51" s="16">
        <f>SUM(E49:E50)</f>
        <v>37228.05</v>
      </c>
      <c r="G51" s="16">
        <f>SUM(G49:G50)</f>
        <v>67043.995245</v>
      </c>
      <c r="H51" s="16">
        <f>SUM(H49:H50)</f>
        <v>0.0047550000017508864</v>
      </c>
      <c r="I51" s="16">
        <f>I47+B51</f>
        <v>640002.16</v>
      </c>
      <c r="J51" s="16"/>
    </row>
    <row r="53" spans="1:11" ht="12.75">
      <c r="A53" t="s">
        <v>14</v>
      </c>
      <c r="B53" s="1">
        <v>57503.58</v>
      </c>
      <c r="C53" s="1"/>
      <c r="D53" s="1"/>
      <c r="E53" s="1">
        <v>31930.47</v>
      </c>
      <c r="F53" s="2">
        <v>1.8009</v>
      </c>
      <c r="G53" s="1">
        <f>E53*F53</f>
        <v>57503.583423000004</v>
      </c>
      <c r="H53" s="1">
        <f>B53-G53</f>
        <v>-0.0034230000019306317</v>
      </c>
      <c r="I53" s="1"/>
      <c r="K53" s="3">
        <f>E53</f>
        <v>31930.47</v>
      </c>
    </row>
    <row r="54" spans="2:10" s="7" customFormat="1" ht="12.75">
      <c r="B54" s="8"/>
      <c r="C54" s="8"/>
      <c r="D54" s="8"/>
      <c r="E54" s="8"/>
      <c r="F54" s="9">
        <v>1.8009</v>
      </c>
      <c r="G54" s="8">
        <f>E54*F54</f>
        <v>0</v>
      </c>
      <c r="H54" s="8">
        <f>B54-G54</f>
        <v>0</v>
      </c>
      <c r="I54" s="8"/>
      <c r="J54" s="8"/>
    </row>
    <row r="55" spans="2:11" s="15" customFormat="1" ht="13.5" thickBot="1">
      <c r="B55" s="16">
        <f>SUM(B53:B54)</f>
        <v>57503.58</v>
      </c>
      <c r="C55" s="16"/>
      <c r="D55" s="16"/>
      <c r="E55" s="16">
        <f>SUM(E53:E54)</f>
        <v>31930.47</v>
      </c>
      <c r="G55" s="16">
        <f>SUM(G53:G54)</f>
        <v>57503.583423000004</v>
      </c>
      <c r="H55" s="16">
        <f>SUM(H53:H54)</f>
        <v>-0.0034230000019306317</v>
      </c>
      <c r="I55" s="16">
        <f>I51+B55</f>
        <v>697505.74</v>
      </c>
      <c r="J55" s="16"/>
      <c r="K55" s="18">
        <f>SUM(K21:K54)</f>
        <v>319527.39</v>
      </c>
    </row>
    <row r="57" spans="9:12" ht="12.75">
      <c r="I57" s="1">
        <v>697505.74</v>
      </c>
      <c r="K57">
        <v>0.097704</v>
      </c>
      <c r="L57" t="s">
        <v>137</v>
      </c>
    </row>
    <row r="58" spans="9:12" ht="12.75">
      <c r="I58" s="3">
        <f>I55-I57</f>
        <v>0</v>
      </c>
      <c r="K58" s="3">
        <f>K55*K57</f>
        <v>31219.104112560002</v>
      </c>
      <c r="L58" t="s">
        <v>136</v>
      </c>
    </row>
    <row r="60" spans="1:9" ht="12.75">
      <c r="A60" t="s">
        <v>56</v>
      </c>
      <c r="B60" s="1"/>
      <c r="C60" s="1"/>
      <c r="D60" s="1"/>
      <c r="E60" s="1"/>
      <c r="F60" s="2"/>
      <c r="G60" s="1"/>
      <c r="H60" s="1"/>
      <c r="I60" s="1"/>
    </row>
    <row r="61" spans="1:9" ht="12.75">
      <c r="A61" t="s">
        <v>57</v>
      </c>
      <c r="B61" s="1"/>
      <c r="C61" s="1"/>
      <c r="D61" s="1"/>
      <c r="E61" s="1"/>
      <c r="F61" s="2"/>
      <c r="G61" s="1"/>
      <c r="H61" s="1"/>
      <c r="I61" s="1"/>
    </row>
    <row r="62" spans="1:9" ht="12.75">
      <c r="A62" t="s">
        <v>58</v>
      </c>
      <c r="B62" s="1"/>
      <c r="C62" s="1"/>
      <c r="D62" s="1"/>
      <c r="E62" s="1"/>
      <c r="F62" s="2"/>
      <c r="G62" s="1"/>
      <c r="H62" s="1"/>
      <c r="I62" s="1"/>
    </row>
    <row r="63" spans="2:9" ht="12.75">
      <c r="B63" s="1"/>
      <c r="C63" s="1"/>
      <c r="D63" s="1"/>
      <c r="E63" s="1"/>
      <c r="F63" s="2"/>
      <c r="G63" s="1"/>
      <c r="H63" s="1"/>
      <c r="I63" s="1"/>
    </row>
    <row r="64" spans="2:10" s="4" customFormat="1" ht="25.5">
      <c r="B64" s="5" t="s">
        <v>15</v>
      </c>
      <c r="C64" s="5" t="s">
        <v>16</v>
      </c>
      <c r="D64" s="5" t="s">
        <v>36</v>
      </c>
      <c r="E64" s="5" t="s">
        <v>35</v>
      </c>
      <c r="F64" s="6" t="s">
        <v>17</v>
      </c>
      <c r="G64" s="5" t="s">
        <v>18</v>
      </c>
      <c r="H64" s="5" t="s">
        <v>19</v>
      </c>
      <c r="I64" s="5" t="s">
        <v>22</v>
      </c>
      <c r="J64" s="5" t="s">
        <v>59</v>
      </c>
    </row>
    <row r="65" spans="2:9" ht="12.75">
      <c r="B65" s="1"/>
      <c r="C65" s="1"/>
      <c r="D65" s="1"/>
      <c r="E65" s="1"/>
      <c r="F65" s="2"/>
      <c r="G65" s="1"/>
      <c r="H65" s="1"/>
      <c r="I65" s="1"/>
    </row>
    <row r="66" spans="1:9" ht="12.75">
      <c r="A66" t="s">
        <v>3</v>
      </c>
      <c r="B66" s="1">
        <v>1994.96</v>
      </c>
      <c r="C66" s="1"/>
      <c r="D66" s="1"/>
      <c r="E66" s="1">
        <v>170.67</v>
      </c>
      <c r="F66" s="2">
        <v>11.689</v>
      </c>
      <c r="G66" s="1">
        <f>E66*F66</f>
        <v>1994.9616299999998</v>
      </c>
      <c r="H66" s="1">
        <f>B66-G66</f>
        <v>-0.001629999999749998</v>
      </c>
      <c r="I66" s="1"/>
    </row>
    <row r="67" spans="2:9" ht="12.75">
      <c r="B67" s="1">
        <v>356510.61</v>
      </c>
      <c r="C67" s="1">
        <v>8653170.24</v>
      </c>
      <c r="D67" s="1"/>
      <c r="E67" s="1"/>
      <c r="F67" s="2">
        <v>0.0412</v>
      </c>
      <c r="G67" s="1">
        <f>C67*F67</f>
        <v>356510.613888</v>
      </c>
      <c r="H67" s="1">
        <f aca="true" t="shared" si="0" ref="H67:H72">B67-G67</f>
        <v>-0.0038880000356584787</v>
      </c>
      <c r="I67" s="1"/>
    </row>
    <row r="68" spans="2:9" ht="12.75">
      <c r="B68" s="1">
        <v>362450.06</v>
      </c>
      <c r="C68" s="1"/>
      <c r="D68" s="1"/>
      <c r="E68" s="1">
        <v>31007.79</v>
      </c>
      <c r="F68" s="2">
        <f>F66</f>
        <v>11.689</v>
      </c>
      <c r="G68" s="1">
        <f>E68*F68</f>
        <v>362450.05731</v>
      </c>
      <c r="H68" s="1">
        <f t="shared" si="0"/>
        <v>0.002689999993890524</v>
      </c>
      <c r="I68" s="1"/>
    </row>
    <row r="69" spans="2:9" ht="12.75">
      <c r="B69" s="1">
        <v>537565.09</v>
      </c>
      <c r="C69" s="1">
        <v>7802105.85</v>
      </c>
      <c r="D69" s="1"/>
      <c r="E69" s="1"/>
      <c r="F69" s="2">
        <v>0.0689</v>
      </c>
      <c r="G69" s="1">
        <f>C69*F69</f>
        <v>537565.093065</v>
      </c>
      <c r="H69" s="1">
        <f t="shared" si="0"/>
        <v>-0.003065000055357814</v>
      </c>
      <c r="I69" s="1"/>
    </row>
    <row r="70" spans="2:9" ht="12.75">
      <c r="B70" s="1"/>
      <c r="C70" s="1"/>
      <c r="D70" s="1"/>
      <c r="E70" s="1"/>
      <c r="F70" s="2">
        <f>F66</f>
        <v>11.689</v>
      </c>
      <c r="G70" s="1">
        <f>E70*F70</f>
        <v>0</v>
      </c>
      <c r="H70" s="1">
        <f t="shared" si="0"/>
        <v>0</v>
      </c>
      <c r="I70" s="1"/>
    </row>
    <row r="71" spans="2:9" ht="12.75">
      <c r="B71" s="1"/>
      <c r="C71" s="1"/>
      <c r="D71" s="1"/>
      <c r="E71" s="1"/>
      <c r="F71" s="2">
        <f>F67</f>
        <v>0.0412</v>
      </c>
      <c r="G71" s="1">
        <f>C71*F71</f>
        <v>0</v>
      </c>
      <c r="H71" s="1">
        <f t="shared" si="0"/>
        <v>0</v>
      </c>
      <c r="I71" s="1"/>
    </row>
    <row r="72" spans="2:9" ht="12.75">
      <c r="B72" s="1"/>
      <c r="C72" s="1"/>
      <c r="D72" s="1"/>
      <c r="E72" s="1"/>
      <c r="F72" s="2">
        <f>F68</f>
        <v>11.689</v>
      </c>
      <c r="G72" s="1">
        <f>E72*F72</f>
        <v>0</v>
      </c>
      <c r="H72" s="1">
        <f t="shared" si="0"/>
        <v>0</v>
      </c>
      <c r="I72" s="1"/>
    </row>
    <row r="73" spans="2:10" s="7" customFormat="1" ht="12.75">
      <c r="B73" s="8"/>
      <c r="C73" s="8"/>
      <c r="D73" s="8"/>
      <c r="E73" s="8"/>
      <c r="F73" s="9">
        <f>F69</f>
        <v>0.0689</v>
      </c>
      <c r="G73" s="8">
        <f>C73*F73</f>
        <v>0</v>
      </c>
      <c r="H73" s="8">
        <f>B73-G73</f>
        <v>0</v>
      </c>
      <c r="I73" s="8"/>
      <c r="J73" s="8"/>
    </row>
    <row r="74" spans="2:10" s="15" customFormat="1" ht="13.5" thickBot="1">
      <c r="B74" s="16">
        <f>SUM(B66:B73)</f>
        <v>1258520.72</v>
      </c>
      <c r="C74" s="16">
        <f>SUM(C66:C73)</f>
        <v>16455276.09</v>
      </c>
      <c r="D74" s="16">
        <f>SUM(D66:D73)</f>
        <v>0</v>
      </c>
      <c r="E74" s="16">
        <f>SUM(E66:E73)</f>
        <v>31178.46</v>
      </c>
      <c r="G74" s="16">
        <f>SUM(G66:G73)</f>
        <v>1258520.7258930001</v>
      </c>
      <c r="H74" s="16">
        <f>SUM(H66:H73)</f>
        <v>-0.005893000096875767</v>
      </c>
      <c r="I74" s="16">
        <f>B74+J74</f>
        <v>1262150.18</v>
      </c>
      <c r="J74" s="16">
        <v>3629.46</v>
      </c>
    </row>
    <row r="76" spans="1:9" ht="12.75">
      <c r="A76" t="s">
        <v>4</v>
      </c>
      <c r="B76" s="1">
        <v>5985</v>
      </c>
      <c r="C76" s="1"/>
      <c r="D76" s="1"/>
      <c r="E76" s="1">
        <v>512.02</v>
      </c>
      <c r="F76" s="2">
        <v>11.689</v>
      </c>
      <c r="G76" s="1">
        <f>E76*F76</f>
        <v>5985.00178</v>
      </c>
      <c r="H76" s="1">
        <f>B76-G76</f>
        <v>-0.0017799999995986582</v>
      </c>
      <c r="I76" s="1"/>
    </row>
    <row r="77" spans="2:9" ht="12.75">
      <c r="B77" s="1">
        <v>467655.93</v>
      </c>
      <c r="C77" s="1">
        <v>11350871.73</v>
      </c>
      <c r="D77" s="1"/>
      <c r="E77" s="1"/>
      <c r="F77" s="2">
        <v>0.0412</v>
      </c>
      <c r="G77" s="1">
        <f>C77*F77</f>
        <v>467655.91527600004</v>
      </c>
      <c r="H77" s="1">
        <f aca="true" t="shared" si="1" ref="H77:H82">B77-G77</f>
        <v>0.0147239999496378</v>
      </c>
      <c r="I77" s="1"/>
    </row>
    <row r="78" spans="2:9" ht="12.75">
      <c r="B78" s="1">
        <v>488412.46</v>
      </c>
      <c r="C78" s="1"/>
      <c r="D78" s="1"/>
      <c r="E78" s="1">
        <v>41783.94</v>
      </c>
      <c r="F78" s="2">
        <f>F76</f>
        <v>11.689</v>
      </c>
      <c r="G78" s="1">
        <f>E78*F78</f>
        <v>488412.47466</v>
      </c>
      <c r="H78" s="1">
        <f t="shared" si="1"/>
        <v>-0.014659999986179173</v>
      </c>
      <c r="I78" s="1"/>
    </row>
    <row r="79" spans="2:9" ht="12.75">
      <c r="B79" s="1">
        <v>931607.56</v>
      </c>
      <c r="C79" s="1">
        <v>13521154.68</v>
      </c>
      <c r="D79" s="1"/>
      <c r="E79" s="1"/>
      <c r="F79" s="2">
        <v>0.0689</v>
      </c>
      <c r="G79" s="1">
        <f>C79*F79</f>
        <v>931607.557452</v>
      </c>
      <c r="H79" s="1">
        <f t="shared" si="1"/>
        <v>0.0025480000767856836</v>
      </c>
      <c r="I79" s="1"/>
    </row>
    <row r="80" spans="2:9" ht="12.75">
      <c r="B80" s="1">
        <v>-2992.5</v>
      </c>
      <c r="C80" s="1"/>
      <c r="D80" s="1"/>
      <c r="E80" s="1">
        <v>-256</v>
      </c>
      <c r="F80" s="2">
        <f>F76</f>
        <v>11.689</v>
      </c>
      <c r="G80" s="1">
        <f>E80*F80</f>
        <v>-2992.384</v>
      </c>
      <c r="H80" s="1">
        <f t="shared" si="1"/>
        <v>-0.11599999999998545</v>
      </c>
      <c r="I80" s="1"/>
    </row>
    <row r="81" spans="2:9" ht="12.75">
      <c r="B81" s="1">
        <v>-111160.52</v>
      </c>
      <c r="C81" s="1">
        <v>-2698070.76</v>
      </c>
      <c r="D81" s="1"/>
      <c r="E81" s="1"/>
      <c r="F81" s="2">
        <f>F77</f>
        <v>0.0412</v>
      </c>
      <c r="G81" s="1">
        <f>C81*F81</f>
        <v>-111160.51531199999</v>
      </c>
      <c r="H81" s="1">
        <f t="shared" si="1"/>
        <v>-0.004688000015448779</v>
      </c>
      <c r="I81" s="1"/>
    </row>
    <row r="82" spans="2:9" ht="12.75">
      <c r="B82" s="1">
        <v>-125673.11</v>
      </c>
      <c r="C82" s="1"/>
      <c r="D82" s="1"/>
      <c r="E82" s="1">
        <v>-10751.4</v>
      </c>
      <c r="F82" s="2">
        <f>F78</f>
        <v>11.689</v>
      </c>
      <c r="G82" s="1">
        <f>E82*F82</f>
        <v>-125673.1146</v>
      </c>
      <c r="H82" s="1">
        <f t="shared" si="1"/>
        <v>0.004600000000209548</v>
      </c>
      <c r="I82" s="1"/>
    </row>
    <row r="83" spans="2:10" s="7" customFormat="1" ht="12.75">
      <c r="B83" s="8">
        <v>-242802.99</v>
      </c>
      <c r="C83" s="8">
        <v>-3523991.13</v>
      </c>
      <c r="D83" s="8"/>
      <c r="E83" s="8"/>
      <c r="F83" s="9">
        <f>F79</f>
        <v>0.0689</v>
      </c>
      <c r="G83" s="8">
        <f>C83*F83</f>
        <v>-242802.988857</v>
      </c>
      <c r="H83" s="8">
        <f>B83-G83</f>
        <v>-0.0011430000013206154</v>
      </c>
      <c r="I83" s="8"/>
      <c r="J83" s="8"/>
    </row>
    <row r="84" spans="2:11" s="15" customFormat="1" ht="13.5" thickBot="1">
      <c r="B84" s="16">
        <f>SUM(B76:B83)</f>
        <v>1411031.83</v>
      </c>
      <c r="C84" s="16">
        <f>SUM(C76:C83)</f>
        <v>18649964.52</v>
      </c>
      <c r="D84" s="16">
        <f>SUM(D76:D83)</f>
        <v>0</v>
      </c>
      <c r="E84" s="16">
        <f>SUM(E76:E83)</f>
        <v>31288.559999999998</v>
      </c>
      <c r="G84" s="16">
        <f>SUM(G76:G83)</f>
        <v>1411031.946399</v>
      </c>
      <c r="H84" s="16">
        <f>SUM(H76:H83)</f>
        <v>-0.11639899997589964</v>
      </c>
      <c r="I84" s="16">
        <f>I74+B84+J84</f>
        <v>2678615.8499999996</v>
      </c>
      <c r="J84" s="16">
        <f>-3629.46+9063.3</f>
        <v>5433.839999999999</v>
      </c>
      <c r="K84" s="18">
        <f>B84+J84</f>
        <v>1416465.6700000002</v>
      </c>
    </row>
    <row r="86" spans="1:9" ht="12.75">
      <c r="A86" t="s">
        <v>5</v>
      </c>
      <c r="B86" s="1">
        <v>2393.09</v>
      </c>
      <c r="C86" s="1"/>
      <c r="D86" s="1"/>
      <c r="E86" s="1">
        <v>204.73</v>
      </c>
      <c r="F86" s="2">
        <v>11.689</v>
      </c>
      <c r="G86" s="1">
        <f>E86*F86</f>
        <v>2393.08897</v>
      </c>
      <c r="H86" s="1">
        <f>B86-G86</f>
        <v>0.0010300000003553578</v>
      </c>
      <c r="I86" s="1"/>
    </row>
    <row r="87" spans="2:9" ht="12.75">
      <c r="B87" s="1">
        <v>330675.29</v>
      </c>
      <c r="C87" s="1">
        <v>8026099.29</v>
      </c>
      <c r="D87" s="1"/>
      <c r="E87" s="1"/>
      <c r="F87" s="2">
        <v>0.0412</v>
      </c>
      <c r="G87" s="1">
        <f>C87*F87</f>
        <v>330675.290748</v>
      </c>
      <c r="H87" s="1">
        <f aca="true" t="shared" si="2" ref="H87:H92">B87-G87</f>
        <v>-0.0007480000494979322</v>
      </c>
      <c r="I87" s="1"/>
    </row>
    <row r="88" spans="2:9" ht="12.75">
      <c r="B88" s="1">
        <v>366454</v>
      </c>
      <c r="C88" s="1"/>
      <c r="D88" s="1"/>
      <c r="E88" s="1">
        <v>31350.33</v>
      </c>
      <c r="F88" s="2">
        <f>F86</f>
        <v>11.689</v>
      </c>
      <c r="G88" s="1">
        <f>E88*F88</f>
        <v>366454.00737</v>
      </c>
      <c r="H88" s="1">
        <f t="shared" si="2"/>
        <v>-0.007370000006631017</v>
      </c>
      <c r="I88" s="1"/>
    </row>
    <row r="89" spans="2:9" ht="12.75">
      <c r="B89" s="1">
        <v>631091.99</v>
      </c>
      <c r="C89" s="1">
        <v>9159535.44</v>
      </c>
      <c r="D89" s="1"/>
      <c r="E89" s="1"/>
      <c r="F89" s="2">
        <v>0.0689</v>
      </c>
      <c r="G89" s="1">
        <f>C89*F89</f>
        <v>631091.991816</v>
      </c>
      <c r="H89" s="1">
        <f t="shared" si="2"/>
        <v>-0.0018159999744966626</v>
      </c>
      <c r="I89" s="1"/>
    </row>
    <row r="90" spans="2:9" ht="12.75">
      <c r="B90" s="1"/>
      <c r="C90" s="1"/>
      <c r="D90" s="1"/>
      <c r="E90" s="1"/>
      <c r="F90" s="2">
        <f>F86</f>
        <v>11.689</v>
      </c>
      <c r="G90" s="1">
        <f>E90*F90</f>
        <v>0</v>
      </c>
      <c r="H90" s="1">
        <f t="shared" si="2"/>
        <v>0</v>
      </c>
      <c r="I90" s="1"/>
    </row>
    <row r="91" spans="2:9" ht="12.75">
      <c r="B91" s="1"/>
      <c r="C91" s="1"/>
      <c r="D91" s="1"/>
      <c r="E91" s="1"/>
      <c r="F91" s="2">
        <f>F87</f>
        <v>0.0412</v>
      </c>
      <c r="G91" s="1">
        <f>C91*F91</f>
        <v>0</v>
      </c>
      <c r="H91" s="1">
        <f t="shared" si="2"/>
        <v>0</v>
      </c>
      <c r="I91" s="1"/>
    </row>
    <row r="92" spans="2:9" ht="12.75">
      <c r="B92" s="1"/>
      <c r="C92" s="1"/>
      <c r="D92" s="1"/>
      <c r="E92" s="1"/>
      <c r="F92" s="2">
        <f>F88</f>
        <v>11.689</v>
      </c>
      <c r="G92" s="1">
        <f>E92*F92</f>
        <v>0</v>
      </c>
      <c r="H92" s="1">
        <f t="shared" si="2"/>
        <v>0</v>
      </c>
      <c r="I92" s="1"/>
    </row>
    <row r="93" spans="2:10" s="7" customFormat="1" ht="12.75">
      <c r="B93" s="8"/>
      <c r="C93" s="8"/>
      <c r="D93" s="8"/>
      <c r="E93" s="8"/>
      <c r="F93" s="9">
        <f>F89</f>
        <v>0.0689</v>
      </c>
      <c r="G93" s="8">
        <f>C93*F93</f>
        <v>0</v>
      </c>
      <c r="H93" s="8">
        <f>B93-G93</f>
        <v>0</v>
      </c>
      <c r="I93" s="8"/>
      <c r="J93" s="8"/>
    </row>
    <row r="94" spans="2:10" s="15" customFormat="1" ht="13.5" thickBot="1">
      <c r="B94" s="16">
        <f>SUM(B86:B93)</f>
        <v>1330614.37</v>
      </c>
      <c r="C94" s="16">
        <f>SUM(C86:C93)</f>
        <v>17185634.73</v>
      </c>
      <c r="D94" s="16">
        <f>SUM(D86:D93)</f>
        <v>0</v>
      </c>
      <c r="E94" s="16">
        <f>SUM(E86:E93)</f>
        <v>31555.06</v>
      </c>
      <c r="G94" s="16">
        <f>SUM(G86:G93)</f>
        <v>1330614.378904</v>
      </c>
      <c r="H94" s="16">
        <f>SUM(H86:H93)</f>
        <v>-0.008904000030270254</v>
      </c>
      <c r="I94" s="16">
        <f>I84+B94+J94</f>
        <v>4008925.46</v>
      </c>
      <c r="J94" s="16">
        <f>-9063.3+8758.54</f>
        <v>-304.7599999999984</v>
      </c>
    </row>
    <row r="96" spans="1:9" ht="12.75">
      <c r="A96" t="s">
        <v>6</v>
      </c>
      <c r="B96" s="1">
        <v>3374.38</v>
      </c>
      <c r="C96" s="1"/>
      <c r="D96" s="1"/>
      <c r="E96" s="1">
        <v>288.68</v>
      </c>
      <c r="F96" s="2">
        <v>11.689</v>
      </c>
      <c r="G96" s="1">
        <f>E96*F96</f>
        <v>3374.38052</v>
      </c>
      <c r="H96" s="1">
        <f>B96-G96</f>
        <v>-0.0005200000000513683</v>
      </c>
      <c r="I96" s="1"/>
    </row>
    <row r="97" spans="2:9" ht="12.75">
      <c r="B97" s="1">
        <v>381057.57</v>
      </c>
      <c r="C97" s="1">
        <v>9248970.06</v>
      </c>
      <c r="D97" s="1"/>
      <c r="E97" s="1"/>
      <c r="F97" s="2">
        <v>0.0412</v>
      </c>
      <c r="G97" s="1">
        <f>C97*F97</f>
        <v>381057.56647200003</v>
      </c>
      <c r="H97" s="1">
        <f aca="true" t="shared" si="3" ref="H97:H102">B97-G97</f>
        <v>0.0035279999719932675</v>
      </c>
      <c r="I97" s="1"/>
    </row>
    <row r="98" spans="2:9" ht="12.75">
      <c r="B98" s="1">
        <v>362982.38</v>
      </c>
      <c r="C98" s="1"/>
      <c r="D98" s="1"/>
      <c r="E98" s="1">
        <v>31053.33</v>
      </c>
      <c r="F98" s="2">
        <f>F96</f>
        <v>11.689</v>
      </c>
      <c r="G98" s="1">
        <f>E98*F98</f>
        <v>362982.37437000003</v>
      </c>
      <c r="H98" s="1">
        <f t="shared" si="3"/>
        <v>0.00562999997055158</v>
      </c>
      <c r="I98" s="1"/>
    </row>
    <row r="99" spans="2:9" ht="12.75">
      <c r="B99" s="1">
        <v>633571.67</v>
      </c>
      <c r="C99" s="1">
        <v>9195524.91</v>
      </c>
      <c r="D99" s="1"/>
      <c r="E99" s="1"/>
      <c r="F99" s="2">
        <v>0.0689</v>
      </c>
      <c r="G99" s="1">
        <f>C99*F99</f>
        <v>633571.666299</v>
      </c>
      <c r="H99" s="1">
        <f t="shared" si="3"/>
        <v>0.0037010000087320805</v>
      </c>
      <c r="I99" s="1"/>
    </row>
    <row r="100" spans="2:9" ht="12.75">
      <c r="B100" s="1"/>
      <c r="C100" s="1"/>
      <c r="D100" s="1"/>
      <c r="E100" s="1"/>
      <c r="F100" s="2">
        <f>F96</f>
        <v>11.689</v>
      </c>
      <c r="G100" s="1">
        <f>E100*F100</f>
        <v>0</v>
      </c>
      <c r="H100" s="1">
        <f t="shared" si="3"/>
        <v>0</v>
      </c>
      <c r="I100" s="1"/>
    </row>
    <row r="101" spans="2:9" ht="12.75">
      <c r="B101" s="1"/>
      <c r="C101" s="1"/>
      <c r="D101" s="1"/>
      <c r="E101" s="1"/>
      <c r="F101" s="2">
        <f>F97</f>
        <v>0.0412</v>
      </c>
      <c r="G101" s="1">
        <f>C101*F101</f>
        <v>0</v>
      </c>
      <c r="H101" s="1">
        <f t="shared" si="3"/>
        <v>0</v>
      </c>
      <c r="I101" s="1"/>
    </row>
    <row r="102" spans="2:9" ht="12.75">
      <c r="B102" s="1"/>
      <c r="C102" s="1"/>
      <c r="D102" s="1"/>
      <c r="E102" s="1"/>
      <c r="F102" s="2">
        <f>F98</f>
        <v>11.689</v>
      </c>
      <c r="G102" s="1">
        <f>E102*F102</f>
        <v>0</v>
      </c>
      <c r="H102" s="1">
        <f t="shared" si="3"/>
        <v>0</v>
      </c>
      <c r="I102" s="1"/>
    </row>
    <row r="103" spans="2:10" s="7" customFormat="1" ht="12.75">
      <c r="B103" s="8"/>
      <c r="C103" s="8"/>
      <c r="D103" s="8"/>
      <c r="E103" s="8"/>
      <c r="F103" s="9">
        <f>F99</f>
        <v>0.0689</v>
      </c>
      <c r="G103" s="8">
        <f>C103*F103</f>
        <v>0</v>
      </c>
      <c r="H103" s="8">
        <f>B103-G103</f>
        <v>0</v>
      </c>
      <c r="I103" s="8"/>
      <c r="J103" s="8"/>
    </row>
    <row r="104" spans="2:10" s="15" customFormat="1" ht="13.5" thickBot="1">
      <c r="B104" s="16">
        <f>SUM(B96:B103)</f>
        <v>1380986</v>
      </c>
      <c r="C104" s="16">
        <f>SUM(C96:C103)</f>
        <v>18444494.97</v>
      </c>
      <c r="D104" s="16">
        <f>SUM(D96:D103)</f>
        <v>0</v>
      </c>
      <c r="E104" s="16">
        <f>SUM(E96:E103)</f>
        <v>31342.010000000002</v>
      </c>
      <c r="G104" s="16">
        <f>SUM(G96:G103)</f>
        <v>1380985.987661</v>
      </c>
      <c r="H104" s="16">
        <f>SUM(H96:H103)</f>
        <v>0.01233899995122556</v>
      </c>
      <c r="I104" s="16">
        <f>I94+B104+J104</f>
        <v>5391604.54</v>
      </c>
      <c r="J104" s="16">
        <f>-8758.54+10451.62</f>
        <v>1693.08</v>
      </c>
    </row>
    <row r="106" spans="1:9" ht="12.75">
      <c r="A106" t="s">
        <v>7</v>
      </c>
      <c r="B106" s="1">
        <v>4332.52</v>
      </c>
      <c r="C106" s="1"/>
      <c r="D106" s="1"/>
      <c r="E106" s="1">
        <v>495.18</v>
      </c>
      <c r="F106" s="2">
        <v>8.7494</v>
      </c>
      <c r="G106" s="1">
        <f>E106*F106</f>
        <v>4332.527892</v>
      </c>
      <c r="H106" s="1">
        <f>B106-G106</f>
        <v>-0.007891999999628752</v>
      </c>
      <c r="I106" s="1"/>
    </row>
    <row r="107" spans="2:9" ht="12.75">
      <c r="B107" s="1">
        <v>515873.56</v>
      </c>
      <c r="C107" s="1">
        <v>16858612.98</v>
      </c>
      <c r="D107" s="1"/>
      <c r="E107" s="1"/>
      <c r="F107" s="2">
        <v>0.0306</v>
      </c>
      <c r="G107" s="1">
        <f>C107*F107</f>
        <v>515873.557188</v>
      </c>
      <c r="H107" s="1">
        <f aca="true" t="shared" si="4" ref="H107:H112">B107-G107</f>
        <v>0.0028119999915361404</v>
      </c>
      <c r="I107" s="1"/>
    </row>
    <row r="108" spans="2:9" ht="12.75">
      <c r="B108" s="1">
        <v>576098.3</v>
      </c>
      <c r="C108" s="1"/>
      <c r="D108" s="1"/>
      <c r="E108" s="1">
        <v>65844.32</v>
      </c>
      <c r="F108" s="2">
        <f>F106</f>
        <v>8.7494</v>
      </c>
      <c r="G108" s="1">
        <f>E108*F108</f>
        <v>576098.293408</v>
      </c>
      <c r="H108" s="1">
        <f t="shared" si="4"/>
        <v>0.006592000019736588</v>
      </c>
      <c r="I108" s="1"/>
    </row>
    <row r="109" spans="2:9" ht="12.75">
      <c r="B109" s="1">
        <v>1196069.24</v>
      </c>
      <c r="C109" s="1">
        <v>20551017.96</v>
      </c>
      <c r="D109" s="1"/>
      <c r="E109" s="1"/>
      <c r="F109" s="2">
        <v>0.0582</v>
      </c>
      <c r="G109" s="1">
        <f>C109*F109</f>
        <v>1196069.245272</v>
      </c>
      <c r="H109" s="1">
        <f t="shared" si="4"/>
        <v>-0.0052720000967383385</v>
      </c>
      <c r="I109" s="1"/>
    </row>
    <row r="110" spans="2:9" ht="12.75">
      <c r="B110" s="1">
        <v>-2166.26</v>
      </c>
      <c r="C110" s="1"/>
      <c r="D110" s="1"/>
      <c r="E110" s="1">
        <v>-247.59</v>
      </c>
      <c r="F110" s="2">
        <f>F106</f>
        <v>8.7494</v>
      </c>
      <c r="G110" s="1">
        <f>E110*F110</f>
        <v>-2166.263946</v>
      </c>
      <c r="H110" s="1">
        <f t="shared" si="4"/>
        <v>0.003945999999814376</v>
      </c>
      <c r="I110" s="1"/>
    </row>
    <row r="111" spans="2:9" ht="12.75">
      <c r="B111" s="1">
        <v>-257936.78</v>
      </c>
      <c r="C111" s="1">
        <v>-8429306.49</v>
      </c>
      <c r="D111" s="1"/>
      <c r="E111" s="1"/>
      <c r="F111" s="2">
        <f>F107</f>
        <v>0.0306</v>
      </c>
      <c r="G111" s="1">
        <f>C111*F111</f>
        <v>-257936.778594</v>
      </c>
      <c r="H111" s="1">
        <f t="shared" si="4"/>
        <v>-0.0014059999957680702</v>
      </c>
      <c r="I111" s="1"/>
    </row>
    <row r="112" spans="2:9" ht="12.75">
      <c r="B112" s="1">
        <v>-266227.27</v>
      </c>
      <c r="C112" s="1"/>
      <c r="D112" s="1"/>
      <c r="E112" s="1">
        <v>-30428.06</v>
      </c>
      <c r="F112" s="2">
        <f>F108</f>
        <v>8.7494</v>
      </c>
      <c r="G112" s="1">
        <f>E112*F112</f>
        <v>-266227.268164</v>
      </c>
      <c r="H112" s="1">
        <f t="shared" si="4"/>
        <v>-0.0018360000103712082</v>
      </c>
      <c r="I112" s="1"/>
    </row>
    <row r="113" spans="2:10" s="7" customFormat="1" ht="12.75">
      <c r="B113" s="8">
        <v>-598034.62</v>
      </c>
      <c r="C113" s="8">
        <v>-10275508.98</v>
      </c>
      <c r="D113" s="8"/>
      <c r="E113" s="8"/>
      <c r="F113" s="9">
        <f>F109</f>
        <v>0.0582</v>
      </c>
      <c r="G113" s="8">
        <f>C113*F113</f>
        <v>-598034.622636</v>
      </c>
      <c r="H113" s="8">
        <f>B113-G113</f>
        <v>0.0026360000483691692</v>
      </c>
      <c r="I113" s="8"/>
      <c r="J113" s="8"/>
    </row>
    <row r="114" spans="2:10" s="15" customFormat="1" ht="13.5" thickBot="1">
      <c r="B114" s="16">
        <f>SUM(B106:B113)</f>
        <v>1168008.6900000004</v>
      </c>
      <c r="C114" s="16">
        <f>SUM(C106:C113)</f>
        <v>18704815.469999995</v>
      </c>
      <c r="D114" s="16">
        <f>SUM(D106:D113)</f>
        <v>0</v>
      </c>
      <c r="E114" s="16">
        <f>SUM(E106:E113)</f>
        <v>35663.850000000006</v>
      </c>
      <c r="G114" s="16">
        <f>SUM(G106:G113)</f>
        <v>1168008.6904199999</v>
      </c>
      <c r="H114" s="16">
        <f>SUM(H106:H113)</f>
        <v>-0.000420000043050095</v>
      </c>
      <c r="I114" s="16">
        <f>I104+B114+J114</f>
        <v>6556617.510000001</v>
      </c>
      <c r="J114" s="16">
        <f>-10451.63+7455.91</f>
        <v>-2995.7199999999993</v>
      </c>
    </row>
    <row r="116" spans="1:10" ht="12.75">
      <c r="A116" t="s">
        <v>8</v>
      </c>
      <c r="I116" s="3"/>
      <c r="J116" s="1">
        <f>-7432.67+5172.68</f>
        <v>-2259.99</v>
      </c>
    </row>
    <row r="117" spans="1:10" ht="12.75">
      <c r="A117" t="s">
        <v>9</v>
      </c>
      <c r="I117" s="3"/>
      <c r="J117" s="1">
        <f>-5172.72+5970.9</f>
        <v>798.1799999999994</v>
      </c>
    </row>
    <row r="118" spans="1:10" ht="12.75">
      <c r="A118" t="s">
        <v>10</v>
      </c>
      <c r="I118" s="3"/>
      <c r="J118" s="1">
        <v>8922.18</v>
      </c>
    </row>
    <row r="121" ht="12.75">
      <c r="I121" s="3"/>
    </row>
    <row r="134" spans="1:9" ht="12.75">
      <c r="A134" t="s">
        <v>102</v>
      </c>
      <c r="B134" s="1"/>
      <c r="C134" s="1"/>
      <c r="D134" s="1"/>
      <c r="E134" s="1"/>
      <c r="F134" s="2"/>
      <c r="G134" s="1"/>
      <c r="H134" s="1"/>
      <c r="I134" s="1"/>
    </row>
    <row r="135" spans="1:9" ht="12.75">
      <c r="A135" t="s">
        <v>101</v>
      </c>
      <c r="B135" s="1"/>
      <c r="C135" s="1"/>
      <c r="D135" s="1"/>
      <c r="E135" s="1"/>
      <c r="F135" s="2"/>
      <c r="G135" s="1"/>
      <c r="H135" s="1"/>
      <c r="I135" s="1"/>
    </row>
    <row r="136" spans="1:9" ht="12.75">
      <c r="A136" t="s">
        <v>103</v>
      </c>
      <c r="B136" s="1"/>
      <c r="C136" s="1"/>
      <c r="D136" s="1"/>
      <c r="E136" s="1"/>
      <c r="F136" s="2"/>
      <c r="G136" s="1"/>
      <c r="H136" s="1"/>
      <c r="I136" s="1"/>
    </row>
    <row r="137" spans="2:9" ht="12.75">
      <c r="B137" s="1"/>
      <c r="C137" s="1"/>
      <c r="D137" s="1"/>
      <c r="E137" s="1"/>
      <c r="F137" s="2"/>
      <c r="G137" s="1"/>
      <c r="H137" s="1"/>
      <c r="I137" s="1"/>
    </row>
    <row r="138" spans="2:10" s="4" customFormat="1" ht="25.5">
      <c r="B138" s="5" t="s">
        <v>15</v>
      </c>
      <c r="C138" s="5" t="s">
        <v>16</v>
      </c>
      <c r="D138" s="5" t="s">
        <v>36</v>
      </c>
      <c r="E138" s="5" t="s">
        <v>35</v>
      </c>
      <c r="F138" s="6" t="s">
        <v>17</v>
      </c>
      <c r="G138" s="5" t="s">
        <v>18</v>
      </c>
      <c r="H138" s="5" t="s">
        <v>19</v>
      </c>
      <c r="I138" s="5" t="s">
        <v>22</v>
      </c>
      <c r="J138" s="5"/>
    </row>
    <row r="139" spans="2:9" ht="12.75">
      <c r="B139" s="1"/>
      <c r="C139" s="1"/>
      <c r="D139" s="1"/>
      <c r="E139" s="1"/>
      <c r="F139" s="2"/>
      <c r="G139" s="1"/>
      <c r="H139" s="1"/>
      <c r="I139" s="1"/>
    </row>
    <row r="140" spans="1:9" ht="12.75">
      <c r="A140" t="s">
        <v>7</v>
      </c>
      <c r="B140" s="1"/>
      <c r="C140" s="1"/>
      <c r="D140" s="1"/>
      <c r="E140" s="1"/>
      <c r="F140" s="2">
        <v>0.0052</v>
      </c>
      <c r="G140" s="1">
        <f>C140*F140</f>
        <v>0</v>
      </c>
      <c r="H140" s="1">
        <f>B140-G140</f>
        <v>0</v>
      </c>
      <c r="I140" s="1"/>
    </row>
    <row r="141" spans="2:9" ht="12.75">
      <c r="B141" s="1"/>
      <c r="C141" s="1"/>
      <c r="D141" s="1"/>
      <c r="E141" s="1"/>
      <c r="F141" s="2">
        <v>0.0052</v>
      </c>
      <c r="G141" s="1">
        <f>D141*F141</f>
        <v>0</v>
      </c>
      <c r="H141" s="1">
        <f>B141-G141</f>
        <v>0</v>
      </c>
      <c r="I141" s="1"/>
    </row>
    <row r="142" spans="2:9" ht="12.75">
      <c r="B142" s="1"/>
      <c r="C142" s="1"/>
      <c r="D142" s="1"/>
      <c r="E142" s="1"/>
      <c r="F142" s="2">
        <f>F140</f>
        <v>0.0052</v>
      </c>
      <c r="G142" s="1">
        <f>C142*F142</f>
        <v>0</v>
      </c>
      <c r="H142" s="1">
        <f>B142-G142</f>
        <v>0</v>
      </c>
      <c r="I142" s="1"/>
    </row>
    <row r="143" spans="2:10" s="7" customFormat="1" ht="12.75">
      <c r="B143" s="8"/>
      <c r="C143" s="8"/>
      <c r="D143" s="8"/>
      <c r="E143" s="8"/>
      <c r="F143" s="9">
        <f>F141</f>
        <v>0.0052</v>
      </c>
      <c r="G143" s="8">
        <f>D143*F143</f>
        <v>0</v>
      </c>
      <c r="H143" s="8">
        <f>B143-G143</f>
        <v>0</v>
      </c>
      <c r="I143" s="8"/>
      <c r="J143" s="8"/>
    </row>
    <row r="144" spans="2:9" s="16" customFormat="1" ht="13.5" thickBot="1">
      <c r="B144" s="16">
        <f>SUM(B140:B143)</f>
        <v>0</v>
      </c>
      <c r="C144" s="16">
        <f>SUM(C140:C143)</f>
        <v>0</v>
      </c>
      <c r="D144" s="16">
        <f>SUM(D140:D143)</f>
        <v>0</v>
      </c>
      <c r="E144" s="16">
        <f>SUM(E140:E143)</f>
        <v>0</v>
      </c>
      <c r="G144" s="16">
        <f>SUM(G140:G143)</f>
        <v>0</v>
      </c>
      <c r="H144" s="16">
        <f>SUM(H140:H143)</f>
        <v>0</v>
      </c>
      <c r="I144" s="16">
        <f>B144</f>
        <v>0</v>
      </c>
    </row>
    <row r="145" spans="2:9" ht="12.75">
      <c r="B145" s="1"/>
      <c r="C145" s="1"/>
      <c r="D145" s="1"/>
      <c r="E145" s="1"/>
      <c r="G145" s="1"/>
      <c r="H145" s="1"/>
      <c r="I145" s="1"/>
    </row>
    <row r="146" spans="1:9" ht="12.75">
      <c r="A146" t="s">
        <v>8</v>
      </c>
      <c r="B146" s="1">
        <v>99066.8</v>
      </c>
      <c r="C146" s="1">
        <v>19051306.56</v>
      </c>
      <c r="D146" s="1"/>
      <c r="E146" s="1"/>
      <c r="F146" s="2">
        <v>0.0052</v>
      </c>
      <c r="G146" s="1">
        <f>C146*F146</f>
        <v>99066.79411199999</v>
      </c>
      <c r="H146" s="1">
        <f>B146-G146</f>
        <v>0.0058880000142380595</v>
      </c>
      <c r="I146" s="1"/>
    </row>
    <row r="147" spans="2:9" ht="12.75">
      <c r="B147" s="1">
        <v>440.29</v>
      </c>
      <c r="C147" s="1"/>
      <c r="D147" s="1">
        <v>84672.46</v>
      </c>
      <c r="E147" s="1"/>
      <c r="F147" s="2">
        <v>0.0052</v>
      </c>
      <c r="G147" s="1">
        <f>D147*F147</f>
        <v>440.29679200000004</v>
      </c>
      <c r="H147" s="1">
        <f>B147-G147</f>
        <v>-0.006792000000018561</v>
      </c>
      <c r="I147" s="1"/>
    </row>
    <row r="148" spans="2:9" ht="12.75">
      <c r="B148" s="1"/>
      <c r="C148" s="1"/>
      <c r="D148" s="1"/>
      <c r="E148" s="1"/>
      <c r="F148" s="2">
        <f>F146</f>
        <v>0.0052</v>
      </c>
      <c r="G148" s="1">
        <f>C148*F148</f>
        <v>0</v>
      </c>
      <c r="H148" s="1">
        <f>B148-G148</f>
        <v>0</v>
      </c>
      <c r="I148" s="1"/>
    </row>
    <row r="149" spans="2:10" s="7" customFormat="1" ht="12.75">
      <c r="B149" s="8"/>
      <c r="C149" s="8"/>
      <c r="D149" s="8"/>
      <c r="E149" s="8"/>
      <c r="F149" s="9">
        <f>F147</f>
        <v>0.0052</v>
      </c>
      <c r="G149" s="8">
        <f>D149*F149</f>
        <v>0</v>
      </c>
      <c r="H149" s="8">
        <f>B149-G149</f>
        <v>0</v>
      </c>
      <c r="I149" s="8"/>
      <c r="J149" s="8"/>
    </row>
    <row r="150" spans="2:9" s="16" customFormat="1" ht="13.5" thickBot="1">
      <c r="B150" s="16">
        <f>SUM(B146:B149)</f>
        <v>99507.09</v>
      </c>
      <c r="C150" s="16">
        <f>SUM(C146:C149)</f>
        <v>19051306.56</v>
      </c>
      <c r="D150" s="16">
        <f>SUM(D146:D149)</f>
        <v>84672.46</v>
      </c>
      <c r="E150" s="16">
        <f>SUM(E146:E149)</f>
        <v>0</v>
      </c>
      <c r="G150" s="16">
        <f>SUM(G146:G149)</f>
        <v>99507.09090399998</v>
      </c>
      <c r="H150" s="16">
        <f>SUM(H146:H149)</f>
        <v>-0.0009039999857805014</v>
      </c>
      <c r="I150" s="16">
        <f>I144+B150</f>
        <v>99507.09</v>
      </c>
    </row>
    <row r="151" spans="2:9" ht="12.75">
      <c r="B151" s="1"/>
      <c r="C151" s="1"/>
      <c r="D151" s="1"/>
      <c r="E151" s="1"/>
      <c r="G151" s="1"/>
      <c r="H151" s="1"/>
      <c r="I151" s="1"/>
    </row>
    <row r="152" spans="1:9" ht="12.75">
      <c r="A152" t="s">
        <v>9</v>
      </c>
      <c r="B152" s="1">
        <v>98713.24</v>
      </c>
      <c r="C152" s="1">
        <v>18983315.34</v>
      </c>
      <c r="D152" s="1"/>
      <c r="E152" s="1"/>
      <c r="F152" s="2">
        <v>0.0052</v>
      </c>
      <c r="G152" s="1">
        <f>C152*F152</f>
        <v>98713.239768</v>
      </c>
      <c r="H152" s="1">
        <f>B152-G152</f>
        <v>0.00023200000578071922</v>
      </c>
      <c r="I152" s="1"/>
    </row>
    <row r="153" spans="2:9" ht="12.75">
      <c r="B153" s="1">
        <v>438.73</v>
      </c>
      <c r="C153" s="1"/>
      <c r="D153" s="1">
        <v>84370.28</v>
      </c>
      <c r="E153" s="1"/>
      <c r="F153" s="2">
        <v>0.0052</v>
      </c>
      <c r="G153" s="1">
        <f>D153*F153</f>
        <v>438.72545599999995</v>
      </c>
      <c r="H153" s="1">
        <f>B153-G153</f>
        <v>0.004544000000066717</v>
      </c>
      <c r="I153" s="1"/>
    </row>
    <row r="154" spans="2:9" ht="12.75">
      <c r="B154" s="1"/>
      <c r="C154" s="1"/>
      <c r="D154" s="1"/>
      <c r="E154" s="1"/>
      <c r="F154" s="2">
        <f>F152</f>
        <v>0.0052</v>
      </c>
      <c r="G154" s="1">
        <f>C154*F154</f>
        <v>0</v>
      </c>
      <c r="H154" s="1">
        <f>B154-G154</f>
        <v>0</v>
      </c>
      <c r="I154" s="1"/>
    </row>
    <row r="155" spans="2:10" s="7" customFormat="1" ht="12.75">
      <c r="B155" s="8"/>
      <c r="C155" s="8"/>
      <c r="D155" s="8"/>
      <c r="E155" s="8"/>
      <c r="F155" s="9">
        <f>F153</f>
        <v>0.0052</v>
      </c>
      <c r="G155" s="8">
        <f>D155*F155</f>
        <v>0</v>
      </c>
      <c r="H155" s="8">
        <f>B155-G155</f>
        <v>0</v>
      </c>
      <c r="I155" s="8"/>
      <c r="J155" s="8"/>
    </row>
    <row r="156" spans="2:9" s="16" customFormat="1" ht="13.5" thickBot="1">
      <c r="B156" s="16">
        <f>SUM(B152:B155)</f>
        <v>99151.97</v>
      </c>
      <c r="C156" s="16">
        <f>SUM(C152:C155)</f>
        <v>18983315.34</v>
      </c>
      <c r="D156" s="16">
        <f>SUM(D152:D155)</f>
        <v>84370.28</v>
      </c>
      <c r="E156" s="16">
        <f>SUM(E152:E155)</f>
        <v>0</v>
      </c>
      <c r="G156" s="16">
        <f>SUM(G152:G155)</f>
        <v>99151.965224</v>
      </c>
      <c r="H156" s="16">
        <f>SUM(H152:H155)</f>
        <v>0.004776000005847436</v>
      </c>
      <c r="I156" s="16">
        <f>I150+B156</f>
        <v>198659.06</v>
      </c>
    </row>
    <row r="157" spans="2:9" ht="12.75">
      <c r="B157" s="1"/>
      <c r="C157" s="1"/>
      <c r="D157" s="1"/>
      <c r="E157" s="1"/>
      <c r="G157" s="1"/>
      <c r="H157" s="1"/>
      <c r="I157" s="1"/>
    </row>
    <row r="158" spans="1:9" ht="12.75">
      <c r="A158" t="s">
        <v>10</v>
      </c>
      <c r="B158" s="1">
        <v>100498.06</v>
      </c>
      <c r="C158" s="1">
        <v>19326547.35</v>
      </c>
      <c r="D158" s="1"/>
      <c r="E158" s="1"/>
      <c r="F158" s="2">
        <v>0.0052</v>
      </c>
      <c r="G158" s="1">
        <f>C158*F158</f>
        <v>100498.04622</v>
      </c>
      <c r="H158" s="1">
        <f>B158-G158</f>
        <v>0.013779999993857928</v>
      </c>
      <c r="I158" s="1"/>
    </row>
    <row r="159" spans="2:9" ht="12.75">
      <c r="B159" s="1">
        <v>446.66</v>
      </c>
      <c r="C159" s="1"/>
      <c r="D159" s="1">
        <v>85895.75</v>
      </c>
      <c r="E159" s="1"/>
      <c r="F159" s="2">
        <v>0.0052</v>
      </c>
      <c r="G159" s="1">
        <f>D159*F159</f>
        <v>446.6579</v>
      </c>
      <c r="H159" s="1">
        <f>B159-G159</f>
        <v>0.002100000000041291</v>
      </c>
      <c r="I159" s="1"/>
    </row>
    <row r="160" spans="2:9" ht="12.75">
      <c r="B160" s="1"/>
      <c r="C160" s="1"/>
      <c r="D160" s="1"/>
      <c r="E160" s="1"/>
      <c r="F160" s="2">
        <f>F158</f>
        <v>0.0052</v>
      </c>
      <c r="G160" s="1">
        <f>C160*F160</f>
        <v>0</v>
      </c>
      <c r="H160" s="1">
        <f>B160-G160</f>
        <v>0</v>
      </c>
      <c r="I160" s="1"/>
    </row>
    <row r="161" spans="2:10" s="7" customFormat="1" ht="12.75">
      <c r="B161" s="8"/>
      <c r="C161" s="8"/>
      <c r="D161" s="8"/>
      <c r="E161" s="8"/>
      <c r="F161" s="9">
        <f>F159</f>
        <v>0.0052</v>
      </c>
      <c r="G161" s="8">
        <f>D161*F161</f>
        <v>0</v>
      </c>
      <c r="H161" s="8">
        <f>B161-G161</f>
        <v>0</v>
      </c>
      <c r="I161" s="8"/>
      <c r="J161" s="8"/>
    </row>
    <row r="162" spans="2:9" s="16" customFormat="1" ht="13.5" thickBot="1">
      <c r="B162" s="16">
        <f>SUM(B158:B161)</f>
        <v>100944.72</v>
      </c>
      <c r="C162" s="16">
        <f>SUM(C158:C161)</f>
        <v>19326547.35</v>
      </c>
      <c r="D162" s="16">
        <f>SUM(D158:D161)</f>
        <v>85895.75</v>
      </c>
      <c r="E162" s="16">
        <f>SUM(E158:E161)</f>
        <v>0</v>
      </c>
      <c r="G162" s="16">
        <f>SUM(G158:G161)</f>
        <v>100944.70412000001</v>
      </c>
      <c r="H162" s="16">
        <f>SUM(H158:H161)</f>
        <v>0.01587999999389922</v>
      </c>
      <c r="I162" s="16">
        <f>I156+B162</f>
        <v>299603.78</v>
      </c>
    </row>
    <row r="164" spans="1:9" ht="12.75">
      <c r="A164" t="s">
        <v>11</v>
      </c>
      <c r="B164" s="1">
        <v>106340.31</v>
      </c>
      <c r="C164" s="1">
        <v>20450057.76</v>
      </c>
      <c r="D164" s="1"/>
      <c r="E164" s="1"/>
      <c r="F164" s="2">
        <v>0.0052</v>
      </c>
      <c r="G164" s="1">
        <f>C164*F164</f>
        <v>106340.300352</v>
      </c>
      <c r="H164" s="1">
        <f>B164-G164</f>
        <v>0.009647999992012046</v>
      </c>
      <c r="I164" s="1"/>
    </row>
    <row r="165" spans="2:9" ht="12.75">
      <c r="B165" s="1">
        <v>472.62</v>
      </c>
      <c r="C165" s="1"/>
      <c r="D165" s="1">
        <v>90889.13</v>
      </c>
      <c r="E165" s="1"/>
      <c r="F165" s="2">
        <v>0.0052</v>
      </c>
      <c r="G165" s="1">
        <f>D165*F165</f>
        <v>472.623476</v>
      </c>
      <c r="H165" s="1">
        <f>B165-G165</f>
        <v>-0.00347599999997783</v>
      </c>
      <c r="I165" s="1"/>
    </row>
    <row r="166" spans="2:9" ht="12.75">
      <c r="B166" s="1"/>
      <c r="C166" s="1"/>
      <c r="D166" s="1"/>
      <c r="E166" s="1"/>
      <c r="F166" s="2">
        <f>F164</f>
        <v>0.0052</v>
      </c>
      <c r="G166" s="1">
        <f>C166*F166</f>
        <v>0</v>
      </c>
      <c r="H166" s="1">
        <f>B166-G166</f>
        <v>0</v>
      </c>
      <c r="I166" s="1"/>
    </row>
    <row r="167" spans="2:10" s="7" customFormat="1" ht="12.75">
      <c r="B167" s="8"/>
      <c r="C167" s="8"/>
      <c r="D167" s="8"/>
      <c r="E167" s="8"/>
      <c r="F167" s="9">
        <f>F165</f>
        <v>0.0052</v>
      </c>
      <c r="G167" s="8">
        <f>D167*F167</f>
        <v>0</v>
      </c>
      <c r="H167" s="8">
        <f>B167-G167</f>
        <v>0</v>
      </c>
      <c r="I167" s="8"/>
      <c r="J167" s="8"/>
    </row>
    <row r="168" spans="2:9" s="16" customFormat="1" ht="13.5" thickBot="1">
      <c r="B168" s="16">
        <f>SUM(B164:B167)</f>
        <v>106812.93</v>
      </c>
      <c r="C168" s="16">
        <f>SUM(C164:C167)</f>
        <v>20450057.76</v>
      </c>
      <c r="D168" s="16">
        <f>SUM(D164:D167)</f>
        <v>90889.13</v>
      </c>
      <c r="E168" s="16">
        <f>SUM(E164:E167)</f>
        <v>0</v>
      </c>
      <c r="G168" s="16">
        <f>SUM(G164:G167)</f>
        <v>106812.923828</v>
      </c>
      <c r="H168" s="16">
        <f>SUM(H164:H167)</f>
        <v>0.006171999992034216</v>
      </c>
      <c r="I168" s="16">
        <f>I162+B168</f>
        <v>406416.71</v>
      </c>
    </row>
    <row r="170" spans="1:9" ht="12.75">
      <c r="A170" t="s">
        <v>12</v>
      </c>
      <c r="B170" s="1">
        <v>104517.81</v>
      </c>
      <c r="C170" s="1">
        <v>20099577.96</v>
      </c>
      <c r="D170" s="1"/>
      <c r="E170" s="1"/>
      <c r="F170" s="2">
        <v>0.0052</v>
      </c>
      <c r="G170" s="1">
        <f>C170*F170</f>
        <v>104517.805392</v>
      </c>
      <c r="H170" s="1">
        <f>B170-G170</f>
        <v>0.004608000002917834</v>
      </c>
      <c r="I170" s="1"/>
    </row>
    <row r="171" spans="2:9" ht="12.75">
      <c r="B171" s="1">
        <v>464.52</v>
      </c>
      <c r="C171" s="1"/>
      <c r="D171" s="1">
        <v>89331.44</v>
      </c>
      <c r="E171" s="1"/>
      <c r="F171" s="2">
        <v>0.0052</v>
      </c>
      <c r="G171" s="1">
        <f>D171*F171</f>
        <v>464.523488</v>
      </c>
      <c r="H171" s="1">
        <f>B171-G171</f>
        <v>-0.0034880000000043765</v>
      </c>
      <c r="I171" s="1"/>
    </row>
    <row r="172" spans="2:9" ht="12.75">
      <c r="B172" s="1"/>
      <c r="C172" s="1"/>
      <c r="D172" s="1"/>
      <c r="E172" s="1"/>
      <c r="F172" s="2">
        <f>F170</f>
        <v>0.0052</v>
      </c>
      <c r="G172" s="1">
        <f>C172*F172</f>
        <v>0</v>
      </c>
      <c r="H172" s="1">
        <f>B172-G172</f>
        <v>0</v>
      </c>
      <c r="I172" s="1"/>
    </row>
    <row r="173" spans="2:10" s="7" customFormat="1" ht="12.75">
      <c r="B173" s="8"/>
      <c r="C173" s="8"/>
      <c r="D173" s="8"/>
      <c r="E173" s="8"/>
      <c r="F173" s="9">
        <f>F171</f>
        <v>0.0052</v>
      </c>
      <c r="G173" s="8">
        <f>D173*F173</f>
        <v>0</v>
      </c>
      <c r="H173" s="8">
        <f>B173-G173</f>
        <v>0</v>
      </c>
      <c r="I173" s="8"/>
      <c r="J173" s="8"/>
    </row>
    <row r="174" spans="2:9" s="16" customFormat="1" ht="13.5" thickBot="1">
      <c r="B174" s="16">
        <f>SUM(B170:B173)</f>
        <v>104982.33</v>
      </c>
      <c r="C174" s="16">
        <f>SUM(C170:C173)</f>
        <v>20099577.96</v>
      </c>
      <c r="D174" s="16">
        <f>SUM(D170:D173)</f>
        <v>89331.44</v>
      </c>
      <c r="E174" s="16">
        <f>SUM(E170:E173)</f>
        <v>0</v>
      </c>
      <c r="G174" s="16">
        <f>SUM(G170:G173)</f>
        <v>104982.32888</v>
      </c>
      <c r="H174" s="16">
        <f>SUM(H170:H173)</f>
        <v>0.0011200000029134571</v>
      </c>
      <c r="I174" s="16">
        <f>I168+B174</f>
        <v>511399.04000000004</v>
      </c>
    </row>
    <row r="176" spans="1:9" ht="12.75">
      <c r="A176" t="s">
        <v>13</v>
      </c>
      <c r="B176" s="1">
        <v>104985.66</v>
      </c>
      <c r="C176" s="1">
        <v>20189549.16</v>
      </c>
      <c r="D176" s="1"/>
      <c r="E176" s="1"/>
      <c r="F176" s="2">
        <v>0.0052</v>
      </c>
      <c r="G176" s="1">
        <f>C176*F176</f>
        <v>104985.655632</v>
      </c>
      <c r="H176" s="1">
        <f>B176-G176</f>
        <v>0.004368000008980744</v>
      </c>
      <c r="I176" s="1"/>
    </row>
    <row r="177" spans="2:9" ht="12.75">
      <c r="B177" s="1">
        <v>466.6</v>
      </c>
      <c r="C177" s="1"/>
      <c r="D177" s="1">
        <v>89731.31</v>
      </c>
      <c r="E177" s="1"/>
      <c r="F177" s="2">
        <v>0.0052</v>
      </c>
      <c r="G177" s="1">
        <f>D177*F177</f>
        <v>466.602812</v>
      </c>
      <c r="H177" s="1">
        <f>B177-G177</f>
        <v>-0.0028119999999489664</v>
      </c>
      <c r="I177" s="1"/>
    </row>
    <row r="178" spans="2:9" ht="12.75">
      <c r="B178" s="1"/>
      <c r="C178" s="1"/>
      <c r="D178" s="1"/>
      <c r="E178" s="1"/>
      <c r="F178" s="2">
        <f>F176</f>
        <v>0.0052</v>
      </c>
      <c r="G178" s="1">
        <f>C178*F178</f>
        <v>0</v>
      </c>
      <c r="H178" s="1">
        <f>B178-G178</f>
        <v>0</v>
      </c>
      <c r="I178" s="1"/>
    </row>
    <row r="179" spans="2:10" s="7" customFormat="1" ht="12.75">
      <c r="B179" s="8"/>
      <c r="C179" s="8"/>
      <c r="D179" s="8"/>
      <c r="E179" s="8"/>
      <c r="F179" s="9">
        <f>F177</f>
        <v>0.0052</v>
      </c>
      <c r="G179" s="8">
        <f>D179*F179</f>
        <v>0</v>
      </c>
      <c r="H179" s="8">
        <f>B179-G179</f>
        <v>0</v>
      </c>
      <c r="I179" s="8"/>
      <c r="J179" s="8"/>
    </row>
    <row r="180" spans="2:9" s="16" customFormat="1" ht="13.5" thickBot="1">
      <c r="B180" s="16">
        <f>SUM(B176:B179)</f>
        <v>105452.26000000001</v>
      </c>
      <c r="C180" s="16">
        <f>SUM(C176:C179)</f>
        <v>20189549.16</v>
      </c>
      <c r="D180" s="16">
        <f>SUM(D176:D179)</f>
        <v>89731.31</v>
      </c>
      <c r="E180" s="16">
        <f>SUM(E176:E179)</f>
        <v>0</v>
      </c>
      <c r="G180" s="16">
        <f>SUM(G176:G179)</f>
        <v>105452.25844399999</v>
      </c>
      <c r="H180" s="16">
        <f>SUM(H176:H179)</f>
        <v>0.0015560000090317772</v>
      </c>
      <c r="I180" s="16">
        <f>I174+B180</f>
        <v>616851.3</v>
      </c>
    </row>
    <row r="182" spans="1:9" ht="12.75">
      <c r="A182" t="s">
        <v>14</v>
      </c>
      <c r="B182" s="1">
        <v>97562.98</v>
      </c>
      <c r="C182" s="1">
        <v>18762111.72</v>
      </c>
      <c r="D182" s="1"/>
      <c r="E182" s="1"/>
      <c r="F182" s="2">
        <v>0.0052</v>
      </c>
      <c r="G182" s="1">
        <f>C182*F182</f>
        <v>97562.980944</v>
      </c>
      <c r="H182" s="1">
        <f>B182-G182</f>
        <v>-0.0009439999994356185</v>
      </c>
      <c r="I182" s="1"/>
    </row>
    <row r="183" spans="2:9" ht="12.75">
      <c r="B183" s="1">
        <v>433.61</v>
      </c>
      <c r="C183" s="1"/>
      <c r="D183" s="1">
        <v>83387.15</v>
      </c>
      <c r="E183" s="1"/>
      <c r="F183" s="2">
        <v>0.0052</v>
      </c>
      <c r="G183" s="1">
        <f>D183*F183</f>
        <v>433.61317999999994</v>
      </c>
      <c r="H183" s="1">
        <f>B183-G183</f>
        <v>-0.0031799999999293505</v>
      </c>
      <c r="I183" s="1"/>
    </row>
    <row r="184" spans="2:9" ht="12.75">
      <c r="B184" s="1"/>
      <c r="C184" s="1"/>
      <c r="D184" s="1"/>
      <c r="E184" s="1"/>
      <c r="F184" s="2">
        <f>F182</f>
        <v>0.0052</v>
      </c>
      <c r="G184" s="1">
        <f>C184*F184</f>
        <v>0</v>
      </c>
      <c r="H184" s="1">
        <f>B184-G184</f>
        <v>0</v>
      </c>
      <c r="I184" s="1"/>
    </row>
    <row r="185" spans="2:10" s="7" customFormat="1" ht="12.75">
      <c r="B185" s="8"/>
      <c r="C185" s="8"/>
      <c r="D185" s="8"/>
      <c r="E185" s="8"/>
      <c r="F185" s="9">
        <f>F183</f>
        <v>0.0052</v>
      </c>
      <c r="G185" s="8">
        <f>D185*F185</f>
        <v>0</v>
      </c>
      <c r="H185" s="8">
        <f>B185-G185</f>
        <v>0</v>
      </c>
      <c r="I185" s="8"/>
      <c r="J185" s="8"/>
    </row>
    <row r="186" spans="2:9" s="16" customFormat="1" ht="13.5" thickBot="1">
      <c r="B186" s="16">
        <f>SUM(B182:B185)</f>
        <v>97996.59</v>
      </c>
      <c r="C186" s="16">
        <f>SUM(C182:C185)</f>
        <v>18762111.72</v>
      </c>
      <c r="D186" s="16">
        <f>SUM(D182:D185)</f>
        <v>83387.15</v>
      </c>
      <c r="E186" s="16">
        <f>SUM(E182:E185)</f>
        <v>0</v>
      </c>
      <c r="G186" s="16">
        <f>SUM(G182:G185)</f>
        <v>97996.594124</v>
      </c>
      <c r="H186" s="16">
        <f>SUM(H182:H185)</f>
        <v>-0.004123999999364969</v>
      </c>
      <c r="I186" s="16">
        <f>I180+B186</f>
        <v>714847.89</v>
      </c>
    </row>
    <row r="188" ht="12.75">
      <c r="I188" s="1">
        <v>714847.89</v>
      </c>
    </row>
    <row r="189" ht="12.75">
      <c r="I189" s="1">
        <f>I186-I188</f>
        <v>0</v>
      </c>
    </row>
    <row r="193" spans="1:9" ht="12.75">
      <c r="A193" t="s">
        <v>60</v>
      </c>
      <c r="B193" s="1"/>
      <c r="C193" s="1"/>
      <c r="D193" s="1"/>
      <c r="E193" s="1"/>
      <c r="F193" s="2"/>
      <c r="G193" s="1"/>
      <c r="H193" s="1"/>
      <c r="I193" s="1"/>
    </row>
    <row r="194" spans="1:9" ht="12.75">
      <c r="A194" t="s">
        <v>61</v>
      </c>
      <c r="B194" s="1"/>
      <c r="C194" s="1"/>
      <c r="D194" s="1"/>
      <c r="E194" s="1"/>
      <c r="F194" s="2"/>
      <c r="G194" s="1"/>
      <c r="H194" s="1"/>
      <c r="I194" s="1"/>
    </row>
    <row r="195" spans="1:9" ht="12.75">
      <c r="A195" t="s">
        <v>62</v>
      </c>
      <c r="B195" s="1"/>
      <c r="C195" s="1"/>
      <c r="D195" s="1"/>
      <c r="E195" s="1"/>
      <c r="F195" s="2"/>
      <c r="G195" s="1"/>
      <c r="H195" s="1"/>
      <c r="I195" s="1"/>
    </row>
    <row r="196" spans="2:9" ht="12.75">
      <c r="B196" s="1"/>
      <c r="C196" s="1"/>
      <c r="D196" s="1"/>
      <c r="E196" s="1"/>
      <c r="F196" s="2"/>
      <c r="G196" s="1"/>
      <c r="H196" s="1"/>
      <c r="I196" s="1"/>
    </row>
    <row r="197" spans="2:10" s="4" customFormat="1" ht="25.5">
      <c r="B197" s="5" t="s">
        <v>15</v>
      </c>
      <c r="C197" s="5" t="s">
        <v>16</v>
      </c>
      <c r="D197" s="5" t="s">
        <v>36</v>
      </c>
      <c r="E197" s="5" t="s">
        <v>35</v>
      </c>
      <c r="F197" s="6" t="s">
        <v>17</v>
      </c>
      <c r="G197" s="5" t="s">
        <v>18</v>
      </c>
      <c r="H197" s="5" t="s">
        <v>19</v>
      </c>
      <c r="I197" s="5" t="s">
        <v>22</v>
      </c>
      <c r="J197" s="5"/>
    </row>
    <row r="198" spans="2:9" ht="12.75">
      <c r="B198" s="1"/>
      <c r="C198" s="1"/>
      <c r="D198" s="1"/>
      <c r="E198" s="1"/>
      <c r="F198" s="2"/>
      <c r="G198" s="1"/>
      <c r="H198" s="1"/>
      <c r="I198" s="1"/>
    </row>
    <row r="199" spans="1:9" ht="12.75">
      <c r="A199" t="s">
        <v>3</v>
      </c>
      <c r="B199" s="1"/>
      <c r="C199" s="1"/>
      <c r="D199" s="1"/>
      <c r="E199" s="1"/>
      <c r="F199" s="2">
        <v>-0.6</v>
      </c>
      <c r="G199" s="1">
        <f>E199*F199</f>
        <v>0</v>
      </c>
      <c r="H199" s="1">
        <f>B199-G199</f>
        <v>0</v>
      </c>
      <c r="I199" s="1"/>
    </row>
    <row r="200" spans="2:9" ht="12.75">
      <c r="B200" s="1"/>
      <c r="C200" s="1"/>
      <c r="D200" s="1"/>
      <c r="E200" s="1"/>
      <c r="F200" s="2">
        <v>-0.6</v>
      </c>
      <c r="G200" s="1">
        <f>E200*F200</f>
        <v>0</v>
      </c>
      <c r="H200" s="1">
        <f>B200-G200</f>
        <v>0</v>
      </c>
      <c r="I200" s="1"/>
    </row>
    <row r="201" spans="2:10" s="7" customFormat="1" ht="12.75">
      <c r="B201" s="8"/>
      <c r="C201" s="8"/>
      <c r="D201" s="8"/>
      <c r="E201" s="8"/>
      <c r="F201" s="9">
        <v>-1.56</v>
      </c>
      <c r="G201" s="8">
        <f>E201*F201</f>
        <v>0</v>
      </c>
      <c r="H201" s="8">
        <f>B201-G201</f>
        <v>0</v>
      </c>
      <c r="I201" s="8"/>
      <c r="J201" s="8"/>
    </row>
    <row r="202" spans="2:9" s="16" customFormat="1" ht="13.5" thickBot="1">
      <c r="B202" s="16">
        <f>SUM(B199:B201)</f>
        <v>0</v>
      </c>
      <c r="C202" s="16">
        <f>SUM(C199:C201)</f>
        <v>0</v>
      </c>
      <c r="D202" s="16">
        <f>SUM(D199:D201)</f>
        <v>0</v>
      </c>
      <c r="E202" s="16">
        <f>SUM(E199:E201)</f>
        <v>0</v>
      </c>
      <c r="G202" s="16">
        <f>SUM(G199:G201)</f>
        <v>0</v>
      </c>
      <c r="H202" s="16">
        <f>SUM(H199:H201)</f>
        <v>0</v>
      </c>
      <c r="I202" s="16">
        <f>B202</f>
        <v>0</v>
      </c>
    </row>
    <row r="203" spans="2:9" ht="12.75">
      <c r="B203" s="1"/>
      <c r="C203" s="1"/>
      <c r="D203" s="1"/>
      <c r="E203" s="1"/>
      <c r="F203" s="2"/>
      <c r="G203" s="1"/>
      <c r="H203" s="1"/>
      <c r="I203" s="1"/>
    </row>
    <row r="204" spans="1:9" ht="12.75">
      <c r="A204" t="s">
        <v>4</v>
      </c>
      <c r="B204" s="1">
        <v>-25070.36</v>
      </c>
      <c r="C204" s="1"/>
      <c r="D204" s="1"/>
      <c r="E204" s="1">
        <v>41783.94</v>
      </c>
      <c r="F204" s="2">
        <v>-0.6</v>
      </c>
      <c r="G204" s="1">
        <f>E204*F204</f>
        <v>-25070.364</v>
      </c>
      <c r="H204" s="1">
        <f>B204-G204</f>
        <v>0.004000000000814907</v>
      </c>
      <c r="I204" s="1"/>
    </row>
    <row r="205" spans="2:9" ht="12.75">
      <c r="B205" s="1">
        <v>6450.84</v>
      </c>
      <c r="C205" s="1"/>
      <c r="D205" s="1"/>
      <c r="E205" s="1">
        <v>-10751.4</v>
      </c>
      <c r="F205" s="2">
        <v>-0.6</v>
      </c>
      <c r="G205" s="1">
        <f>E205*F205</f>
        <v>6450.839999999999</v>
      </c>
      <c r="H205" s="1">
        <f>B205-G205</f>
        <v>0</v>
      </c>
      <c r="I205" s="1"/>
    </row>
    <row r="206" spans="2:10" s="7" customFormat="1" ht="12.75">
      <c r="B206" s="8"/>
      <c r="C206" s="8"/>
      <c r="D206" s="8"/>
      <c r="E206" s="8"/>
      <c r="F206" s="9"/>
      <c r="G206" s="8">
        <f>E206*F206</f>
        <v>0</v>
      </c>
      <c r="H206" s="8">
        <f>B206-G206</f>
        <v>0</v>
      </c>
      <c r="I206" s="8"/>
      <c r="J206" s="8"/>
    </row>
    <row r="207" spans="2:9" s="16" customFormat="1" ht="13.5" thickBot="1">
      <c r="B207" s="16">
        <f>SUM(B204:B206)</f>
        <v>-18619.52</v>
      </c>
      <c r="C207" s="16">
        <f>SUM(C204:C206)</f>
        <v>0</v>
      </c>
      <c r="D207" s="16">
        <f>SUM(D204:D206)</f>
        <v>0</v>
      </c>
      <c r="E207" s="16">
        <f>SUM(E204:E206)</f>
        <v>31032.54</v>
      </c>
      <c r="G207" s="16">
        <f>SUM(G204:G206)</f>
        <v>-18619.524</v>
      </c>
      <c r="H207" s="16">
        <f>SUM(H204:H206)</f>
        <v>0.004000000000814907</v>
      </c>
      <c r="I207" s="16">
        <f>I202+B207</f>
        <v>-18619.52</v>
      </c>
    </row>
    <row r="208" spans="2:9" ht="12.75">
      <c r="B208" s="1"/>
      <c r="C208" s="1"/>
      <c r="D208" s="1"/>
      <c r="E208" s="1"/>
      <c r="G208" s="1"/>
      <c r="H208" s="1"/>
      <c r="I208" s="1"/>
    </row>
    <row r="209" spans="1:9" ht="12.75">
      <c r="A209" t="s">
        <v>5</v>
      </c>
      <c r="B209" s="1">
        <v>-18933.04</v>
      </c>
      <c r="C209" s="1"/>
      <c r="D209" s="1"/>
      <c r="E209" s="1">
        <v>31555.06</v>
      </c>
      <c r="F209" s="2">
        <v>-0.6</v>
      </c>
      <c r="G209" s="1">
        <f>E209*F209</f>
        <v>-18933.036</v>
      </c>
      <c r="H209" s="1">
        <f>B209-G209</f>
        <v>-0.004000000000814907</v>
      </c>
      <c r="I209" s="1"/>
    </row>
    <row r="210" spans="2:9" ht="12.75">
      <c r="B210" s="1"/>
      <c r="C210" s="1"/>
      <c r="D210" s="1"/>
      <c r="E210" s="1"/>
      <c r="F210" s="2">
        <v>-0.6</v>
      </c>
      <c r="G210" s="1">
        <f>E210*F210</f>
        <v>0</v>
      </c>
      <c r="H210" s="1">
        <f>B210-G210</f>
        <v>0</v>
      </c>
      <c r="I210" s="1"/>
    </row>
    <row r="211" spans="2:10" s="7" customFormat="1" ht="12.75">
      <c r="B211" s="8"/>
      <c r="C211" s="8"/>
      <c r="D211" s="8"/>
      <c r="E211" s="8"/>
      <c r="F211" s="9"/>
      <c r="G211" s="8">
        <f>E211*F211</f>
        <v>0</v>
      </c>
      <c r="H211" s="8">
        <f>B211-G211</f>
        <v>0</v>
      </c>
      <c r="I211" s="8"/>
      <c r="J211" s="8"/>
    </row>
    <row r="212" spans="2:9" s="16" customFormat="1" ht="13.5" thickBot="1">
      <c r="B212" s="16">
        <f>SUM(B209:B211)</f>
        <v>-18933.04</v>
      </c>
      <c r="C212" s="16">
        <f>SUM(C209:C211)</f>
        <v>0</v>
      </c>
      <c r="D212" s="16">
        <f>SUM(D209:D211)</f>
        <v>0</v>
      </c>
      <c r="E212" s="16">
        <f>SUM(E209:E211)</f>
        <v>31555.06</v>
      </c>
      <c r="G212" s="16">
        <f>SUM(G209:G211)</f>
        <v>-18933.036</v>
      </c>
      <c r="H212" s="16">
        <f>SUM(H209:H211)</f>
        <v>-0.004000000000814907</v>
      </c>
      <c r="I212" s="16">
        <f>I207+B212</f>
        <v>-37552.56</v>
      </c>
    </row>
    <row r="213" spans="2:9" ht="12.75">
      <c r="B213" s="1"/>
      <c r="C213" s="1"/>
      <c r="D213" s="1"/>
      <c r="E213" s="1"/>
      <c r="G213" s="1"/>
      <c r="H213" s="1"/>
      <c r="I213" s="1"/>
    </row>
    <row r="214" spans="1:9" ht="12.75">
      <c r="A214" t="s">
        <v>6</v>
      </c>
      <c r="B214" s="1">
        <v>-18805.21</v>
      </c>
      <c r="C214" s="1"/>
      <c r="D214" s="1"/>
      <c r="E214" s="1">
        <v>31342.01</v>
      </c>
      <c r="F214" s="2">
        <v>-0.6</v>
      </c>
      <c r="G214" s="1">
        <f>E214*F214</f>
        <v>-18805.206</v>
      </c>
      <c r="H214" s="1">
        <f>B214-G214</f>
        <v>-0.004000000000814907</v>
      </c>
      <c r="I214" s="1"/>
    </row>
    <row r="215" spans="2:10" s="7" customFormat="1" ht="12.75">
      <c r="B215" s="8"/>
      <c r="C215" s="8"/>
      <c r="D215" s="8"/>
      <c r="E215" s="8"/>
      <c r="F215" s="9"/>
      <c r="G215" s="8">
        <f>E215*F215</f>
        <v>0</v>
      </c>
      <c r="H215" s="8">
        <f>B215-G215</f>
        <v>0</v>
      </c>
      <c r="I215" s="8"/>
      <c r="J215" s="8"/>
    </row>
    <row r="216" spans="2:9" s="16" customFormat="1" ht="13.5" thickBot="1">
      <c r="B216" s="16">
        <f>SUM(B214:B215)</f>
        <v>-18805.21</v>
      </c>
      <c r="C216" s="16">
        <f>SUM(C214:C215)</f>
        <v>0</v>
      </c>
      <c r="D216" s="16">
        <f>SUM(D214:D215)</f>
        <v>0</v>
      </c>
      <c r="E216" s="16">
        <f>SUM(E214:E215)</f>
        <v>31342.01</v>
      </c>
      <c r="G216" s="16">
        <f>SUM(G214:G215)</f>
        <v>-18805.206</v>
      </c>
      <c r="H216" s="16">
        <f>SUM(H214:H215)</f>
        <v>-0.004000000000814907</v>
      </c>
      <c r="I216" s="16">
        <f>I212+B216</f>
        <v>-56357.77</v>
      </c>
    </row>
    <row r="217" spans="2:9" ht="12.75">
      <c r="B217" s="1"/>
      <c r="C217" s="1"/>
      <c r="D217" s="1"/>
      <c r="E217" s="1"/>
      <c r="G217" s="1"/>
      <c r="H217" s="1"/>
      <c r="I217" s="1"/>
    </row>
    <row r="218" spans="1:9" ht="12.75">
      <c r="A218" t="s">
        <v>7</v>
      </c>
      <c r="B218" s="1">
        <v>-39803.7</v>
      </c>
      <c r="C218" s="1"/>
      <c r="D218" s="1"/>
      <c r="E218" s="1">
        <v>66339.5</v>
      </c>
      <c r="F218" s="2">
        <v>-0.6</v>
      </c>
      <c r="G218" s="1">
        <f>E218*F218</f>
        <v>-39803.7</v>
      </c>
      <c r="H218" s="1">
        <f>B218-G218</f>
        <v>0</v>
      </c>
      <c r="I218" s="1"/>
    </row>
    <row r="219" spans="2:9" ht="12.75">
      <c r="B219" s="1">
        <v>18405.39</v>
      </c>
      <c r="C219" s="1"/>
      <c r="D219" s="1"/>
      <c r="E219" s="1">
        <v>-30675.65</v>
      </c>
      <c r="F219" s="2">
        <v>-0.6</v>
      </c>
      <c r="G219" s="1">
        <f>E219*F219</f>
        <v>18405.39</v>
      </c>
      <c r="H219" s="1">
        <f>B219-G219</f>
        <v>0</v>
      </c>
      <c r="I219" s="1"/>
    </row>
    <row r="220" spans="2:10" s="7" customFormat="1" ht="12.75">
      <c r="B220" s="8"/>
      <c r="C220" s="8"/>
      <c r="D220" s="8"/>
      <c r="E220" s="8"/>
      <c r="F220" s="9"/>
      <c r="G220" s="8">
        <f>E220*F220</f>
        <v>0</v>
      </c>
      <c r="H220" s="8">
        <f>B220-G220</f>
        <v>0</v>
      </c>
      <c r="I220" s="8"/>
      <c r="J220" s="8"/>
    </row>
    <row r="221" spans="2:9" s="16" customFormat="1" ht="13.5" thickBot="1">
      <c r="B221" s="16">
        <f>SUM(B218:B220)</f>
        <v>-21398.309999999998</v>
      </c>
      <c r="C221" s="16">
        <f>SUM(C218:C220)</f>
        <v>0</v>
      </c>
      <c r="D221" s="16">
        <f>SUM(D218:D220)</f>
        <v>0</v>
      </c>
      <c r="E221" s="16">
        <f>SUM(E218:E220)</f>
        <v>35663.85</v>
      </c>
      <c r="G221" s="16">
        <f>SUM(G218:G220)</f>
        <v>-21398.309999999998</v>
      </c>
      <c r="H221" s="16">
        <f>SUM(H218:H220)</f>
        <v>0</v>
      </c>
      <c r="I221" s="16">
        <f>I216+B221</f>
        <v>-77756.07999999999</v>
      </c>
    </row>
    <row r="222" spans="2:9" ht="12.75">
      <c r="B222" s="1"/>
      <c r="C222" s="1"/>
      <c r="D222" s="1"/>
      <c r="E222" s="1"/>
      <c r="G222" s="1"/>
      <c r="H222" s="1"/>
      <c r="I222" s="1"/>
    </row>
    <row r="223" spans="1:9" ht="12.75">
      <c r="A223" t="s">
        <v>8</v>
      </c>
      <c r="B223" s="1">
        <v>-20867.1</v>
      </c>
      <c r="C223" s="1"/>
      <c r="D223" s="1"/>
      <c r="E223" s="1">
        <v>34778.5</v>
      </c>
      <c r="F223" s="2">
        <v>-0.6</v>
      </c>
      <c r="G223" s="1">
        <f>E223*F223</f>
        <v>-20867.1</v>
      </c>
      <c r="H223" s="1">
        <f>B223-G223</f>
        <v>0</v>
      </c>
      <c r="I223" s="1"/>
    </row>
    <row r="224" spans="2:10" s="7" customFormat="1" ht="12.75">
      <c r="B224" s="8"/>
      <c r="C224" s="8"/>
      <c r="D224" s="8"/>
      <c r="E224" s="8"/>
      <c r="F224" s="9">
        <v>-0.6</v>
      </c>
      <c r="G224" s="8">
        <f>E224*F224</f>
        <v>0</v>
      </c>
      <c r="H224" s="8">
        <f>B224-G224</f>
        <v>0</v>
      </c>
      <c r="I224" s="8"/>
      <c r="J224" s="8"/>
    </row>
    <row r="225" spans="2:9" s="16" customFormat="1" ht="13.5" thickBot="1">
      <c r="B225" s="16">
        <f>SUM(B223:B224)</f>
        <v>-20867.1</v>
      </c>
      <c r="C225" s="16">
        <f>SUM(C223:C224)</f>
        <v>0</v>
      </c>
      <c r="D225" s="16">
        <f>SUM(D223:D224)</f>
        <v>0</v>
      </c>
      <c r="E225" s="16">
        <f>SUM(E223:E224)</f>
        <v>34778.5</v>
      </c>
      <c r="G225" s="16">
        <f>SUM(G223:G224)</f>
        <v>-20867.1</v>
      </c>
      <c r="H225" s="16">
        <f>SUM(H223:H224)</f>
        <v>0</v>
      </c>
      <c r="I225" s="16">
        <f>I221+B225</f>
        <v>-98623.18</v>
      </c>
    </row>
    <row r="226" spans="2:9" ht="12.75">
      <c r="B226" s="1"/>
      <c r="C226" s="1"/>
      <c r="D226" s="1"/>
      <c r="E226" s="1"/>
      <c r="G226" s="1"/>
      <c r="H226" s="1"/>
      <c r="I226" s="1"/>
    </row>
    <row r="227" spans="1:9" ht="12.75">
      <c r="A227" t="s">
        <v>9</v>
      </c>
      <c r="B227" s="1">
        <v>-21754.35</v>
      </c>
      <c r="C227" s="1"/>
      <c r="D227" s="1"/>
      <c r="E227" s="1">
        <v>36257.26</v>
      </c>
      <c r="F227" s="2">
        <v>-0.6</v>
      </c>
      <c r="G227" s="1">
        <f>E227*F227</f>
        <v>-21754.356</v>
      </c>
      <c r="H227" s="1">
        <f>B227-G227</f>
        <v>0.006000000001222361</v>
      </c>
      <c r="I227" s="1"/>
    </row>
    <row r="228" spans="2:10" s="7" customFormat="1" ht="12.75">
      <c r="B228" s="8"/>
      <c r="C228" s="8"/>
      <c r="D228" s="8"/>
      <c r="E228" s="8"/>
      <c r="F228" s="9">
        <v>-0.6</v>
      </c>
      <c r="G228" s="8">
        <f>E228*F228</f>
        <v>0</v>
      </c>
      <c r="H228" s="8">
        <f>B228-G228</f>
        <v>0</v>
      </c>
      <c r="I228" s="8"/>
      <c r="J228" s="8"/>
    </row>
    <row r="229" spans="2:9" s="16" customFormat="1" ht="13.5" thickBot="1">
      <c r="B229" s="16">
        <f>SUM(B227:B228)</f>
        <v>-21754.35</v>
      </c>
      <c r="C229" s="16">
        <f>SUM(C227:C228)</f>
        <v>0</v>
      </c>
      <c r="D229" s="16">
        <f>SUM(D227:D228)</f>
        <v>0</v>
      </c>
      <c r="E229" s="16">
        <f>SUM(E227:E228)</f>
        <v>36257.26</v>
      </c>
      <c r="G229" s="16">
        <f>SUM(G227:G228)</f>
        <v>-21754.356</v>
      </c>
      <c r="H229" s="16">
        <f>SUM(H227:H228)</f>
        <v>0.006000000001222361</v>
      </c>
      <c r="I229" s="16">
        <f>I225+B229</f>
        <v>-120377.53</v>
      </c>
    </row>
    <row r="230" spans="2:9" ht="12.75">
      <c r="B230" s="1"/>
      <c r="C230" s="1"/>
      <c r="D230" s="1"/>
      <c r="E230" s="1"/>
      <c r="G230" s="1"/>
      <c r="H230" s="1"/>
      <c r="I230" s="1"/>
    </row>
    <row r="231" spans="1:9" ht="12.75">
      <c r="A231" t="s">
        <v>10</v>
      </c>
      <c r="B231" s="1">
        <v>-22810.01</v>
      </c>
      <c r="C231" s="1"/>
      <c r="D231" s="1"/>
      <c r="E231" s="1">
        <v>38016.68</v>
      </c>
      <c r="F231" s="2">
        <v>-0.6</v>
      </c>
      <c r="G231" s="1">
        <f>E231*F231</f>
        <v>-22810.007999999998</v>
      </c>
      <c r="H231" s="1">
        <f>B231-G231</f>
        <v>-0.0020000000004074536</v>
      </c>
      <c r="I231" s="1"/>
    </row>
    <row r="232" spans="2:10" s="7" customFormat="1" ht="12.75">
      <c r="B232" s="8"/>
      <c r="C232" s="8"/>
      <c r="D232" s="8"/>
      <c r="E232" s="8"/>
      <c r="F232" s="9">
        <v>-0.6</v>
      </c>
      <c r="G232" s="8">
        <f>E232*F232</f>
        <v>0</v>
      </c>
      <c r="H232" s="8">
        <f>B232-G232</f>
        <v>0</v>
      </c>
      <c r="I232" s="8"/>
      <c r="J232" s="8"/>
    </row>
    <row r="233" spans="2:9" s="16" customFormat="1" ht="13.5" thickBot="1">
      <c r="B233" s="16">
        <f>SUM(B231:B232)</f>
        <v>-22810.01</v>
      </c>
      <c r="C233" s="16">
        <f>SUM(C231:C232)</f>
        <v>0</v>
      </c>
      <c r="D233" s="16">
        <f>SUM(D231:D232)</f>
        <v>0</v>
      </c>
      <c r="E233" s="16">
        <f>SUM(E231:E232)</f>
        <v>38016.68</v>
      </c>
      <c r="G233" s="16">
        <f>SUM(G231:G232)</f>
        <v>-22810.007999999998</v>
      </c>
      <c r="H233" s="16">
        <f>SUM(H231:H232)</f>
        <v>-0.0020000000004074536</v>
      </c>
      <c r="I233" s="16">
        <f>I229+B233</f>
        <v>-143187.54</v>
      </c>
    </row>
    <row r="234" spans="2:9" ht="12.75">
      <c r="B234" s="1"/>
      <c r="C234" s="1"/>
      <c r="D234" s="1"/>
      <c r="E234" s="1"/>
      <c r="G234" s="1"/>
      <c r="H234" s="1"/>
      <c r="I234" s="1"/>
    </row>
    <row r="235" spans="1:9" ht="12.75">
      <c r="A235" t="s">
        <v>11</v>
      </c>
      <c r="B235" s="1">
        <v>-21968.55</v>
      </c>
      <c r="C235" s="1"/>
      <c r="D235" s="1"/>
      <c r="E235" s="1">
        <v>36614.25</v>
      </c>
      <c r="F235" s="2">
        <v>-0.6</v>
      </c>
      <c r="G235" s="1">
        <f>E235*F235</f>
        <v>-21968.55</v>
      </c>
      <c r="H235" s="1">
        <f>B235-G235</f>
        <v>0</v>
      </c>
      <c r="I235" s="1"/>
    </row>
    <row r="236" spans="2:10" s="7" customFormat="1" ht="12.75">
      <c r="B236" s="8">
        <v>0</v>
      </c>
      <c r="C236" s="8"/>
      <c r="D236" s="8"/>
      <c r="E236" s="8"/>
      <c r="F236" s="9">
        <v>-0.6</v>
      </c>
      <c r="G236" s="8">
        <f>E236*F236</f>
        <v>0</v>
      </c>
      <c r="H236" s="8">
        <f>B236-G236</f>
        <v>0</v>
      </c>
      <c r="I236" s="8"/>
      <c r="J236" s="8"/>
    </row>
    <row r="237" spans="2:9" s="16" customFormat="1" ht="13.5" thickBot="1">
      <c r="B237" s="16">
        <f>SUM(B235:B236)</f>
        <v>-21968.55</v>
      </c>
      <c r="C237" s="16">
        <f>SUM(C235:C236)</f>
        <v>0</v>
      </c>
      <c r="D237" s="16">
        <f>SUM(D235:D236)</f>
        <v>0</v>
      </c>
      <c r="E237" s="16">
        <f>SUM(E235:E236)</f>
        <v>36614.25</v>
      </c>
      <c r="G237" s="16">
        <f>SUM(G235:G236)</f>
        <v>-21968.55</v>
      </c>
      <c r="H237" s="16">
        <f>SUM(H235:H236)</f>
        <v>0</v>
      </c>
      <c r="I237" s="16">
        <f>I233+B237</f>
        <v>-165156.09</v>
      </c>
    </row>
    <row r="238" spans="2:9" ht="12.75">
      <c r="B238" s="1"/>
      <c r="C238" s="1"/>
      <c r="D238" s="1"/>
      <c r="E238" s="1"/>
      <c r="G238" s="1"/>
      <c r="H238" s="1"/>
      <c r="I238" s="1"/>
    </row>
    <row r="239" spans="1:9" ht="12.75">
      <c r="A239" t="s">
        <v>12</v>
      </c>
      <c r="B239" s="1">
        <v>-22617.79</v>
      </c>
      <c r="C239" s="1"/>
      <c r="D239" s="1"/>
      <c r="E239" s="1">
        <v>37696.32</v>
      </c>
      <c r="F239" s="2">
        <v>-0.6</v>
      </c>
      <c r="G239" s="1">
        <f>E239*F239</f>
        <v>-22617.791999999998</v>
      </c>
      <c r="H239" s="1">
        <f>B239-G239</f>
        <v>0.001999999996769475</v>
      </c>
      <c r="I239" s="1"/>
    </row>
    <row r="240" spans="2:10" s="7" customFormat="1" ht="12.75">
      <c r="B240" s="8">
        <v>0</v>
      </c>
      <c r="C240" s="8"/>
      <c r="D240" s="8"/>
      <c r="E240" s="8"/>
      <c r="F240" s="9">
        <v>-0.6</v>
      </c>
      <c r="G240" s="8">
        <f>E240*F240</f>
        <v>0</v>
      </c>
      <c r="H240" s="8">
        <f>B240-G240</f>
        <v>0</v>
      </c>
      <c r="I240" s="8"/>
      <c r="J240" s="8"/>
    </row>
    <row r="241" spans="2:9" s="16" customFormat="1" ht="13.5" thickBot="1">
      <c r="B241" s="16">
        <f>SUM(B239:B240)</f>
        <v>-22617.79</v>
      </c>
      <c r="C241" s="16">
        <f>SUM(C239:C240)</f>
        <v>0</v>
      </c>
      <c r="D241" s="16">
        <f>SUM(D239:D240)</f>
        <v>0</v>
      </c>
      <c r="E241" s="16">
        <f>SUM(E239:E240)</f>
        <v>37696.32</v>
      </c>
      <c r="G241" s="16">
        <f>SUM(G239:G240)</f>
        <v>-22617.791999999998</v>
      </c>
      <c r="H241" s="16">
        <f>SUM(H239:H240)</f>
        <v>0.001999999996769475</v>
      </c>
      <c r="I241" s="16">
        <f>I237+B241</f>
        <v>-187773.88</v>
      </c>
    </row>
    <row r="242" spans="2:9" ht="12.75">
      <c r="B242" s="1"/>
      <c r="C242" s="1"/>
      <c r="D242" s="1"/>
      <c r="E242" s="1"/>
      <c r="G242" s="1"/>
      <c r="H242" s="1"/>
      <c r="I242" s="1"/>
    </row>
    <row r="243" spans="1:9" ht="12.75">
      <c r="A243" t="s">
        <v>13</v>
      </c>
      <c r="B243" s="1">
        <v>-22336.83</v>
      </c>
      <c r="C243" s="1"/>
      <c r="D243" s="1"/>
      <c r="E243" s="1">
        <v>37228.05</v>
      </c>
      <c r="F243" s="2">
        <v>-0.6</v>
      </c>
      <c r="G243" s="1">
        <f>E243*F243</f>
        <v>-22336.83</v>
      </c>
      <c r="H243" s="1">
        <f>B243-G243</f>
        <v>0</v>
      </c>
      <c r="I243" s="1"/>
    </row>
    <row r="244" spans="2:10" s="7" customFormat="1" ht="12.75">
      <c r="B244" s="8">
        <v>0</v>
      </c>
      <c r="C244" s="8"/>
      <c r="D244" s="8"/>
      <c r="E244" s="8"/>
      <c r="F244" s="9">
        <v>-0.6</v>
      </c>
      <c r="G244" s="8">
        <f>E244*F244</f>
        <v>0</v>
      </c>
      <c r="H244" s="8">
        <f>B244-G244</f>
        <v>0</v>
      </c>
      <c r="I244" s="8"/>
      <c r="J244" s="8"/>
    </row>
    <row r="245" spans="2:9" s="16" customFormat="1" ht="13.5" thickBot="1">
      <c r="B245" s="16">
        <f>SUM(B243:B244)</f>
        <v>-22336.83</v>
      </c>
      <c r="C245" s="16">
        <f>SUM(C243:C244)</f>
        <v>0</v>
      </c>
      <c r="D245" s="16">
        <f>SUM(D243:D244)</f>
        <v>0</v>
      </c>
      <c r="E245" s="16">
        <f>SUM(E243:E244)</f>
        <v>37228.05</v>
      </c>
      <c r="G245" s="16">
        <f>SUM(G243:G244)</f>
        <v>-22336.83</v>
      </c>
      <c r="H245" s="16">
        <f>SUM(H243:H244)</f>
        <v>0</v>
      </c>
      <c r="I245" s="16">
        <f>I241+B245</f>
        <v>-210110.71000000002</v>
      </c>
    </row>
    <row r="246" spans="2:9" ht="12.75">
      <c r="B246" s="1"/>
      <c r="C246" s="1"/>
      <c r="D246" s="1"/>
      <c r="E246" s="1"/>
      <c r="G246" s="1"/>
      <c r="H246" s="1"/>
      <c r="I246" s="1"/>
    </row>
    <row r="247" spans="1:9" ht="12.75">
      <c r="A247" t="s">
        <v>14</v>
      </c>
      <c r="B247" s="1">
        <v>-19158.28</v>
      </c>
      <c r="C247" s="1"/>
      <c r="D247" s="1"/>
      <c r="E247" s="1">
        <v>31930.47</v>
      </c>
      <c r="F247" s="2">
        <v>-0.6</v>
      </c>
      <c r="G247" s="1">
        <f>E247*F247</f>
        <v>-19158.282</v>
      </c>
      <c r="H247" s="1">
        <f>B247-G247</f>
        <v>0.0020000000004074536</v>
      </c>
      <c r="I247" s="1"/>
    </row>
    <row r="248" spans="2:10" s="7" customFormat="1" ht="12.75">
      <c r="B248" s="8">
        <v>0</v>
      </c>
      <c r="C248" s="8"/>
      <c r="D248" s="8"/>
      <c r="E248" s="8"/>
      <c r="F248" s="9">
        <v>-0.6</v>
      </c>
      <c r="G248" s="8">
        <f>E248*F248</f>
        <v>0</v>
      </c>
      <c r="H248" s="8">
        <f>B248-G248</f>
        <v>0</v>
      </c>
      <c r="I248" s="8"/>
      <c r="J248" s="8"/>
    </row>
    <row r="249" spans="2:9" s="16" customFormat="1" ht="13.5" thickBot="1">
      <c r="B249" s="16">
        <f>SUM(B247:B248)</f>
        <v>-19158.28</v>
      </c>
      <c r="C249" s="16">
        <f>SUM(C247:C248)</f>
        <v>0</v>
      </c>
      <c r="D249" s="16">
        <f>SUM(D247:D248)</f>
        <v>0</v>
      </c>
      <c r="E249" s="16">
        <f>SUM(E247:E248)</f>
        <v>31930.47</v>
      </c>
      <c r="G249" s="16">
        <f>SUM(G247:G248)</f>
        <v>-19158.282</v>
      </c>
      <c r="H249" s="16">
        <f>SUM(H247:H248)</f>
        <v>0.0020000000004074536</v>
      </c>
      <c r="I249" s="16">
        <f>I245+B249</f>
        <v>-229268.99000000002</v>
      </c>
    </row>
    <row r="250" spans="2:9" ht="12.75">
      <c r="B250" s="1"/>
      <c r="C250" s="1"/>
      <c r="D250" s="1"/>
      <c r="E250" s="1"/>
      <c r="G250" s="1"/>
      <c r="H250" s="1"/>
      <c r="I250" s="1"/>
    </row>
    <row r="251" spans="2:9" ht="12.75">
      <c r="B251" s="1"/>
      <c r="C251" s="1"/>
      <c r="D251" s="1"/>
      <c r="E251" s="1"/>
      <c r="G251" s="1"/>
      <c r="H251" s="1"/>
      <c r="I251" s="1">
        <v>-229268.99</v>
      </c>
    </row>
    <row r="252" spans="2:9" ht="12.75">
      <c r="B252" s="1"/>
      <c r="C252" s="1"/>
      <c r="D252" s="1"/>
      <c r="E252" s="1"/>
      <c r="G252" s="1"/>
      <c r="H252" s="1"/>
      <c r="I252" s="1">
        <f>I249-I251</f>
        <v>0</v>
      </c>
    </row>
  </sheetData>
  <sheetProtection/>
  <printOptions/>
  <pageMargins left="0.75" right="0.75" top="1" bottom="1" header="0.5" footer="0.5"/>
  <pageSetup horizontalDpi="300" verticalDpi="300" orientation="portrait" scale="83" r:id="rId1"/>
  <rowBreaks count="1" manualBreakCount="1">
    <brk id="133" max="8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75" zoomScaleNormal="75" zoomScalePageLayoutView="0" workbookViewId="0" topLeftCell="A1">
      <selection activeCell="D33" sqref="D33"/>
    </sheetView>
  </sheetViews>
  <sheetFormatPr defaultColWidth="9.140625" defaultRowHeight="12.75"/>
  <cols>
    <col min="1" max="1" width="14.140625" style="0" bestFit="1" customWidth="1"/>
    <col min="2" max="2" width="12.421875" style="27" bestFit="1" customWidth="1"/>
    <col min="3" max="3" width="12.00390625" style="1" bestFit="1" customWidth="1"/>
    <col min="4" max="4" width="14.8515625" style="1" bestFit="1" customWidth="1"/>
    <col min="5" max="5" width="11.57421875" style="0" bestFit="1" customWidth="1"/>
    <col min="6" max="7" width="11.28125" style="0" customWidth="1"/>
    <col min="8" max="8" width="11.28125" style="1" bestFit="1" customWidth="1"/>
    <col min="9" max="10" width="11.8515625" style="1" customWidth="1"/>
    <col min="11" max="11" width="13.140625" style="1" bestFit="1" customWidth="1"/>
    <col min="13" max="13" width="12.00390625" style="0" bestFit="1" customWidth="1"/>
    <col min="14" max="14" width="15.28125" style="0" bestFit="1" customWidth="1"/>
  </cols>
  <sheetData>
    <row r="1" spans="1:2" ht="12.75">
      <c r="A1" s="170" t="s">
        <v>179</v>
      </c>
      <c r="B1" s="171"/>
    </row>
    <row r="4" spans="1:11" s="4" customFormat="1" ht="25.5">
      <c r="A4" s="32" t="s">
        <v>78</v>
      </c>
      <c r="B4" s="26" t="s">
        <v>77</v>
      </c>
      <c r="C4" s="5" t="s">
        <v>35</v>
      </c>
      <c r="D4" s="5" t="s">
        <v>16</v>
      </c>
      <c r="E4" s="4" t="s">
        <v>79</v>
      </c>
      <c r="F4" s="4" t="s">
        <v>80</v>
      </c>
      <c r="H4" s="5"/>
      <c r="I4" s="5" t="s">
        <v>180</v>
      </c>
      <c r="J4" s="5"/>
      <c r="K4" s="5"/>
    </row>
    <row r="6" ht="12.75">
      <c r="A6" s="34" t="s">
        <v>84</v>
      </c>
    </row>
    <row r="8" spans="1:14" ht="12.75">
      <c r="A8" t="s">
        <v>3</v>
      </c>
      <c r="M8" s="3"/>
      <c r="N8" s="3"/>
    </row>
    <row r="9" spans="1:14" ht="12.75">
      <c r="A9" t="s">
        <v>4</v>
      </c>
      <c r="M9" s="3"/>
      <c r="N9" s="3"/>
    </row>
    <row r="10" spans="1:14" ht="12.75">
      <c r="A10" t="s">
        <v>5</v>
      </c>
      <c r="C10" s="1">
        <f>+I10/F10</f>
        <v>66.70752855348921</v>
      </c>
      <c r="E10">
        <v>5.55</v>
      </c>
      <c r="F10">
        <v>6.6892</v>
      </c>
      <c r="I10" s="172">
        <v>446.22</v>
      </c>
      <c r="M10" s="3"/>
      <c r="N10" s="3"/>
    </row>
    <row r="11" spans="1:14" ht="12.75">
      <c r="A11" t="s">
        <v>6</v>
      </c>
      <c r="C11" s="1">
        <f aca="true" t="shared" si="0" ref="C11:C19">+I11/F11</f>
        <v>32.89033068229385</v>
      </c>
      <c r="E11">
        <v>5.55</v>
      </c>
      <c r="F11">
        <v>6.6892</v>
      </c>
      <c r="I11" s="172">
        <f>227.08-7.07</f>
        <v>220.01000000000002</v>
      </c>
      <c r="M11" s="3"/>
      <c r="N11" s="3"/>
    </row>
    <row r="12" spans="1:14" s="38" customFormat="1" ht="12.75">
      <c r="A12" t="s">
        <v>7</v>
      </c>
      <c r="B12" s="39"/>
      <c r="C12" s="1">
        <f t="shared" si="0"/>
        <v>8.684147581175631</v>
      </c>
      <c r="D12" s="40"/>
      <c r="E12">
        <v>5.55</v>
      </c>
      <c r="F12">
        <v>6.6892</v>
      </c>
      <c r="G12" s="41"/>
      <c r="H12" s="158"/>
      <c r="I12" s="172">
        <f>724.32-666.23</f>
        <v>58.09000000000003</v>
      </c>
      <c r="J12" s="40"/>
      <c r="K12" s="40"/>
      <c r="M12" s="42"/>
      <c r="N12" s="42"/>
    </row>
    <row r="13" spans="1:14" ht="12.75">
      <c r="A13" t="s">
        <v>8</v>
      </c>
      <c r="C13" s="1">
        <f t="shared" si="0"/>
        <v>31.380434132631706</v>
      </c>
      <c r="E13">
        <v>5.55</v>
      </c>
      <c r="F13">
        <v>6.6892</v>
      </c>
      <c r="H13" s="158"/>
      <c r="I13" s="172">
        <v>209.91</v>
      </c>
      <c r="M13" s="3"/>
      <c r="N13" s="3"/>
    </row>
    <row r="14" spans="1:14" ht="12.75">
      <c r="A14" t="s">
        <v>9</v>
      </c>
      <c r="B14" s="35"/>
      <c r="C14" s="1">
        <f t="shared" si="0"/>
        <v>34.07731866291934</v>
      </c>
      <c r="D14" s="36"/>
      <c r="E14">
        <v>5.55</v>
      </c>
      <c r="F14">
        <v>6.6892</v>
      </c>
      <c r="G14" s="37"/>
      <c r="H14" s="158"/>
      <c r="I14" s="172">
        <f>1162.18-934.23</f>
        <v>227.95000000000005</v>
      </c>
      <c r="J14" s="36"/>
      <c r="K14" s="36"/>
      <c r="M14" s="3"/>
      <c r="N14" s="3"/>
    </row>
    <row r="15" spans="1:14" ht="12.75">
      <c r="A15" t="s">
        <v>10</v>
      </c>
      <c r="C15" s="1">
        <f t="shared" si="0"/>
        <v>31.437242121628895</v>
      </c>
      <c r="E15">
        <v>5.55</v>
      </c>
      <c r="F15">
        <v>6.6892</v>
      </c>
      <c r="H15" s="158"/>
      <c r="I15" s="172">
        <v>210.29</v>
      </c>
      <c r="M15" s="3"/>
      <c r="N15" s="3"/>
    </row>
    <row r="16" spans="1:14" ht="12.75">
      <c r="A16" t="s">
        <v>11</v>
      </c>
      <c r="C16" s="1">
        <f t="shared" si="0"/>
        <v>32.93667404173892</v>
      </c>
      <c r="E16">
        <v>5.55</v>
      </c>
      <c r="F16">
        <v>6.6892</v>
      </c>
      <c r="H16" s="158"/>
      <c r="I16" s="172">
        <f>1592.79-1372.47</f>
        <v>220.31999999999994</v>
      </c>
      <c r="J16" s="36"/>
      <c r="M16" s="3"/>
      <c r="N16" s="3"/>
    </row>
    <row r="17" spans="1:14" ht="12.75">
      <c r="A17" t="s">
        <v>12</v>
      </c>
      <c r="C17" s="1">
        <f t="shared" si="0"/>
        <v>32.577886742809305</v>
      </c>
      <c r="E17">
        <v>5.55</v>
      </c>
      <c r="F17">
        <v>6.6892</v>
      </c>
      <c r="H17" s="158"/>
      <c r="I17" s="172">
        <v>217.92</v>
      </c>
      <c r="M17" s="3"/>
      <c r="N17" s="3"/>
    </row>
    <row r="18" spans="1:14" ht="12.75">
      <c r="A18" t="s">
        <v>13</v>
      </c>
      <c r="C18" s="1">
        <f t="shared" si="0"/>
        <v>32.516593912575495</v>
      </c>
      <c r="E18">
        <v>5.55</v>
      </c>
      <c r="F18">
        <v>6.6892</v>
      </c>
      <c r="H18" s="158"/>
      <c r="I18" s="172">
        <f>2028.22-1810.71</f>
        <v>217.51</v>
      </c>
      <c r="M18" s="3"/>
      <c r="N18" s="3"/>
    </row>
    <row r="19" spans="1:14" ht="12.75">
      <c r="A19" t="s">
        <v>14</v>
      </c>
      <c r="C19" s="1">
        <f t="shared" si="0"/>
        <v>31.017161992465468</v>
      </c>
      <c r="E19">
        <v>5.55</v>
      </c>
      <c r="F19">
        <v>6.6892</v>
      </c>
      <c r="H19" s="158"/>
      <c r="I19" s="172">
        <v>207.48</v>
      </c>
      <c r="M19" s="3"/>
      <c r="N19" s="3"/>
    </row>
    <row r="20" ht="12.75">
      <c r="H20" s="158"/>
    </row>
    <row r="21" spans="2:8" ht="13.5" thickBot="1">
      <c r="B21" s="27">
        <f>SUM(B8:B19)</f>
        <v>0</v>
      </c>
      <c r="C21" s="12">
        <f>SUM(C8:C19)</f>
        <v>334.2253184237278</v>
      </c>
      <c r="D21" s="1">
        <f>SUM(D8:D19)</f>
        <v>0</v>
      </c>
      <c r="E21" s="1"/>
      <c r="F21" s="1"/>
      <c r="G21" s="1"/>
      <c r="H21" s="158">
        <f>SUM(H8:H19)</f>
        <v>0</v>
      </c>
    </row>
    <row r="22" ht="12.75">
      <c r="H22" s="158"/>
    </row>
    <row r="23" spans="1:8" ht="12.75">
      <c r="A23" s="163" t="s">
        <v>188</v>
      </c>
      <c r="E23" s="1"/>
      <c r="F23" s="1"/>
      <c r="G23" s="1"/>
      <c r="H23" s="158"/>
    </row>
    <row r="25" spans="4:9" ht="13.5" thickBot="1">
      <c r="D25" s="1">
        <f>SUM(D6:D18)</f>
        <v>0</v>
      </c>
      <c r="H25" s="1">
        <f>SUM(H6:H18)</f>
        <v>0</v>
      </c>
      <c r="I25" s="12">
        <f>SUM(I6:I19)</f>
        <v>2235.7</v>
      </c>
    </row>
    <row r="27" spans="9:10" ht="12.75">
      <c r="I27" s="1">
        <f>+I25</f>
        <v>2235.7</v>
      </c>
      <c r="J27" s="1" t="s">
        <v>137</v>
      </c>
    </row>
    <row r="28" ht="12.75">
      <c r="I28" s="159">
        <v>0.717076</v>
      </c>
    </row>
    <row r="29" spans="9:10" ht="12.75">
      <c r="I29" s="1">
        <f>I27*I28</f>
        <v>1603.1668132</v>
      </c>
      <c r="J29" s="1" t="s">
        <v>136</v>
      </c>
    </row>
    <row r="30" ht="12.75">
      <c r="I30" s="160"/>
    </row>
    <row r="31" ht="12.75">
      <c r="I31" s="160"/>
    </row>
    <row r="32" ht="12.75">
      <c r="I32" s="160"/>
    </row>
    <row r="33" ht="12.75">
      <c r="I33" s="160"/>
    </row>
    <row r="34" ht="12.75">
      <c r="I34" s="160"/>
    </row>
  </sheetData>
  <sheetProtection/>
  <printOptions/>
  <pageMargins left="0.75" right="0.75" top="1" bottom="1" header="0.5" footer="0.5"/>
  <pageSetup fitToHeight="0" fitToWidth="1" horizontalDpi="300" verticalDpi="300" orientation="landscape" scale="71" r:id="rId1"/>
  <headerFooter alignWithMargins="0">
    <oddHeader>&amp;RDRAFT</oddHeader>
    <oddFooter>&amp;LI:\JD\YE Dec 31 02\GHESI\Stats\&amp;F&amp;A&amp;D&amp;T</oddFooter>
  </headerFooter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25">
      <selection activeCell="I17" sqref="I17"/>
    </sheetView>
  </sheetViews>
  <sheetFormatPr defaultColWidth="9.140625" defaultRowHeight="12.75"/>
  <cols>
    <col min="1" max="1" width="14.140625" style="0" bestFit="1" customWidth="1"/>
    <col min="2" max="2" width="12.421875" style="27" bestFit="1" customWidth="1"/>
    <col min="3" max="3" width="12.00390625" style="1" bestFit="1" customWidth="1"/>
    <col min="4" max="4" width="14.8515625" style="1" bestFit="1" customWidth="1"/>
    <col min="5" max="5" width="11.57421875" style="0" bestFit="1" customWidth="1"/>
    <col min="6" max="7" width="11.28125" style="0" customWidth="1"/>
    <col min="8" max="8" width="11.28125" style="1" bestFit="1" customWidth="1"/>
    <col min="9" max="10" width="11.8515625" style="1" customWidth="1"/>
    <col min="11" max="11" width="13.140625" style="1" bestFit="1" customWidth="1"/>
    <col min="13" max="13" width="12.00390625" style="0" bestFit="1" customWidth="1"/>
    <col min="14" max="14" width="15.28125" style="0" bestFit="1" customWidth="1"/>
  </cols>
  <sheetData>
    <row r="1" ht="12.75">
      <c r="A1" s="33" t="s">
        <v>87</v>
      </c>
    </row>
    <row r="4" spans="1:11" s="4" customFormat="1" ht="38.25">
      <c r="A4" s="32" t="s">
        <v>78</v>
      </c>
      <c r="B4" s="26" t="s">
        <v>77</v>
      </c>
      <c r="C4" s="5" t="s">
        <v>35</v>
      </c>
      <c r="D4" s="5" t="s">
        <v>16</v>
      </c>
      <c r="E4" s="4" t="s">
        <v>79</v>
      </c>
      <c r="F4" s="4" t="s">
        <v>80</v>
      </c>
      <c r="G4" s="4" t="s">
        <v>81</v>
      </c>
      <c r="H4" s="5" t="s">
        <v>82</v>
      </c>
      <c r="I4" s="5" t="s">
        <v>67</v>
      </c>
      <c r="J4" s="5" t="s">
        <v>88</v>
      </c>
      <c r="K4" s="5" t="s">
        <v>81</v>
      </c>
    </row>
    <row r="6" spans="1:11" ht="12.75">
      <c r="A6" s="34" t="s">
        <v>84</v>
      </c>
      <c r="B6" s="27">
        <v>10698</v>
      </c>
      <c r="C6" s="1">
        <v>1862.42</v>
      </c>
      <c r="D6" s="1">
        <f>C6*31*11.81</f>
        <v>681850.5862</v>
      </c>
      <c r="E6">
        <v>0.15</v>
      </c>
      <c r="F6">
        <v>0.5501</v>
      </c>
      <c r="G6">
        <v>26.905</v>
      </c>
      <c r="H6" s="1">
        <f>ROUND(B6*E6,2)</f>
        <v>1604.7</v>
      </c>
      <c r="I6" s="1">
        <f>ROUND(C6*F6,2)</f>
        <v>1024.52</v>
      </c>
      <c r="K6" s="1">
        <f>ROUND(C6*G6,2)</f>
        <v>50108.41</v>
      </c>
    </row>
    <row r="8" spans="1:14" ht="12.75">
      <c r="A8" t="s">
        <v>3</v>
      </c>
      <c r="B8" s="27">
        <v>10698</v>
      </c>
      <c r="C8" s="1">
        <v>1862.3</v>
      </c>
      <c r="D8" s="1">
        <f>C8*31*11.81</f>
        <v>681806.6529999999</v>
      </c>
      <c r="E8">
        <v>0.15</v>
      </c>
      <c r="F8">
        <v>0.5501</v>
      </c>
      <c r="G8">
        <v>26.905</v>
      </c>
      <c r="H8" s="1">
        <f aca="true" t="shared" si="0" ref="H8:I11">ROUND(B8*E8,2)</f>
        <v>1604.7</v>
      </c>
      <c r="I8" s="1">
        <f t="shared" si="0"/>
        <v>1024.45</v>
      </c>
      <c r="K8" s="1">
        <f>ROUND(C8*G8,2)</f>
        <v>50105.18</v>
      </c>
      <c r="M8" s="3">
        <f>C8</f>
        <v>1862.3</v>
      </c>
      <c r="N8" s="3">
        <f>D8</f>
        <v>681806.6529999999</v>
      </c>
    </row>
    <row r="9" spans="1:14" ht="12.75">
      <c r="A9" t="s">
        <v>4</v>
      </c>
      <c r="B9" s="27">
        <v>10698</v>
      </c>
      <c r="C9" s="1">
        <v>1862.3</v>
      </c>
      <c r="D9" s="1">
        <f>C9*28*11.81</f>
        <v>615825.3640000001</v>
      </c>
      <c r="E9">
        <v>0.15</v>
      </c>
      <c r="F9">
        <v>0.5501</v>
      </c>
      <c r="G9">
        <v>26.905</v>
      </c>
      <c r="H9" s="1">
        <f t="shared" si="0"/>
        <v>1604.7</v>
      </c>
      <c r="I9" s="1">
        <f t="shared" si="0"/>
        <v>1024.45</v>
      </c>
      <c r="K9" s="1">
        <f>ROUND(C9*G9,2)</f>
        <v>50105.18</v>
      </c>
      <c r="M9" s="3">
        <f>M8+C9</f>
        <v>3724.6</v>
      </c>
      <c r="N9" s="3">
        <f>N8+D9</f>
        <v>1297632.017</v>
      </c>
    </row>
    <row r="10" spans="1:14" ht="12.75">
      <c r="A10" t="s">
        <v>5</v>
      </c>
      <c r="B10" s="27">
        <v>10726</v>
      </c>
      <c r="C10" s="1">
        <v>1865.94</v>
      </c>
      <c r="D10" s="1">
        <f>C10*31*11.81</f>
        <v>683139.2934</v>
      </c>
      <c r="E10">
        <v>0.16</v>
      </c>
      <c r="F10">
        <v>1.0137</v>
      </c>
      <c r="G10">
        <v>26.905</v>
      </c>
      <c r="H10" s="1">
        <f t="shared" si="0"/>
        <v>1716.16</v>
      </c>
      <c r="I10" s="1">
        <f t="shared" si="0"/>
        <v>1891.5</v>
      </c>
      <c r="K10" s="1">
        <f>ROUND(C10*G10,2)</f>
        <v>50203.12</v>
      </c>
      <c r="M10" s="3">
        <f aca="true" t="shared" si="1" ref="M10:M20">M9+C10</f>
        <v>5590.54</v>
      </c>
      <c r="N10" s="3">
        <f aca="true" t="shared" si="2" ref="N10:N20">N9+D10</f>
        <v>1980771.3103999998</v>
      </c>
    </row>
    <row r="11" spans="1:14" ht="12.75">
      <c r="A11" t="s">
        <v>6</v>
      </c>
      <c r="B11" s="27">
        <v>10726</v>
      </c>
      <c r="C11" s="1">
        <v>1865.94</v>
      </c>
      <c r="D11" s="1">
        <f>C11*30*11.81</f>
        <v>661102.5420000001</v>
      </c>
      <c r="E11">
        <v>0.16</v>
      </c>
      <c r="F11">
        <v>1.0137</v>
      </c>
      <c r="G11">
        <v>26.905</v>
      </c>
      <c r="H11" s="1">
        <f t="shared" si="0"/>
        <v>1716.16</v>
      </c>
      <c r="I11" s="1">
        <f t="shared" si="0"/>
        <v>1891.5</v>
      </c>
      <c r="K11" s="1">
        <f>ROUND(C11*G11,2)</f>
        <v>50203.12</v>
      </c>
      <c r="M11" s="3">
        <f t="shared" si="1"/>
        <v>7456.48</v>
      </c>
      <c r="N11" s="3">
        <f t="shared" si="2"/>
        <v>2641873.8524</v>
      </c>
    </row>
    <row r="12" spans="13:14" ht="12.75">
      <c r="M12" s="3"/>
      <c r="N12" s="3"/>
    </row>
    <row r="13" spans="1:14" s="38" customFormat="1" ht="12.75">
      <c r="A13" s="38" t="s">
        <v>7</v>
      </c>
      <c r="B13" s="39">
        <v>10622</v>
      </c>
      <c r="C13" s="40">
        <f>1852.1/1.0137</f>
        <v>1827.069152609253</v>
      </c>
      <c r="D13" s="40">
        <v>637188.94</v>
      </c>
      <c r="E13">
        <v>0.16</v>
      </c>
      <c r="F13">
        <v>1.0137</v>
      </c>
      <c r="G13" s="41">
        <f>G14</f>
        <v>26.905</v>
      </c>
      <c r="H13" s="44">
        <f>ROUND(B13*E13,2)</f>
        <v>1699.52</v>
      </c>
      <c r="I13" s="1">
        <f>ROUND(C13*F13,2)</f>
        <v>1852.1</v>
      </c>
      <c r="J13" s="40"/>
      <c r="K13" s="40"/>
      <c r="L13" s="38" t="s">
        <v>86</v>
      </c>
      <c r="M13" s="42">
        <f>M11+C13</f>
        <v>9283.549152609252</v>
      </c>
      <c r="N13" s="42">
        <f>N11+D13</f>
        <v>3279062.7924</v>
      </c>
    </row>
    <row r="14" spans="1:14" ht="12.75">
      <c r="A14" t="s">
        <v>8</v>
      </c>
      <c r="B14" s="27">
        <v>10618</v>
      </c>
      <c r="C14" s="1">
        <v>1825.83</v>
      </c>
      <c r="D14" s="1">
        <v>637188.94</v>
      </c>
      <c r="E14">
        <v>0.16</v>
      </c>
      <c r="F14">
        <v>1.0137</v>
      </c>
      <c r="G14">
        <v>26.905</v>
      </c>
      <c r="H14" s="44">
        <f>ROUND(B14*E14,2)</f>
        <v>1698.88</v>
      </c>
      <c r="I14" s="1">
        <f>ROUND(C14*F14,2)</f>
        <v>1850.84</v>
      </c>
      <c r="M14" s="3">
        <f t="shared" si="1"/>
        <v>11109.379152609252</v>
      </c>
      <c r="N14" s="3">
        <f t="shared" si="2"/>
        <v>3916251.7324</v>
      </c>
    </row>
    <row r="15" spans="1:14" ht="12.75">
      <c r="A15" t="s">
        <v>9</v>
      </c>
      <c r="B15" s="35">
        <v>10618</v>
      </c>
      <c r="C15" s="36">
        <v>1825.83</v>
      </c>
      <c r="D15" s="36">
        <v>501708.65</v>
      </c>
      <c r="E15" s="37">
        <v>0.16</v>
      </c>
      <c r="F15" s="37">
        <v>1.0137</v>
      </c>
      <c r="G15" s="37">
        <v>26.905</v>
      </c>
      <c r="H15" s="44">
        <f aca="true" t="shared" si="3" ref="H15:H20">ROUND(B15*E15,2)</f>
        <v>1698.88</v>
      </c>
      <c r="I15" s="36">
        <f aca="true" t="shared" si="4" ref="I15:I20">ROUND(C15*F15,2)</f>
        <v>1850.84</v>
      </c>
      <c r="J15" s="36"/>
      <c r="K15" s="36"/>
      <c r="L15" t="s">
        <v>85</v>
      </c>
      <c r="M15" s="3">
        <f t="shared" si="1"/>
        <v>12935.209152609252</v>
      </c>
      <c r="N15" s="3">
        <f t="shared" si="2"/>
        <v>4417960.3824000005</v>
      </c>
    </row>
    <row r="16" spans="1:14" ht="12.75">
      <c r="A16" t="s">
        <v>10</v>
      </c>
      <c r="B16" s="27">
        <v>10618</v>
      </c>
      <c r="C16" s="1">
        <v>1825.83</v>
      </c>
      <c r="D16" s="1">
        <v>486198.9</v>
      </c>
      <c r="E16">
        <v>0.16</v>
      </c>
      <c r="F16">
        <v>1.0137</v>
      </c>
      <c r="G16">
        <v>26.905</v>
      </c>
      <c r="H16" s="44">
        <f t="shared" si="3"/>
        <v>1698.88</v>
      </c>
      <c r="I16" s="1">
        <f t="shared" si="4"/>
        <v>1850.84</v>
      </c>
      <c r="M16" s="3">
        <f t="shared" si="1"/>
        <v>14761.039152609252</v>
      </c>
      <c r="N16" s="3">
        <f t="shared" si="2"/>
        <v>4904159.282400001</v>
      </c>
    </row>
    <row r="17" spans="1:14" ht="12.75">
      <c r="A17" t="s">
        <v>11</v>
      </c>
      <c r="B17" s="27">
        <v>10672</v>
      </c>
      <c r="C17" s="1">
        <v>1832.84</v>
      </c>
      <c r="D17" s="1">
        <v>472323.38</v>
      </c>
      <c r="E17">
        <v>0.16</v>
      </c>
      <c r="F17">
        <v>1.0137</v>
      </c>
      <c r="G17">
        <v>26.905</v>
      </c>
      <c r="H17" s="44">
        <f t="shared" si="3"/>
        <v>1707.52</v>
      </c>
      <c r="I17" s="36">
        <f t="shared" si="4"/>
        <v>1857.95</v>
      </c>
      <c r="J17" s="36"/>
      <c r="M17" s="3">
        <f t="shared" si="1"/>
        <v>16593.87915260925</v>
      </c>
      <c r="N17" s="3">
        <f t="shared" si="2"/>
        <v>5376482.662400001</v>
      </c>
    </row>
    <row r="18" spans="1:14" ht="12.75">
      <c r="A18" t="s">
        <v>12</v>
      </c>
      <c r="B18" s="27">
        <f>1716.48/0.16</f>
        <v>10728</v>
      </c>
      <c r="C18" s="1">
        <v>1844.26</v>
      </c>
      <c r="D18" s="1">
        <v>700360.56</v>
      </c>
      <c r="E18">
        <v>0.16</v>
      </c>
      <c r="F18">
        <v>1.0137</v>
      </c>
      <c r="G18">
        <v>26.905</v>
      </c>
      <c r="H18" s="44">
        <f t="shared" si="3"/>
        <v>1716.48</v>
      </c>
      <c r="I18" s="1">
        <f t="shared" si="4"/>
        <v>1869.53</v>
      </c>
      <c r="M18" s="3">
        <f t="shared" si="1"/>
        <v>18438.13915260925</v>
      </c>
      <c r="N18" s="3">
        <f t="shared" si="2"/>
        <v>6076843.2224</v>
      </c>
    </row>
    <row r="19" spans="1:14" ht="12.75">
      <c r="A19" t="s">
        <v>13</v>
      </c>
      <c r="B19" s="27">
        <v>10737</v>
      </c>
      <c r="C19" s="1">
        <v>1846.59</v>
      </c>
      <c r="D19" s="1">
        <v>678623.02</v>
      </c>
      <c r="E19">
        <v>0.16</v>
      </c>
      <c r="F19">
        <v>1.0137</v>
      </c>
      <c r="G19">
        <v>26.905</v>
      </c>
      <c r="H19" s="44">
        <f t="shared" si="3"/>
        <v>1717.92</v>
      </c>
      <c r="I19" s="1">
        <f t="shared" si="4"/>
        <v>1871.89</v>
      </c>
      <c r="M19" s="3">
        <f t="shared" si="1"/>
        <v>20284.72915260925</v>
      </c>
      <c r="N19" s="3">
        <f t="shared" si="2"/>
        <v>6755466.2424</v>
      </c>
    </row>
    <row r="20" spans="1:14" ht="12.75">
      <c r="A20" t="s">
        <v>14</v>
      </c>
      <c r="E20">
        <v>0.16</v>
      </c>
      <c r="F20">
        <v>1.0137</v>
      </c>
      <c r="G20">
        <v>26.905</v>
      </c>
      <c r="H20" s="44">
        <f t="shared" si="3"/>
        <v>0</v>
      </c>
      <c r="I20" s="1">
        <f t="shared" si="4"/>
        <v>0</v>
      </c>
      <c r="M20" s="3">
        <f t="shared" si="1"/>
        <v>20284.72915260925</v>
      </c>
      <c r="N20" s="3">
        <f t="shared" si="2"/>
        <v>6755466.2424</v>
      </c>
    </row>
    <row r="22" spans="2:11" ht="12.75">
      <c r="B22" s="27">
        <f>SUM(B8:B20)</f>
        <v>117461</v>
      </c>
      <c r="C22" s="1">
        <f>SUM(C8:C20)</f>
        <v>20284.72915260925</v>
      </c>
      <c r="D22" s="1">
        <f>SUM(D8:D20)</f>
        <v>6755466.2424</v>
      </c>
      <c r="E22" s="1"/>
      <c r="F22" s="1"/>
      <c r="G22" s="1"/>
      <c r="H22" s="1">
        <f>SUM(H8:H20)</f>
        <v>18579.800000000003</v>
      </c>
      <c r="I22" s="1">
        <f>SUM(I8:I20)</f>
        <v>18835.89</v>
      </c>
      <c r="K22" s="1">
        <f>SUM(K8:K20)</f>
        <v>200616.6</v>
      </c>
    </row>
    <row r="24" spans="5:7" ht="12.75">
      <c r="E24" s="1"/>
      <c r="F24" s="1"/>
      <c r="G24" s="1"/>
    </row>
    <row r="26" spans="8:9" ht="12.75">
      <c r="H26" s="1">
        <v>18591.953</v>
      </c>
      <c r="I26" s="1">
        <v>18847.58</v>
      </c>
    </row>
    <row r="27" spans="8:9" ht="12.75">
      <c r="H27" s="1">
        <f>H22-H26</f>
        <v>-12.152999999998428</v>
      </c>
      <c r="I27" s="1">
        <f>I22-I26</f>
        <v>-11.690000000002328</v>
      </c>
    </row>
    <row r="29" spans="3:9" ht="12.75">
      <c r="C29" s="1">
        <f>SUM(C6:C19)</f>
        <v>22147.149152609254</v>
      </c>
      <c r="D29" s="1">
        <f>SUM(D6:D19)</f>
        <v>7437316.828600001</v>
      </c>
      <c r="H29" s="1">
        <f>SUM(H6:H19)</f>
        <v>20184.5</v>
      </c>
      <c r="I29" s="1">
        <f>SUM(I6:I19)</f>
        <v>19860.41</v>
      </c>
    </row>
    <row r="31" spans="9:10" ht="12.75">
      <c r="I31" s="1">
        <f>SUM(I10:I19)</f>
        <v>16786.99</v>
      </c>
      <c r="J31" s="1" t="s">
        <v>137</v>
      </c>
    </row>
    <row r="32" ht="12.75">
      <c r="I32" s="1">
        <v>0.101043</v>
      </c>
    </row>
    <row r="33" spans="1:10" ht="12.75">
      <c r="A33" s="33" t="s">
        <v>83</v>
      </c>
      <c r="I33" s="1">
        <f>I31*I32</f>
        <v>1696.2078305700002</v>
      </c>
      <c r="J33" s="1" t="s">
        <v>136</v>
      </c>
    </row>
    <row r="36" spans="1:11" s="4" customFormat="1" ht="38.25">
      <c r="A36" s="32" t="s">
        <v>78</v>
      </c>
      <c r="B36" s="26" t="s">
        <v>77</v>
      </c>
      <c r="C36" s="5" t="s">
        <v>35</v>
      </c>
      <c r="D36" s="5" t="s">
        <v>16</v>
      </c>
      <c r="E36" s="4" t="s">
        <v>79</v>
      </c>
      <c r="F36" s="4" t="s">
        <v>80</v>
      </c>
      <c r="G36" s="4" t="s">
        <v>81</v>
      </c>
      <c r="H36" s="5" t="s">
        <v>82</v>
      </c>
      <c r="I36" s="5" t="s">
        <v>67</v>
      </c>
      <c r="J36" s="5"/>
      <c r="K36" s="5" t="s">
        <v>81</v>
      </c>
    </row>
    <row r="38" spans="1:11" ht="12.75">
      <c r="A38" t="s">
        <v>3</v>
      </c>
      <c r="B38" s="27">
        <v>10698</v>
      </c>
      <c r="C38" s="1">
        <v>1862.42</v>
      </c>
      <c r="E38">
        <v>0.15</v>
      </c>
      <c r="F38">
        <v>0.5501</v>
      </c>
      <c r="G38">
        <v>26.905</v>
      </c>
      <c r="H38" s="1">
        <f>ROUND(B38*E38,2)</f>
        <v>1604.7</v>
      </c>
      <c r="I38" s="1">
        <f>ROUND(C38*F38,2)</f>
        <v>1024.52</v>
      </c>
      <c r="K38" s="1">
        <f>ROUND(C38*G38,2)</f>
        <v>50108.41</v>
      </c>
    </row>
    <row r="39" spans="1:11" ht="12.75">
      <c r="A39" t="s">
        <v>4</v>
      </c>
      <c r="B39" s="27">
        <v>10698</v>
      </c>
      <c r="C39" s="1">
        <v>1862.3</v>
      </c>
      <c r="E39">
        <v>0.15</v>
      </c>
      <c r="F39">
        <v>0.5501</v>
      </c>
      <c r="G39">
        <v>26.905</v>
      </c>
      <c r="H39" s="1">
        <f aca="true" t="shared" si="5" ref="H39:H49">ROUND(B39*E39,2)</f>
        <v>1604.7</v>
      </c>
      <c r="I39" s="1">
        <f aca="true" t="shared" si="6" ref="I39:I49">ROUND(C39*F39,2)</f>
        <v>1024.45</v>
      </c>
      <c r="K39" s="1">
        <f aca="true" t="shared" si="7" ref="K39:K49">ROUND(C39*G39,2)</f>
        <v>50105.18</v>
      </c>
    </row>
    <row r="40" spans="1:11" ht="12.75">
      <c r="A40" t="s">
        <v>5</v>
      </c>
      <c r="B40" s="27">
        <v>10698</v>
      </c>
      <c r="C40" s="1">
        <v>1862.3</v>
      </c>
      <c r="E40">
        <v>0.15</v>
      </c>
      <c r="F40">
        <v>0.5501</v>
      </c>
      <c r="G40">
        <v>26.905</v>
      </c>
      <c r="H40" s="1">
        <f t="shared" si="5"/>
        <v>1604.7</v>
      </c>
      <c r="I40" s="1">
        <f t="shared" si="6"/>
        <v>1024.45</v>
      </c>
      <c r="K40" s="1">
        <f t="shared" si="7"/>
        <v>50105.18</v>
      </c>
    </row>
    <row r="41" spans="1:11" ht="12.75">
      <c r="A41" t="s">
        <v>6</v>
      </c>
      <c r="B41" s="27">
        <v>10726</v>
      </c>
      <c r="C41" s="1">
        <v>1865.94</v>
      </c>
      <c r="E41">
        <v>0.15</v>
      </c>
      <c r="F41">
        <v>0.5501</v>
      </c>
      <c r="G41">
        <v>26.905</v>
      </c>
      <c r="H41" s="1">
        <f t="shared" si="5"/>
        <v>1608.9</v>
      </c>
      <c r="I41" s="1">
        <f t="shared" si="6"/>
        <v>1026.45</v>
      </c>
      <c r="K41" s="1">
        <f t="shared" si="7"/>
        <v>50203.12</v>
      </c>
    </row>
    <row r="42" spans="1:11" ht="12.75">
      <c r="A42" t="s">
        <v>7</v>
      </c>
      <c r="B42" s="27">
        <v>10726</v>
      </c>
      <c r="C42" s="1">
        <v>1865.94</v>
      </c>
      <c r="E42">
        <v>0.15</v>
      </c>
      <c r="F42">
        <v>0.5501</v>
      </c>
      <c r="G42">
        <v>26.905</v>
      </c>
      <c r="H42" s="1">
        <f t="shared" si="5"/>
        <v>1608.9</v>
      </c>
      <c r="I42" s="1">
        <f t="shared" si="6"/>
        <v>1026.45</v>
      </c>
      <c r="K42" s="1">
        <f t="shared" si="7"/>
        <v>50203.12</v>
      </c>
    </row>
    <row r="43" spans="1:11" ht="12.75">
      <c r="A43" t="s">
        <v>8</v>
      </c>
      <c r="B43" s="27">
        <f>1699.52/0.16</f>
        <v>10622</v>
      </c>
      <c r="C43" s="1">
        <v>1885.35</v>
      </c>
      <c r="E43">
        <v>0.15</v>
      </c>
      <c r="F43">
        <v>0.5501</v>
      </c>
      <c r="G43">
        <v>26.905</v>
      </c>
      <c r="H43" s="1">
        <f t="shared" si="5"/>
        <v>1593.3</v>
      </c>
      <c r="I43" s="1">
        <f t="shared" si="6"/>
        <v>1037.13</v>
      </c>
      <c r="K43" s="1">
        <f t="shared" si="7"/>
        <v>50725.34</v>
      </c>
    </row>
    <row r="44" spans="1:11" ht="12.75">
      <c r="A44" t="s">
        <v>9</v>
      </c>
      <c r="E44">
        <v>0.15</v>
      </c>
      <c r="F44">
        <v>0.5501</v>
      </c>
      <c r="G44">
        <v>26.905</v>
      </c>
      <c r="H44" s="1">
        <f t="shared" si="5"/>
        <v>0</v>
      </c>
      <c r="I44" s="1">
        <f t="shared" si="6"/>
        <v>0</v>
      </c>
      <c r="K44" s="1">
        <f t="shared" si="7"/>
        <v>0</v>
      </c>
    </row>
    <row r="45" spans="1:11" ht="12.75">
      <c r="A45" t="s">
        <v>10</v>
      </c>
      <c r="C45" s="1">
        <v>1884.07</v>
      </c>
      <c r="E45">
        <v>0.15</v>
      </c>
      <c r="F45">
        <v>0.5501</v>
      </c>
      <c r="G45">
        <v>26.905</v>
      </c>
      <c r="H45" s="1">
        <f t="shared" si="5"/>
        <v>0</v>
      </c>
      <c r="I45" s="1">
        <f t="shared" si="6"/>
        <v>1036.43</v>
      </c>
      <c r="K45" s="1">
        <f t="shared" si="7"/>
        <v>50690.9</v>
      </c>
    </row>
    <row r="46" spans="1:11" ht="12.75">
      <c r="A46" t="s">
        <v>11</v>
      </c>
      <c r="C46" s="1">
        <v>1884.07</v>
      </c>
      <c r="E46">
        <v>0.15</v>
      </c>
      <c r="F46">
        <v>0.5501</v>
      </c>
      <c r="G46">
        <v>26.905</v>
      </c>
      <c r="H46" s="1">
        <f t="shared" si="5"/>
        <v>0</v>
      </c>
      <c r="I46" s="1">
        <f t="shared" si="6"/>
        <v>1036.43</v>
      </c>
      <c r="K46" s="1">
        <f t="shared" si="7"/>
        <v>50690.9</v>
      </c>
    </row>
    <row r="47" spans="1:11" ht="12.75">
      <c r="A47" t="s">
        <v>12</v>
      </c>
      <c r="E47">
        <v>0.15</v>
      </c>
      <c r="F47">
        <v>0.5501</v>
      </c>
      <c r="G47">
        <v>26.905</v>
      </c>
      <c r="H47" s="1">
        <f t="shared" si="5"/>
        <v>0</v>
      </c>
      <c r="I47" s="1">
        <f t="shared" si="6"/>
        <v>0</v>
      </c>
      <c r="K47" s="1">
        <f t="shared" si="7"/>
        <v>0</v>
      </c>
    </row>
    <row r="48" spans="1:11" ht="12.75">
      <c r="A48" t="s">
        <v>13</v>
      </c>
      <c r="E48">
        <v>0.15</v>
      </c>
      <c r="F48">
        <v>0.5501</v>
      </c>
      <c r="G48">
        <v>26.905</v>
      </c>
      <c r="H48" s="1">
        <f t="shared" si="5"/>
        <v>0</v>
      </c>
      <c r="I48" s="1">
        <f t="shared" si="6"/>
        <v>0</v>
      </c>
      <c r="K48" s="1">
        <f t="shared" si="7"/>
        <v>0</v>
      </c>
    </row>
    <row r="49" spans="1:11" ht="12.75">
      <c r="A49" t="s">
        <v>14</v>
      </c>
      <c r="E49">
        <v>0.15</v>
      </c>
      <c r="F49">
        <v>0.5501</v>
      </c>
      <c r="G49">
        <v>26.905</v>
      </c>
      <c r="H49" s="1">
        <f t="shared" si="5"/>
        <v>0</v>
      </c>
      <c r="I49" s="1">
        <f t="shared" si="6"/>
        <v>0</v>
      </c>
      <c r="K49" s="1">
        <f t="shared" si="7"/>
        <v>0</v>
      </c>
    </row>
  </sheetData>
  <sheetProtection/>
  <printOptions/>
  <pageMargins left="0.24" right="0.22" top="1" bottom="1" header="0.5" footer="0.5"/>
  <pageSetup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Guelph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Fallis</dc:creator>
  <cp:keywords/>
  <dc:description/>
  <cp:lastModifiedBy>Cristina</cp:lastModifiedBy>
  <cp:lastPrinted>2004-05-18T17:17:40Z</cp:lastPrinted>
  <dcterms:created xsi:type="dcterms:W3CDTF">2002-09-30T17:11:44Z</dcterms:created>
  <dcterms:modified xsi:type="dcterms:W3CDTF">2011-10-11T15:42:33Z</dcterms:modified>
  <cp:category/>
  <cp:version/>
  <cp:contentType/>
  <cp:contentStatus/>
</cp:coreProperties>
</file>