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Detail" sheetId="1" r:id="rId1"/>
    <sheet name="Summary" sheetId="2" r:id="rId2"/>
    <sheet name="Sheet3" sheetId="3" r:id="rId3"/>
  </sheets>
  <definedNames>
    <definedName name="_xlnm.Print_Area" localSheetId="0">'Detail'!$A$1:$N$404</definedName>
  </definedNames>
  <calcPr fullCalcOnLoad="1"/>
</workbook>
</file>

<file path=xl/sharedStrings.xml><?xml version="1.0" encoding="utf-8"?>
<sst xmlns="http://schemas.openxmlformats.org/spreadsheetml/2006/main" count="240" uniqueCount="69">
  <si>
    <t>A3 - Residential Service Charge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</si>
  <si>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</si>
  <si>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</si>
  <si>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</si>
  <si>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</si>
  <si>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</si>
  <si>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</si>
  <si>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</si>
  <si>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</si>
  <si>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</si>
  <si>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</si>
  <si>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</si>
  <si>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</si>
  <si>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</si>
  <si>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kW</t>
  </si>
  <si>
    <t>Rate</t>
  </si>
  <si>
    <t>Dollars</t>
  </si>
  <si>
    <t>Difference</t>
  </si>
  <si>
    <t>A4 - General Service &lt; 50 kW Service Charge</t>
  </si>
  <si>
    <t>B3 - Residential Distribution kWh</t>
  </si>
  <si>
    <t>B4 - General Service &lt; 50 kW Distribution kWh</t>
  </si>
  <si>
    <t>A5 - General Service &gt; 50 kW Service Charge</t>
  </si>
  <si>
    <t>Summary</t>
  </si>
  <si>
    <t>Residential</t>
  </si>
  <si>
    <t>General Service &lt; 50 kW</t>
  </si>
  <si>
    <t>General Service &gt; 50 kW</t>
  </si>
  <si>
    <t>Street Lighting</t>
  </si>
  <si>
    <t>No.of Connections</t>
  </si>
  <si>
    <t>Rate per Connection</t>
  </si>
  <si>
    <t>Rate per kW</t>
  </si>
  <si>
    <t>Expected purchases</t>
  </si>
  <si>
    <t>Line losses</t>
  </si>
  <si>
    <t>Line loss %</t>
  </si>
  <si>
    <t>2002 PILs</t>
  </si>
  <si>
    <t>Unbilled</t>
  </si>
  <si>
    <t>Res</t>
  </si>
  <si>
    <t>GS&lt;50</t>
  </si>
  <si>
    <t>GS&gt;50</t>
  </si>
  <si>
    <t xml:space="preserve">Total 2002 </t>
  </si>
  <si>
    <t>PILs</t>
  </si>
  <si>
    <t>Total PILs Collected in 2002</t>
  </si>
  <si>
    <t>(Summary of Class Sheets)</t>
  </si>
  <si>
    <t>&lt;50</t>
  </si>
  <si>
    <t>&gt;50</t>
  </si>
  <si>
    <t>GS TOU</t>
  </si>
  <si>
    <t>LU</t>
  </si>
  <si>
    <t>ST LT</t>
  </si>
  <si>
    <t>TOTAL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</si>
  <si>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</si>
  <si>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</si>
  <si>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</si>
  <si>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</si>
  <si>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</si>
  <si>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</si>
  <si>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</si>
  <si>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</si>
  <si>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</si>
  <si>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Dec Unbill</t>
  </si>
  <si>
    <t>2001 PILs</t>
  </si>
  <si>
    <t>$</t>
  </si>
  <si>
    <t>2002</t>
  </si>
  <si>
    <t>2001</t>
  </si>
  <si>
    <t>WEDCO</t>
  </si>
  <si>
    <t>Per Jim's F's Formula</t>
  </si>
  <si>
    <t>Total PILs Collected for 2001</t>
  </si>
  <si>
    <t>Collected in 2002</t>
  </si>
  <si>
    <t>for 2002 &amp; 2001</t>
  </si>
  <si>
    <t>Consumption/Rates as per Jim Fallis / Rate Order</t>
  </si>
  <si>
    <t>B5 - General Service &gt; 50 kW Distribution kW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</si>
</sst>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_(* #,##0.00000_);_(* \(#,##0.00000\);_(* &quot;-&quot;??_);_(@_)"/>
    <numFmt numFmtId="170" formatCode="_(* #,##0.000000_);_(* \(#,##0.000000\);_(* &quot;-&quot;??_);_(@_)"/>
    <numFmt numFmtId="171" formatCode="_(* #,##0.000000_);_(* \(#,##0.000000\);_(* &quot;-&quot;??????_);_(@_)"/>
  </numFmts>
  <fonts count="38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 wrapText="1"/>
    </xf>
    <xf numFmtId="43" fontId="0" fillId="0" borderId="0" xfId="42" applyFont="1" applyAlignment="1">
      <alignment horizontal="right" wrapText="1"/>
    </xf>
    <xf numFmtId="165" fontId="0" fillId="0" borderId="0" xfId="42" applyNumberFormat="1" applyFont="1" applyAlignment="1">
      <alignment horizontal="right" wrapText="1"/>
    </xf>
    <xf numFmtId="167" fontId="0" fillId="0" borderId="0" xfId="42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168" fontId="0" fillId="0" borderId="0" xfId="57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Alignment="1">
      <alignment horizontal="right" wrapText="1"/>
    </xf>
    <xf numFmtId="43" fontId="0" fillId="33" borderId="10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0" fillId="35" borderId="12" xfId="42" applyFont="1" applyFill="1" applyBorder="1" applyAlignment="1">
      <alignment/>
    </xf>
    <xf numFmtId="43" fontId="0" fillId="36" borderId="11" xfId="42" applyFont="1" applyFill="1" applyBorder="1" applyAlignment="1">
      <alignment/>
    </xf>
    <xf numFmtId="165" fontId="0" fillId="37" borderId="12" xfId="42" applyNumberFormat="1" applyFont="1" applyFill="1" applyBorder="1" applyAlignment="1">
      <alignment/>
    </xf>
    <xf numFmtId="165" fontId="0" fillId="38" borderId="12" xfId="42" applyNumberFormat="1" applyFont="1" applyFill="1" applyBorder="1" applyAlignment="1">
      <alignment/>
    </xf>
    <xf numFmtId="0" fontId="1" fillId="38" borderId="13" xfId="0" applyFont="1" applyFill="1" applyBorder="1" applyAlignment="1">
      <alignment/>
    </xf>
    <xf numFmtId="43" fontId="0" fillId="33" borderId="14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43" fontId="0" fillId="35" borderId="13" xfId="42" applyFont="1" applyFill="1" applyBorder="1" applyAlignment="1">
      <alignment/>
    </xf>
    <xf numFmtId="43" fontId="0" fillId="36" borderId="0" xfId="42" applyFont="1" applyFill="1" applyBorder="1" applyAlignment="1">
      <alignment/>
    </xf>
    <xf numFmtId="165" fontId="0" fillId="37" borderId="13" xfId="42" applyNumberFormat="1" applyFont="1" applyFill="1" applyBorder="1" applyAlignment="1">
      <alignment/>
    </xf>
    <xf numFmtId="165" fontId="0" fillId="38" borderId="13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center"/>
    </xf>
    <xf numFmtId="0" fontId="1" fillId="34" borderId="16" xfId="42" applyNumberFormat="1" applyFont="1" applyFill="1" applyBorder="1" applyAlignment="1">
      <alignment horizontal="center"/>
    </xf>
    <xf numFmtId="0" fontId="1" fillId="35" borderId="17" xfId="42" applyNumberFormat="1" applyFont="1" applyFill="1" applyBorder="1" applyAlignment="1">
      <alignment horizontal="center"/>
    </xf>
    <xf numFmtId="43" fontId="1" fillId="36" borderId="16" xfId="42" applyFont="1" applyFill="1" applyBorder="1" applyAlignment="1">
      <alignment horizontal="center"/>
    </xf>
    <xf numFmtId="165" fontId="1" fillId="37" borderId="17" xfId="42" applyNumberFormat="1" applyFont="1" applyFill="1" applyBorder="1" applyAlignment="1">
      <alignment horizontal="center"/>
    </xf>
    <xf numFmtId="165" fontId="1" fillId="38" borderId="17" xfId="42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43" fontId="0" fillId="0" borderId="13" xfId="42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13" xfId="42" applyNumberFormat="1" applyFont="1" applyBorder="1" applyAlignment="1">
      <alignment/>
    </xf>
    <xf numFmtId="168" fontId="0" fillId="0" borderId="0" xfId="57" applyNumberFormat="1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0" fontId="0" fillId="0" borderId="21" xfId="0" applyBorder="1" applyAlignment="1">
      <alignment/>
    </xf>
    <xf numFmtId="43" fontId="0" fillId="0" borderId="17" xfId="42" applyFont="1" applyBorder="1" applyAlignment="1">
      <alignment/>
    </xf>
    <xf numFmtId="43" fontId="0" fillId="0" borderId="16" xfId="42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15" xfId="42" applyFont="1" applyBorder="1" applyAlignment="1">
      <alignment/>
    </xf>
    <xf numFmtId="43" fontId="0" fillId="38" borderId="10" xfId="42" applyFont="1" applyFill="1" applyBorder="1" applyAlignment="1">
      <alignment/>
    </xf>
    <xf numFmtId="43" fontId="0" fillId="38" borderId="14" xfId="42" applyFont="1" applyFill="1" applyBorder="1" applyAlignment="1">
      <alignment/>
    </xf>
    <xf numFmtId="43" fontId="0" fillId="38" borderId="15" xfId="42" applyFont="1" applyFill="1" applyBorder="1" applyAlignment="1">
      <alignment/>
    </xf>
    <xf numFmtId="0" fontId="0" fillId="38" borderId="23" xfId="0" applyFill="1" applyBorder="1" applyAlignment="1">
      <alignment/>
    </xf>
    <xf numFmtId="0" fontId="1" fillId="38" borderId="17" xfId="0" applyFont="1" applyFill="1" applyBorder="1" applyAlignment="1">
      <alignment horizontal="left"/>
    </xf>
    <xf numFmtId="170" fontId="1" fillId="0" borderId="0" xfId="42" applyNumberFormat="1" applyFont="1" applyAlignment="1">
      <alignment horizontal="center"/>
    </xf>
    <xf numFmtId="43" fontId="1" fillId="0" borderId="0" xfId="42" applyFont="1" applyAlignment="1">
      <alignment horizontal="center"/>
    </xf>
    <xf numFmtId="0" fontId="1" fillId="33" borderId="24" xfId="0" applyFont="1" applyFill="1" applyBorder="1" applyAlignment="1">
      <alignment/>
    </xf>
    <xf numFmtId="43" fontId="1" fillId="33" borderId="25" xfId="42" applyFont="1" applyFill="1" applyBorder="1" applyAlignment="1">
      <alignment/>
    </xf>
    <xf numFmtId="43" fontId="1" fillId="33" borderId="26" xfId="42" applyFont="1" applyFill="1" applyBorder="1" applyAlignment="1">
      <alignment/>
    </xf>
    <xf numFmtId="0" fontId="1" fillId="34" borderId="24" xfId="0" applyFont="1" applyFill="1" applyBorder="1" applyAlignment="1">
      <alignment/>
    </xf>
    <xf numFmtId="43" fontId="0" fillId="34" borderId="25" xfId="42" applyFont="1" applyFill="1" applyBorder="1" applyAlignment="1">
      <alignment/>
    </xf>
    <xf numFmtId="165" fontId="0" fillId="34" borderId="26" xfId="42" applyNumberFormat="1" applyFont="1" applyFill="1" applyBorder="1" applyAlignment="1">
      <alignment/>
    </xf>
    <xf numFmtId="0" fontId="1" fillId="35" borderId="24" xfId="0" applyFont="1" applyFill="1" applyBorder="1" applyAlignment="1">
      <alignment/>
    </xf>
    <xf numFmtId="43" fontId="0" fillId="35" borderId="25" xfId="42" applyFont="1" applyFill="1" applyBorder="1" applyAlignment="1">
      <alignment/>
    </xf>
    <xf numFmtId="165" fontId="0" fillId="35" borderId="26" xfId="42" applyNumberFormat="1" applyFont="1" applyFill="1" applyBorder="1" applyAlignment="1">
      <alignment/>
    </xf>
    <xf numFmtId="0" fontId="1" fillId="39" borderId="24" xfId="0" applyFont="1" applyFill="1" applyBorder="1" applyAlignment="1">
      <alignment/>
    </xf>
    <xf numFmtId="43" fontId="0" fillId="39" borderId="26" xfId="42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27" xfId="42" applyFont="1" applyBorder="1" applyAlignment="1">
      <alignment/>
    </xf>
    <xf numFmtId="165" fontId="0" fillId="0" borderId="20" xfId="42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28" xfId="0" applyFont="1" applyBorder="1" applyAlignment="1">
      <alignment/>
    </xf>
    <xf numFmtId="0" fontId="1" fillId="38" borderId="23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168" fontId="0" fillId="39" borderId="12" xfId="57" applyNumberFormat="1" applyFont="1" applyFill="1" applyBorder="1" applyAlignment="1">
      <alignment/>
    </xf>
    <xf numFmtId="168" fontId="0" fillId="39" borderId="13" xfId="57" applyNumberFormat="1" applyFont="1" applyFill="1" applyBorder="1" applyAlignment="1">
      <alignment/>
    </xf>
    <xf numFmtId="168" fontId="1" fillId="39" borderId="17" xfId="57" applyNumberFormat="1" applyFont="1" applyFill="1" applyBorder="1" applyAlignment="1">
      <alignment horizontal="center"/>
    </xf>
    <xf numFmtId="168" fontId="0" fillId="0" borderId="13" xfId="57" applyNumberFormat="1" applyFont="1" applyBorder="1" applyAlignment="1">
      <alignment/>
    </xf>
    <xf numFmtId="168" fontId="0" fillId="0" borderId="11" xfId="57" applyNumberFormat="1" applyFont="1" applyFill="1" applyBorder="1" applyAlignment="1">
      <alignment/>
    </xf>
    <xf numFmtId="168" fontId="0" fillId="0" borderId="0" xfId="57" applyNumberFormat="1" applyFont="1" applyFill="1" applyBorder="1" applyAlignment="1">
      <alignment/>
    </xf>
    <xf numFmtId="168" fontId="1" fillId="0" borderId="16" xfId="57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3" fontId="1" fillId="0" borderId="20" xfId="42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0" fillId="0" borderId="23" xfId="42" applyFont="1" applyBorder="1" applyAlignment="1">
      <alignment/>
    </xf>
    <xf numFmtId="170" fontId="2" fillId="0" borderId="11" xfId="42" applyNumberFormat="1" applyFont="1" applyBorder="1" applyAlignment="1">
      <alignment horizontal="right"/>
    </xf>
    <xf numFmtId="170" fontId="0" fillId="0" borderId="11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8" xfId="42" applyFont="1" applyBorder="1" applyAlignment="1">
      <alignment/>
    </xf>
    <xf numFmtId="170" fontId="0" fillId="0" borderId="0" xfId="42" applyNumberFormat="1" applyFont="1" applyBorder="1" applyAlignment="1">
      <alignment/>
    </xf>
    <xf numFmtId="43" fontId="1" fillId="0" borderId="0" xfId="42" applyFont="1" applyBorder="1" applyAlignment="1">
      <alignment/>
    </xf>
    <xf numFmtId="43" fontId="0" fillId="0" borderId="21" xfId="42" applyFont="1" applyBorder="1" applyAlignment="1">
      <alignment/>
    </xf>
    <xf numFmtId="170" fontId="0" fillId="0" borderId="16" xfId="42" applyNumberFormat="1" applyFont="1" applyBorder="1" applyAlignment="1">
      <alignment/>
    </xf>
    <xf numFmtId="165" fontId="0" fillId="0" borderId="22" xfId="42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4"/>
  <sheetViews>
    <sheetView tabSelected="1" zoomScalePageLayoutView="0" workbookViewId="0" topLeftCell="A1">
      <selection activeCell="P309" sqref="P309"/>
    </sheetView>
  </sheetViews>
  <sheetFormatPr defaultColWidth="9.140625" defaultRowHeight="12.75"/>
  <cols>
    <col min="1" max="1" width="11.140625" style="0" customWidth="1"/>
    <col min="2" max="2" width="15.57421875" style="1" customWidth="1"/>
    <col min="3" max="3" width="10.421875" style="1" customWidth="1"/>
    <col min="4" max="4" width="11.8515625" style="3" bestFit="1" customWidth="1"/>
    <col min="5" max="5" width="11.28125" style="4" bestFit="1" customWidth="1"/>
    <col min="6" max="6" width="11.28125" style="1" bestFit="1" customWidth="1"/>
    <col min="7" max="7" width="9.140625" style="1" customWidth="1"/>
    <col min="8" max="8" width="17.00390625" style="11" bestFit="1" customWidth="1"/>
    <col min="9" max="9" width="13.421875" style="11" customWidth="1"/>
    <col min="10" max="10" width="13.421875" style="11" bestFit="1" customWidth="1"/>
    <col min="11" max="11" width="13.00390625" style="1" customWidth="1"/>
    <col min="12" max="12" width="10.421875" style="0" customWidth="1"/>
    <col min="13" max="14" width="10.28125" style="0" bestFit="1" customWidth="1"/>
  </cols>
  <sheetData>
    <row r="1" ht="12.75">
      <c r="A1" t="s">
        <v>0</v>
      </c>
    </row>
    <row r="4" spans="1:5" ht="12.75">
      <c r="A4" t="s">
        <v>1</v>
      </c>
      <c r="B4" s="1">
        <v>11656.24</v>
      </c>
      <c r="C4" s="1">
        <v>10.85</v>
      </c>
      <c r="D4" s="3">
        <f>B4/C4</f>
        <v>1074.3078341013825</v>
      </c>
      <c r="E4" s="3">
        <f>D4</f>
        <v>1074.3078341013825</v>
      </c>
    </row>
    <row r="5" spans="1:5" ht="12.75">
      <c r="A5" t="s">
        <v>2</v>
      </c>
      <c r="B5" s="1">
        <v>11158.46</v>
      </c>
      <c r="C5" s="1">
        <v>10.85</v>
      </c>
      <c r="D5" s="3">
        <f aca="true" t="shared" si="0" ref="D5:D16">B5/C5</f>
        <v>1028.4294930875576</v>
      </c>
      <c r="E5" s="3">
        <f>D5</f>
        <v>1028.4294930875576</v>
      </c>
    </row>
    <row r="6" spans="1:5" ht="12.75">
      <c r="A6" t="s">
        <v>3</v>
      </c>
      <c r="B6" s="1">
        <f>4766.92-10.85</f>
        <v>4756.07</v>
      </c>
      <c r="C6" s="1">
        <v>10.85</v>
      </c>
      <c r="D6" s="3">
        <f t="shared" si="0"/>
        <v>438.347465437788</v>
      </c>
      <c r="E6" s="3">
        <f>D6+D7</f>
        <v>948.1153835265252</v>
      </c>
    </row>
    <row r="7" spans="2:5" ht="12.75">
      <c r="B7" s="1">
        <f>5977.61-3.13</f>
        <v>5974.48</v>
      </c>
      <c r="C7" s="1">
        <v>11.72</v>
      </c>
      <c r="D7" s="3">
        <f t="shared" si="0"/>
        <v>509.76791808873713</v>
      </c>
      <c r="E7" s="3"/>
    </row>
    <row r="8" spans="1:5" ht="12.75">
      <c r="A8" t="s">
        <v>4</v>
      </c>
      <c r="B8" s="1">
        <v>12410.83</v>
      </c>
      <c r="C8" s="1">
        <v>11.72</v>
      </c>
      <c r="D8" s="3">
        <f t="shared" si="0"/>
        <v>1058.9445392491466</v>
      </c>
      <c r="E8" s="3">
        <f>D8</f>
        <v>1058.9445392491466</v>
      </c>
    </row>
    <row r="9" spans="1:5" ht="12.75">
      <c r="A9" t="s">
        <v>5</v>
      </c>
      <c r="B9" s="1">
        <v>7837.16</v>
      </c>
      <c r="C9" s="1">
        <v>11.72</v>
      </c>
      <c r="D9" s="3">
        <f t="shared" si="0"/>
        <v>668.6996587030716</v>
      </c>
      <c r="E9" s="3">
        <f>SUM(D9:D11)/3</f>
        <v>1040.8930602957905</v>
      </c>
    </row>
    <row r="10" spans="1:5" ht="12.75">
      <c r="A10" t="s">
        <v>6</v>
      </c>
      <c r="B10" s="1">
        <v>4343.43</v>
      </c>
      <c r="C10" s="1">
        <v>11.72</v>
      </c>
      <c r="D10" s="3">
        <f t="shared" si="0"/>
        <v>370.59982935153585</v>
      </c>
      <c r="E10" s="3">
        <f>E9</f>
        <v>1040.8930602957905</v>
      </c>
    </row>
    <row r="11" spans="1:5" ht="12.75">
      <c r="A11" t="s">
        <v>7</v>
      </c>
      <c r="B11" s="1">
        <v>24417.21</v>
      </c>
      <c r="C11" s="1">
        <v>11.72</v>
      </c>
      <c r="D11" s="3">
        <f t="shared" si="0"/>
        <v>2083.3796928327642</v>
      </c>
      <c r="E11" s="3">
        <f>E10</f>
        <v>1040.8930602957905</v>
      </c>
    </row>
    <row r="12" spans="1:5" ht="12.75">
      <c r="A12" t="s">
        <v>8</v>
      </c>
      <c r="B12" s="1">
        <v>11013.03</v>
      </c>
      <c r="C12" s="1">
        <v>11.72</v>
      </c>
      <c r="D12" s="3">
        <f t="shared" si="0"/>
        <v>939.6783276450512</v>
      </c>
      <c r="E12" s="3">
        <f>SUM(D12:D14)/3</f>
        <v>1077.6925483503983</v>
      </c>
    </row>
    <row r="13" spans="1:5" ht="12.75">
      <c r="A13" t="s">
        <v>9</v>
      </c>
      <c r="B13" s="1">
        <v>2006.36</v>
      </c>
      <c r="C13" s="1">
        <v>11.72</v>
      </c>
      <c r="D13" s="3">
        <f t="shared" si="0"/>
        <v>171.19112627986345</v>
      </c>
      <c r="E13" s="3">
        <f>E12</f>
        <v>1077.6925483503983</v>
      </c>
    </row>
    <row r="14" spans="1:5" ht="12.75">
      <c r="A14" t="s">
        <v>10</v>
      </c>
      <c r="B14" s="1">
        <v>24872.28</v>
      </c>
      <c r="C14" s="1">
        <v>11.72</v>
      </c>
      <c r="D14" s="3">
        <f t="shared" si="0"/>
        <v>2122.20819112628</v>
      </c>
      <c r="E14" s="3">
        <f>E13</f>
        <v>1077.6925483503983</v>
      </c>
    </row>
    <row r="15" spans="1:5" ht="12.75">
      <c r="A15" t="s">
        <v>11</v>
      </c>
      <c r="C15" s="1">
        <v>11.72</v>
      </c>
      <c r="D15" s="3">
        <f t="shared" si="0"/>
        <v>0</v>
      </c>
      <c r="E15" s="3">
        <f>D15</f>
        <v>0</v>
      </c>
    </row>
    <row r="16" spans="1:5" ht="12.75">
      <c r="A16" t="s">
        <v>12</v>
      </c>
      <c r="B16" s="1">
        <v>13214.04</v>
      </c>
      <c r="C16" s="1">
        <v>11.72</v>
      </c>
      <c r="D16" s="3">
        <f t="shared" si="0"/>
        <v>1127.4778156996588</v>
      </c>
      <c r="E16" s="3">
        <f>D16</f>
        <v>1127.4778156996588</v>
      </c>
    </row>
    <row r="18" spans="2:4" ht="12.75">
      <c r="B18" s="1">
        <f>SUM(B4:B17)</f>
        <v>133659.59</v>
      </c>
      <c r="D18" s="3">
        <f>SUM(D4:D17)</f>
        <v>11593.031891602835</v>
      </c>
    </row>
    <row r="20" spans="2:5" ht="12.75">
      <c r="B20" s="1">
        <f>E20*C20</f>
        <v>12306</v>
      </c>
      <c r="C20" s="1">
        <v>11.72</v>
      </c>
      <c r="E20" s="3">
        <v>1050</v>
      </c>
    </row>
    <row r="21" spans="2:5" ht="12.75">
      <c r="B21" s="1">
        <f>E21*C21</f>
        <v>12306</v>
      </c>
      <c r="C21" s="1">
        <v>11.72</v>
      </c>
      <c r="E21" s="3">
        <v>1050</v>
      </c>
    </row>
    <row r="23" ht="12.75">
      <c r="B23" s="1">
        <f>SUM(B18:B21)</f>
        <v>158271.59</v>
      </c>
    </row>
    <row r="48" ht="13.5" thickBot="1"/>
    <row r="49" spans="1:3" ht="13.5" thickBot="1">
      <c r="A49" s="53" t="s">
        <v>19</v>
      </c>
      <c r="B49" s="54"/>
      <c r="C49" s="55"/>
    </row>
    <row r="51" spans="3:14" ht="12.75">
      <c r="C51" s="1" t="s">
        <v>14</v>
      </c>
      <c r="D51" s="3" t="s">
        <v>13</v>
      </c>
      <c r="E51" s="4" t="s">
        <v>15</v>
      </c>
      <c r="F51" s="1" t="s">
        <v>16</v>
      </c>
      <c r="G51" s="1" t="s">
        <v>17</v>
      </c>
      <c r="H51" s="51" t="s">
        <v>58</v>
      </c>
      <c r="I51" s="51" t="s">
        <v>58</v>
      </c>
      <c r="J51" s="51" t="s">
        <v>33</v>
      </c>
      <c r="K51" s="51" t="s">
        <v>33</v>
      </c>
      <c r="M51" s="67" t="s">
        <v>60</v>
      </c>
      <c r="N51" s="67" t="s">
        <v>61</v>
      </c>
    </row>
    <row r="52" spans="1:11" ht="12.75">
      <c r="A52" t="s">
        <v>1</v>
      </c>
      <c r="B52" s="1">
        <v>9130.44</v>
      </c>
      <c r="D52" s="3">
        <v>1141240</v>
      </c>
      <c r="E52" s="4">
        <v>0.008</v>
      </c>
      <c r="F52" s="1">
        <f>D52*E52</f>
        <v>9129.92</v>
      </c>
      <c r="G52" s="1">
        <f>B52-F52</f>
        <v>0.5200000000004366</v>
      </c>
      <c r="H52" s="51" t="s">
        <v>15</v>
      </c>
      <c r="I52" s="52" t="s">
        <v>59</v>
      </c>
      <c r="J52" s="51" t="s">
        <v>15</v>
      </c>
      <c r="K52" s="52" t="s">
        <v>59</v>
      </c>
    </row>
    <row r="53" spans="1:7" ht="12.75">
      <c r="A53" t="s">
        <v>2</v>
      </c>
      <c r="B53" s="1">
        <v>8108.87</v>
      </c>
      <c r="D53" s="3">
        <v>1013588</v>
      </c>
      <c r="E53" s="4">
        <v>0.008</v>
      </c>
      <c r="F53" s="1">
        <f aca="true" t="shared" si="1" ref="F53:F64">D53*E53</f>
        <v>8108.704</v>
      </c>
      <c r="G53" s="1">
        <f aca="true" t="shared" si="2" ref="G53:G64">B53-F53</f>
        <v>0.16600000000016735</v>
      </c>
    </row>
    <row r="54" spans="1:7" ht="12.75">
      <c r="A54" t="s">
        <v>3</v>
      </c>
      <c r="B54" s="1">
        <f>3290.27-20.8</f>
        <v>3269.47</v>
      </c>
      <c r="D54" s="3">
        <f>411274.03-2600</f>
        <v>408674.03</v>
      </c>
      <c r="E54" s="4">
        <v>0.008</v>
      </c>
      <c r="F54" s="1">
        <f t="shared" si="1"/>
        <v>3269.39224</v>
      </c>
      <c r="G54" s="1">
        <f t="shared" si="2"/>
        <v>0.07775999999967098</v>
      </c>
    </row>
    <row r="55" spans="2:11" ht="12.75">
      <c r="B55" s="1">
        <f>7262.21-0.77</f>
        <v>7261.44</v>
      </c>
      <c r="D55" s="3">
        <f>474645.96-50</f>
        <v>474595.96</v>
      </c>
      <c r="E55" s="4">
        <v>0.0153</v>
      </c>
      <c r="F55" s="1">
        <f>D55*E55</f>
        <v>7261.318188</v>
      </c>
      <c r="G55" s="1">
        <f>B55-F55</f>
        <v>0.12181199999940873</v>
      </c>
      <c r="H55" s="11">
        <v>0.001543</v>
      </c>
      <c r="I55" s="1">
        <f>+D55*H55</f>
        <v>732.3015662800001</v>
      </c>
      <c r="J55" s="11">
        <v>0.005067</v>
      </c>
      <c r="K55" s="1">
        <f aca="true" t="shared" si="3" ref="K55:K64">D55*J55</f>
        <v>2404.77772932</v>
      </c>
    </row>
    <row r="56" spans="1:11" ht="12.75">
      <c r="A56" t="s">
        <v>4</v>
      </c>
      <c r="B56" s="1">
        <v>14175.86</v>
      </c>
      <c r="D56" s="3">
        <v>926533</v>
      </c>
      <c r="E56" s="4">
        <v>0.0153</v>
      </c>
      <c r="F56" s="1">
        <f t="shared" si="1"/>
        <v>14175.954899999999</v>
      </c>
      <c r="G56" s="1">
        <f t="shared" si="2"/>
        <v>-0.0948999999982334</v>
      </c>
      <c r="H56" s="11">
        <v>0.001543</v>
      </c>
      <c r="I56" s="1">
        <f aca="true" t="shared" si="4" ref="I56:I64">+D56*H56</f>
        <v>1429.640419</v>
      </c>
      <c r="J56" s="11">
        <v>0.005067</v>
      </c>
      <c r="K56" s="1">
        <f t="shared" si="3"/>
        <v>4694.742711</v>
      </c>
    </row>
    <row r="57" spans="1:11" ht="12.75">
      <c r="A57" t="s">
        <v>5</v>
      </c>
      <c r="B57" s="1">
        <v>7526.29</v>
      </c>
      <c r="D57" s="3">
        <v>491899</v>
      </c>
      <c r="E57" s="4">
        <v>0.0153</v>
      </c>
      <c r="F57" s="1">
        <f t="shared" si="1"/>
        <v>7526.0547</v>
      </c>
      <c r="G57" s="1">
        <f t="shared" si="2"/>
        <v>0.2353000000002794</v>
      </c>
      <c r="H57" s="11">
        <v>0.001543</v>
      </c>
      <c r="I57" s="1">
        <f t="shared" si="4"/>
        <v>759.0001570000001</v>
      </c>
      <c r="J57" s="11">
        <v>0.005067</v>
      </c>
      <c r="K57" s="1">
        <f t="shared" si="3"/>
        <v>2492.452233</v>
      </c>
    </row>
    <row r="58" spans="1:11" ht="12.75">
      <c r="A58" t="s">
        <v>6</v>
      </c>
      <c r="B58" s="1">
        <f>4530.27-17.36</f>
        <v>4512.910000000001</v>
      </c>
      <c r="D58" s="3">
        <f>296089-1136</f>
        <v>294953</v>
      </c>
      <c r="E58" s="4">
        <v>0.0153</v>
      </c>
      <c r="F58" s="1">
        <f t="shared" si="1"/>
        <v>4512.7809</v>
      </c>
      <c r="G58" s="1">
        <f t="shared" si="2"/>
        <v>0.12910000000101718</v>
      </c>
      <c r="H58" s="11">
        <v>0.001543</v>
      </c>
      <c r="I58" s="1">
        <f t="shared" si="4"/>
        <v>455.112479</v>
      </c>
      <c r="J58" s="11">
        <v>0.005067</v>
      </c>
      <c r="K58" s="1">
        <f t="shared" si="3"/>
        <v>1494.526851</v>
      </c>
    </row>
    <row r="59" spans="1:11" ht="12.75">
      <c r="A59" t="s">
        <v>7</v>
      </c>
      <c r="B59" s="1">
        <f>25547.32-16.5</f>
        <v>25530.82</v>
      </c>
      <c r="D59" s="3">
        <f>1669744-1177</f>
        <v>1668567</v>
      </c>
      <c r="E59" s="4">
        <v>0.0153</v>
      </c>
      <c r="F59" s="1">
        <f t="shared" si="1"/>
        <v>25529.0751</v>
      </c>
      <c r="G59" s="1">
        <f t="shared" si="2"/>
        <v>1.7449000000015076</v>
      </c>
      <c r="H59" s="11">
        <v>0.001543</v>
      </c>
      <c r="I59" s="1">
        <f t="shared" si="4"/>
        <v>2574.5988810000003</v>
      </c>
      <c r="J59" s="11">
        <v>0.005067</v>
      </c>
      <c r="K59" s="1">
        <f t="shared" si="3"/>
        <v>8454.628989</v>
      </c>
    </row>
    <row r="60" spans="1:11" ht="12.75">
      <c r="A60" t="s">
        <v>8</v>
      </c>
      <c r="B60" s="1">
        <f>13614.49-5.65</f>
        <v>13608.84</v>
      </c>
      <c r="D60" s="3">
        <f>889848.98-369</f>
        <v>889479.98</v>
      </c>
      <c r="E60" s="4">
        <v>0.0153</v>
      </c>
      <c r="F60" s="1">
        <f t="shared" si="1"/>
        <v>13609.043694</v>
      </c>
      <c r="G60" s="1">
        <f t="shared" si="2"/>
        <v>-0.20369399999981397</v>
      </c>
      <c r="H60" s="11">
        <v>0.001543</v>
      </c>
      <c r="I60" s="1">
        <f t="shared" si="4"/>
        <v>1372.4676091400001</v>
      </c>
      <c r="J60" s="11">
        <v>0.005067</v>
      </c>
      <c r="K60" s="1">
        <f t="shared" si="3"/>
        <v>4506.99505866</v>
      </c>
    </row>
    <row r="61" spans="1:11" ht="12.75">
      <c r="A61" t="s">
        <v>9</v>
      </c>
      <c r="B61" s="1">
        <f>2068.65-43.54</f>
        <v>2025.1100000000001</v>
      </c>
      <c r="D61" s="3">
        <f>135208-2846</f>
        <v>132362</v>
      </c>
      <c r="E61" s="4">
        <v>0.0153</v>
      </c>
      <c r="F61" s="1">
        <f t="shared" si="1"/>
        <v>2025.1386</v>
      </c>
      <c r="G61" s="1">
        <f t="shared" si="2"/>
        <v>-0.028599999999869397</v>
      </c>
      <c r="H61" s="11">
        <v>0.001543</v>
      </c>
      <c r="I61" s="1">
        <f t="shared" si="4"/>
        <v>204.234566</v>
      </c>
      <c r="J61" s="11">
        <v>0.005067</v>
      </c>
      <c r="K61" s="1">
        <f t="shared" si="3"/>
        <v>670.678254</v>
      </c>
    </row>
    <row r="62" spans="1:11" ht="12.75">
      <c r="A62" t="s">
        <v>10</v>
      </c>
      <c r="B62" s="1">
        <f>14136.01+11260.64-13.28</f>
        <v>25383.370000000003</v>
      </c>
      <c r="D62" s="3">
        <f>923924+735979-868</f>
        <v>1659035</v>
      </c>
      <c r="E62" s="4">
        <v>0.0153</v>
      </c>
      <c r="F62" s="1">
        <f t="shared" si="1"/>
        <v>25383.2355</v>
      </c>
      <c r="G62" s="1">
        <f t="shared" si="2"/>
        <v>0.1345000000037544</v>
      </c>
      <c r="H62" s="11">
        <v>0.001543</v>
      </c>
      <c r="I62" s="1">
        <f t="shared" si="4"/>
        <v>2559.891005</v>
      </c>
      <c r="J62" s="11">
        <v>0.005067</v>
      </c>
      <c r="K62" s="1">
        <f t="shared" si="3"/>
        <v>8406.330345</v>
      </c>
    </row>
    <row r="63" spans="1:11" ht="12.75">
      <c r="A63" t="s">
        <v>11</v>
      </c>
      <c r="E63" s="4">
        <v>0.0153</v>
      </c>
      <c r="F63" s="1">
        <f t="shared" si="1"/>
        <v>0</v>
      </c>
      <c r="G63" s="1">
        <f t="shared" si="2"/>
        <v>0</v>
      </c>
      <c r="H63" s="11">
        <v>0.001543</v>
      </c>
      <c r="I63" s="1">
        <f t="shared" si="4"/>
        <v>0</v>
      </c>
      <c r="J63" s="11">
        <v>0.005067</v>
      </c>
      <c r="K63" s="1">
        <f t="shared" si="3"/>
        <v>0</v>
      </c>
    </row>
    <row r="64" spans="1:14" ht="12.75">
      <c r="A64" t="s">
        <v>12</v>
      </c>
      <c r="B64" s="1">
        <v>14012.69</v>
      </c>
      <c r="D64" s="3">
        <v>915854.99</v>
      </c>
      <c r="E64" s="4">
        <v>0.0153</v>
      </c>
      <c r="F64" s="1">
        <f t="shared" si="1"/>
        <v>14012.581347</v>
      </c>
      <c r="G64" s="1">
        <f t="shared" si="2"/>
        <v>0.10865300000114075</v>
      </c>
      <c r="H64" s="11">
        <v>0.001543</v>
      </c>
      <c r="I64" s="1">
        <f t="shared" si="4"/>
        <v>1413.16424957</v>
      </c>
      <c r="J64" s="11">
        <v>0.005067</v>
      </c>
      <c r="K64" s="1">
        <f t="shared" si="3"/>
        <v>4640.63723433</v>
      </c>
      <c r="M64" s="64">
        <f>SUM(K55:K64)</f>
        <v>37765.76940531</v>
      </c>
      <c r="N64" s="64">
        <f>SUM(I55:I64)</f>
        <v>11500.41093199</v>
      </c>
    </row>
    <row r="66" spans="2:7" ht="12.75">
      <c r="B66" s="1">
        <f>SUM(B52:B65)</f>
        <v>134546.11000000002</v>
      </c>
      <c r="C66" s="1">
        <f>SUM(C52:C65)</f>
        <v>0</v>
      </c>
      <c r="D66" s="3">
        <f>SUM(D52:D65)</f>
        <v>10016781.96</v>
      </c>
      <c r="E66" s="1"/>
      <c r="F66" s="1">
        <f>SUM(F52:F65)</f>
        <v>134543.19916899997</v>
      </c>
      <c r="G66" s="1">
        <f>SUM(G52:G65)</f>
        <v>2.910831000009466</v>
      </c>
    </row>
    <row r="68" spans="2:5" ht="12.75">
      <c r="B68" s="1">
        <f>D68*E68</f>
        <v>13770</v>
      </c>
      <c r="D68" s="3">
        <v>900000</v>
      </c>
      <c r="E68" s="4">
        <v>0.0153</v>
      </c>
    </row>
    <row r="69" spans="2:5" ht="12.75">
      <c r="B69" s="1">
        <f>D69*E69</f>
        <v>14535</v>
      </c>
      <c r="D69" s="3">
        <v>950000</v>
      </c>
      <c r="E69" s="4">
        <v>0.0153</v>
      </c>
    </row>
    <row r="71" spans="2:4" ht="12.75">
      <c r="B71" s="1">
        <f>SUM(B66:B69)</f>
        <v>162851.11000000002</v>
      </c>
      <c r="D71" s="3">
        <f>SUM(D66:D69)</f>
        <v>11866781.96</v>
      </c>
    </row>
    <row r="97" ht="12.75">
      <c r="A97" t="s">
        <v>18</v>
      </c>
    </row>
    <row r="100" spans="1:5" ht="12.75">
      <c r="A100" t="s">
        <v>1</v>
      </c>
      <c r="B100" s="1">
        <v>1859.75</v>
      </c>
      <c r="C100" s="1">
        <v>13.39</v>
      </c>
      <c r="D100" s="3">
        <f>B100/C100</f>
        <v>138.89096340552652</v>
      </c>
      <c r="E100" s="3">
        <f>D100</f>
        <v>138.89096340552652</v>
      </c>
    </row>
    <row r="101" spans="1:5" ht="12.75">
      <c r="A101" t="s">
        <v>2</v>
      </c>
      <c r="B101" s="1">
        <v>1803.6</v>
      </c>
      <c r="C101" s="1">
        <v>13.39</v>
      </c>
      <c r="D101" s="3">
        <f>B101/C101</f>
        <v>134.69753547423448</v>
      </c>
      <c r="E101" s="3">
        <f>D101</f>
        <v>134.69753547423448</v>
      </c>
    </row>
    <row r="102" spans="1:5" ht="12.75">
      <c r="A102" t="s">
        <v>3</v>
      </c>
      <c r="B102" s="1">
        <f>1462.01+5.8-720.12</f>
        <v>747.6899999999999</v>
      </c>
      <c r="C102" s="1">
        <v>13.39</v>
      </c>
      <c r="D102" s="3">
        <f>B102/C102</f>
        <v>55.83943241224794</v>
      </c>
      <c r="E102" s="3">
        <f>D102+D103</f>
        <v>118.65905922634606</v>
      </c>
    </row>
    <row r="103" spans="2:5" ht="12.75">
      <c r="B103" s="1">
        <f>1733.1+7.24-831.34</f>
        <v>908.9999999999999</v>
      </c>
      <c r="C103" s="1">
        <v>14.47</v>
      </c>
      <c r="D103" s="3">
        <f>B103/C103</f>
        <v>62.81962681409812</v>
      </c>
      <c r="E103" s="3"/>
    </row>
    <row r="104" spans="1:5" ht="12.75">
      <c r="A104" t="s">
        <v>4</v>
      </c>
      <c r="B104" s="1">
        <v>17.81</v>
      </c>
      <c r="C104" s="1">
        <v>13.39</v>
      </c>
      <c r="D104" s="3">
        <f aca="true" t="shared" si="5" ref="D104:D113">B104/C104</f>
        <v>1.3300970873786406</v>
      </c>
      <c r="E104" s="3">
        <f>D104+D105</f>
        <v>135.6099865137781</v>
      </c>
    </row>
    <row r="105" spans="2:5" ht="12.75">
      <c r="B105" s="1">
        <v>1943.03</v>
      </c>
      <c r="C105" s="1">
        <v>14.47</v>
      </c>
      <c r="D105" s="3">
        <f t="shared" si="5"/>
        <v>134.27988942639945</v>
      </c>
      <c r="E105" s="3"/>
    </row>
    <row r="106" spans="1:5" ht="12.75">
      <c r="A106" t="s">
        <v>5</v>
      </c>
      <c r="B106" s="1">
        <v>933.45</v>
      </c>
      <c r="C106" s="1">
        <v>14.47</v>
      </c>
      <c r="D106" s="3">
        <f t="shared" si="5"/>
        <v>64.50932964754665</v>
      </c>
      <c r="E106" s="3">
        <f>SUM(D106:D108)/3</f>
        <v>130.23750287952086</v>
      </c>
    </row>
    <row r="107" spans="1:5" ht="12.75">
      <c r="A107" t="s">
        <v>6</v>
      </c>
      <c r="B107" s="1">
        <v>1062.3</v>
      </c>
      <c r="C107" s="1">
        <v>14.47</v>
      </c>
      <c r="D107" s="3">
        <f t="shared" si="5"/>
        <v>73.41395991706979</v>
      </c>
      <c r="E107" s="3">
        <f>E106</f>
        <v>130.23750287952086</v>
      </c>
    </row>
    <row r="108" spans="1:5" ht="12.75">
      <c r="A108" t="s">
        <v>7</v>
      </c>
      <c r="B108" s="1">
        <v>3657.86</v>
      </c>
      <c r="C108" s="1">
        <v>14.47</v>
      </c>
      <c r="D108" s="3">
        <f t="shared" si="5"/>
        <v>252.7892190739461</v>
      </c>
      <c r="E108" s="3">
        <f>E107</f>
        <v>130.23750287952086</v>
      </c>
    </row>
    <row r="109" spans="1:5" ht="12.75">
      <c r="A109" t="s">
        <v>8</v>
      </c>
      <c r="B109" s="1">
        <v>1210.47</v>
      </c>
      <c r="C109" s="1">
        <v>14.47</v>
      </c>
      <c r="D109" s="3">
        <f t="shared" si="5"/>
        <v>83.65376641326883</v>
      </c>
      <c r="E109" s="3">
        <f>SUM(D109:D111)/3</f>
        <v>130.73646625201565</v>
      </c>
    </row>
    <row r="110" spans="1:5" ht="12.75">
      <c r="A110" t="s">
        <v>9</v>
      </c>
      <c r="B110" s="1">
        <v>732.16</v>
      </c>
      <c r="C110" s="1">
        <v>14.47</v>
      </c>
      <c r="D110" s="3">
        <f t="shared" si="5"/>
        <v>50.59847961299239</v>
      </c>
      <c r="E110" s="3">
        <f>E109</f>
        <v>130.73646625201565</v>
      </c>
    </row>
    <row r="111" spans="1:5" ht="12.75">
      <c r="A111" t="s">
        <v>10</v>
      </c>
      <c r="B111" s="1">
        <v>3732.64</v>
      </c>
      <c r="C111" s="1">
        <v>14.47</v>
      </c>
      <c r="D111" s="3">
        <f t="shared" si="5"/>
        <v>257.9571527297857</v>
      </c>
      <c r="E111" s="3">
        <f>E110</f>
        <v>130.73646625201565</v>
      </c>
    </row>
    <row r="112" spans="1:5" ht="12.75">
      <c r="A112" t="s">
        <v>11</v>
      </c>
      <c r="C112" s="1">
        <v>14.47</v>
      </c>
      <c r="D112" s="3">
        <f t="shared" si="5"/>
        <v>0</v>
      </c>
      <c r="E112" s="3">
        <f>D112</f>
        <v>0</v>
      </c>
    </row>
    <row r="113" spans="1:5" ht="12.75">
      <c r="A113" t="s">
        <v>12</v>
      </c>
      <c r="B113" s="1">
        <v>1883.32</v>
      </c>
      <c r="C113" s="1">
        <v>14.47</v>
      </c>
      <c r="D113" s="3">
        <f t="shared" si="5"/>
        <v>130.1534208707671</v>
      </c>
      <c r="E113" s="3">
        <f>D113</f>
        <v>130.1534208707671</v>
      </c>
    </row>
    <row r="115" spans="2:4" ht="12.75">
      <c r="B115" s="1">
        <f>SUM(B100:B114)</f>
        <v>20493.079999999998</v>
      </c>
      <c r="D115" s="3">
        <f>SUM(D100:D114)</f>
        <v>1440.932872885262</v>
      </c>
    </row>
    <row r="117" spans="2:4" ht="12.75">
      <c r="B117" s="1">
        <f>D117*C117</f>
        <v>1895.5700000000002</v>
      </c>
      <c r="C117" s="1">
        <v>14.47</v>
      </c>
      <c r="D117" s="3">
        <v>131</v>
      </c>
    </row>
    <row r="118" spans="2:4" ht="12.75">
      <c r="B118" s="1">
        <f>D118*C118</f>
        <v>1895.5700000000002</v>
      </c>
      <c r="C118" s="1">
        <v>14.47</v>
      </c>
      <c r="D118" s="3">
        <v>131</v>
      </c>
    </row>
    <row r="120" ht="12.75">
      <c r="B120" s="1">
        <f>SUM(B115:B118)</f>
        <v>24284.219999999998</v>
      </c>
    </row>
    <row r="144" ht="13.5" thickBot="1"/>
    <row r="145" spans="1:4" ht="13.5" thickBot="1">
      <c r="A145" s="56" t="s">
        <v>20</v>
      </c>
      <c r="B145" s="57"/>
      <c r="C145" s="57"/>
      <c r="D145" s="58"/>
    </row>
    <row r="146" spans="8:14" ht="12.75">
      <c r="H146" s="51" t="s">
        <v>58</v>
      </c>
      <c r="I146" s="51" t="s">
        <v>58</v>
      </c>
      <c r="J146" s="51" t="s">
        <v>33</v>
      </c>
      <c r="K146" s="51" t="s">
        <v>33</v>
      </c>
      <c r="M146" s="67" t="s">
        <v>60</v>
      </c>
      <c r="N146" s="67" t="s">
        <v>61</v>
      </c>
    </row>
    <row r="147" spans="3:11" ht="12.75">
      <c r="C147" s="1" t="s">
        <v>14</v>
      </c>
      <c r="D147" s="3" t="s">
        <v>13</v>
      </c>
      <c r="E147" s="4" t="s">
        <v>15</v>
      </c>
      <c r="F147" s="1" t="s">
        <v>16</v>
      </c>
      <c r="G147" s="1" t="s">
        <v>17</v>
      </c>
      <c r="H147" s="51" t="s">
        <v>15</v>
      </c>
      <c r="I147" s="52" t="s">
        <v>59</v>
      </c>
      <c r="J147" s="51" t="s">
        <v>15</v>
      </c>
      <c r="K147" s="52" t="s">
        <v>59</v>
      </c>
    </row>
    <row r="148" spans="1:7" ht="12.75">
      <c r="A148" t="s">
        <v>1</v>
      </c>
      <c r="B148" s="1">
        <v>3195.71</v>
      </c>
      <c r="D148" s="3">
        <v>270825.36</v>
      </c>
      <c r="E148" s="4">
        <v>0.0118</v>
      </c>
      <c r="F148" s="1">
        <f>D148*E148</f>
        <v>3195.739248</v>
      </c>
      <c r="G148" s="1">
        <f>B148-F148</f>
        <v>-0.02924799999982497</v>
      </c>
    </row>
    <row r="149" spans="1:7" ht="12.75">
      <c r="A149" t="s">
        <v>2</v>
      </c>
      <c r="B149" s="1">
        <v>3235.27</v>
      </c>
      <c r="D149" s="3">
        <v>274170.23</v>
      </c>
      <c r="E149" s="4">
        <v>0.0118</v>
      </c>
      <c r="F149" s="1">
        <f aca="true" t="shared" si="6" ref="F149:F161">D149*E149</f>
        <v>3235.208714</v>
      </c>
      <c r="G149" s="1">
        <f aca="true" t="shared" si="7" ref="G149:G161">B149-F149</f>
        <v>0.0612860000001092</v>
      </c>
    </row>
    <row r="150" spans="1:7" ht="12.75">
      <c r="A150" t="s">
        <v>3</v>
      </c>
      <c r="B150" s="1">
        <f>2542.35+1166.31-2748.57</f>
        <v>960.0899999999997</v>
      </c>
      <c r="D150" s="3">
        <f>215436.9+98264.15-232343.4</f>
        <v>81357.65</v>
      </c>
      <c r="E150" s="4">
        <v>0.0118</v>
      </c>
      <c r="F150" s="1">
        <f t="shared" si="6"/>
        <v>960.0202699999999</v>
      </c>
      <c r="G150" s="1">
        <f t="shared" si="7"/>
        <v>0.06972999999982221</v>
      </c>
    </row>
    <row r="151" spans="2:11" ht="12.75">
      <c r="B151" s="1">
        <v>2642.52</v>
      </c>
      <c r="D151" s="3">
        <v>150316.88</v>
      </c>
      <c r="E151" s="4">
        <v>0.0188</v>
      </c>
      <c r="F151" s="1">
        <f t="shared" si="6"/>
        <v>2825.9573440000004</v>
      </c>
      <c r="G151" s="1">
        <f t="shared" si="7"/>
        <v>-183.4373440000004</v>
      </c>
      <c r="H151" s="11">
        <v>0.001418</v>
      </c>
      <c r="I151" s="1">
        <f>+D151*H151</f>
        <v>213.14933584</v>
      </c>
      <c r="J151" s="11">
        <v>0.004656</v>
      </c>
      <c r="K151" s="1">
        <f>D151*J151</f>
        <v>699.8753932800001</v>
      </c>
    </row>
    <row r="152" spans="1:9" ht="12.75">
      <c r="A152" t="s">
        <v>4</v>
      </c>
      <c r="B152" s="1">
        <v>4.75</v>
      </c>
      <c r="D152" s="3">
        <v>402.56</v>
      </c>
      <c r="E152" s="4">
        <v>0.0118</v>
      </c>
      <c r="F152" s="1">
        <f t="shared" si="6"/>
        <v>4.750208</v>
      </c>
      <c r="G152" s="1">
        <f t="shared" si="7"/>
        <v>-0.00020799999999976393</v>
      </c>
      <c r="I152" s="1">
        <f aca="true" t="shared" si="8" ref="I152:I161">+D152*H152</f>
        <v>0</v>
      </c>
    </row>
    <row r="153" spans="2:11" ht="12.75">
      <c r="B153" s="1">
        <v>4476.76</v>
      </c>
      <c r="D153" s="3">
        <v>238125.67</v>
      </c>
      <c r="E153" s="4">
        <v>0.0188</v>
      </c>
      <c r="F153" s="1">
        <f t="shared" si="6"/>
        <v>4476.7625960000005</v>
      </c>
      <c r="G153" s="1">
        <f t="shared" si="7"/>
        <v>-0.0025960000002669403</v>
      </c>
      <c r="H153" s="11">
        <v>0.001418</v>
      </c>
      <c r="I153" s="1">
        <f t="shared" si="8"/>
        <v>337.66220006000003</v>
      </c>
      <c r="J153" s="11">
        <v>0.004656</v>
      </c>
      <c r="K153" s="1">
        <f aca="true" t="shared" si="9" ref="K153:K161">D153*J153</f>
        <v>1108.7131195200002</v>
      </c>
    </row>
    <row r="154" spans="1:11" ht="12.75">
      <c r="A154" t="s">
        <v>5</v>
      </c>
      <c r="B154" s="1">
        <v>1717.22</v>
      </c>
      <c r="D154" s="3">
        <v>91342</v>
      </c>
      <c r="E154" s="4">
        <v>0.0188</v>
      </c>
      <c r="F154" s="1">
        <f t="shared" si="6"/>
        <v>1717.2296000000001</v>
      </c>
      <c r="G154" s="1">
        <f t="shared" si="7"/>
        <v>-0.009600000000091313</v>
      </c>
      <c r="H154" s="11">
        <v>0.001418</v>
      </c>
      <c r="I154" s="1">
        <f t="shared" si="8"/>
        <v>129.522956</v>
      </c>
      <c r="J154" s="11">
        <v>0.004656</v>
      </c>
      <c r="K154" s="1">
        <f t="shared" si="9"/>
        <v>425.28835200000003</v>
      </c>
    </row>
    <row r="155" spans="1:11" ht="12.75">
      <c r="A155" t="s">
        <v>6</v>
      </c>
      <c r="B155" s="1">
        <v>2117.42</v>
      </c>
      <c r="D155" s="3">
        <v>112625</v>
      </c>
      <c r="E155" s="4">
        <v>0.0188</v>
      </c>
      <c r="F155" s="1">
        <f t="shared" si="6"/>
        <v>2117.35</v>
      </c>
      <c r="G155" s="1">
        <f t="shared" si="7"/>
        <v>0.07000000000016371</v>
      </c>
      <c r="H155" s="11">
        <v>0.001418</v>
      </c>
      <c r="I155" s="1">
        <f t="shared" si="8"/>
        <v>159.70225</v>
      </c>
      <c r="J155" s="11">
        <v>0.004656</v>
      </c>
      <c r="K155" s="1">
        <f t="shared" si="9"/>
        <v>524.3820000000001</v>
      </c>
    </row>
    <row r="156" spans="1:11" ht="12.75">
      <c r="A156" t="s">
        <v>7</v>
      </c>
      <c r="B156" s="1">
        <f>8238.55-43.71</f>
        <v>8194.84</v>
      </c>
      <c r="D156" s="3">
        <f>438223.23-2325</f>
        <v>435898.23</v>
      </c>
      <c r="E156" s="4">
        <v>0.0188</v>
      </c>
      <c r="F156" s="1">
        <f t="shared" si="6"/>
        <v>8194.886724</v>
      </c>
      <c r="G156" s="1">
        <f t="shared" si="7"/>
        <v>-0.046723999999812804</v>
      </c>
      <c r="H156" s="11">
        <v>0.001418</v>
      </c>
      <c r="I156" s="1">
        <f t="shared" si="8"/>
        <v>618.1036901399999</v>
      </c>
      <c r="J156" s="11">
        <v>0.004656</v>
      </c>
      <c r="K156" s="1">
        <f t="shared" si="9"/>
        <v>2029.54215888</v>
      </c>
    </row>
    <row r="157" spans="1:11" ht="12.75">
      <c r="A157" t="s">
        <v>8</v>
      </c>
      <c r="B157" s="1">
        <v>1733.59</v>
      </c>
      <c r="D157" s="3">
        <v>92212.43</v>
      </c>
      <c r="E157" s="4">
        <v>0.0188</v>
      </c>
      <c r="F157" s="1">
        <f t="shared" si="6"/>
        <v>1733.593684</v>
      </c>
      <c r="G157" s="1">
        <f t="shared" si="7"/>
        <v>-0.003684000000021115</v>
      </c>
      <c r="H157" s="11">
        <v>0.001418</v>
      </c>
      <c r="I157" s="1">
        <f t="shared" si="8"/>
        <v>130.75722574</v>
      </c>
      <c r="J157" s="11">
        <v>0.004656</v>
      </c>
      <c r="K157" s="1">
        <f t="shared" si="9"/>
        <v>429.34107408</v>
      </c>
    </row>
    <row r="158" spans="1:11" ht="12.75">
      <c r="A158" t="s">
        <v>9</v>
      </c>
      <c r="B158" s="1">
        <v>2925.72</v>
      </c>
      <c r="D158" s="3">
        <v>155622.37</v>
      </c>
      <c r="E158" s="4">
        <v>0.0188</v>
      </c>
      <c r="F158" s="1">
        <f t="shared" si="6"/>
        <v>2925.7005560000002</v>
      </c>
      <c r="G158" s="1">
        <f t="shared" si="7"/>
        <v>0.019443999999566586</v>
      </c>
      <c r="H158" s="11">
        <v>0.001418</v>
      </c>
      <c r="I158" s="1">
        <f t="shared" si="8"/>
        <v>220.67252066</v>
      </c>
      <c r="J158" s="11">
        <v>0.004656</v>
      </c>
      <c r="K158" s="1">
        <f t="shared" si="9"/>
        <v>724.57775472</v>
      </c>
    </row>
    <row r="159" spans="1:11" ht="12.75">
      <c r="A159" t="s">
        <v>10</v>
      </c>
      <c r="B159" s="1">
        <f>7957.85-8.01</f>
        <v>7949.84</v>
      </c>
      <c r="D159" s="3">
        <f>423290.67-426</f>
        <v>422864.67</v>
      </c>
      <c r="E159" s="4">
        <v>0.0188</v>
      </c>
      <c r="F159" s="1">
        <f t="shared" si="6"/>
        <v>7949.855796</v>
      </c>
      <c r="G159" s="1">
        <f t="shared" si="7"/>
        <v>-0.015795999999681953</v>
      </c>
      <c r="H159" s="11">
        <v>0.001418</v>
      </c>
      <c r="I159" s="1">
        <f t="shared" si="8"/>
        <v>599.62210206</v>
      </c>
      <c r="J159" s="11">
        <v>0.004656</v>
      </c>
      <c r="K159" s="1">
        <f t="shared" si="9"/>
        <v>1968.85790352</v>
      </c>
    </row>
    <row r="160" spans="1:11" ht="12.75">
      <c r="A160" t="s">
        <v>11</v>
      </c>
      <c r="E160" s="4">
        <v>0.0188</v>
      </c>
      <c r="F160" s="1">
        <f t="shared" si="6"/>
        <v>0</v>
      </c>
      <c r="G160" s="1">
        <f t="shared" si="7"/>
        <v>0</v>
      </c>
      <c r="H160" s="11">
        <v>0.001418</v>
      </c>
      <c r="I160" s="1">
        <f t="shared" si="8"/>
        <v>0</v>
      </c>
      <c r="J160" s="11">
        <v>0.004656</v>
      </c>
      <c r="K160" s="1">
        <f t="shared" si="9"/>
        <v>0</v>
      </c>
    </row>
    <row r="161" spans="1:14" ht="12.75">
      <c r="A161" t="s">
        <v>12</v>
      </c>
      <c r="B161" s="1">
        <v>4283.14</v>
      </c>
      <c r="D161" s="3">
        <v>227826.76</v>
      </c>
      <c r="E161" s="4">
        <v>0.0188</v>
      </c>
      <c r="F161" s="1">
        <f t="shared" si="6"/>
        <v>4283.143088000001</v>
      </c>
      <c r="G161" s="1">
        <f t="shared" si="7"/>
        <v>-0.003088000000389002</v>
      </c>
      <c r="H161" s="11">
        <v>0.001418</v>
      </c>
      <c r="I161" s="1">
        <f t="shared" si="8"/>
        <v>323.05834568</v>
      </c>
      <c r="J161" s="11">
        <v>0.004656</v>
      </c>
      <c r="K161" s="1">
        <f t="shared" si="9"/>
        <v>1060.76139456</v>
      </c>
      <c r="M161" s="64">
        <f>SUM(K151:K161)</f>
        <v>8971.339150560001</v>
      </c>
      <c r="N161" s="64">
        <f>SUM(I151:I161)</f>
        <v>2732.25062618</v>
      </c>
    </row>
    <row r="163" spans="2:7" ht="12.75">
      <c r="B163" s="1">
        <f>SUM(B148:B162)</f>
        <v>43436.869999999995</v>
      </c>
      <c r="C163" s="1">
        <f>SUM(C148:C162)</f>
        <v>0</v>
      </c>
      <c r="D163" s="3">
        <f>SUM(D148:D162)</f>
        <v>2553589.8099999996</v>
      </c>
      <c r="E163" s="1"/>
      <c r="F163" s="1">
        <f>SUM(F148:F162)</f>
        <v>43620.197828000004</v>
      </c>
      <c r="G163" s="1">
        <f>SUM(G148:G162)</f>
        <v>-183.3278280000008</v>
      </c>
    </row>
    <row r="165" spans="2:5" ht="12.75">
      <c r="B165" s="1">
        <f>D165*E165</f>
        <v>4700</v>
      </c>
      <c r="D165" s="3">
        <v>250000</v>
      </c>
      <c r="E165" s="4">
        <v>0.0188</v>
      </c>
    </row>
    <row r="166" spans="2:5" ht="12.75">
      <c r="B166" s="1">
        <f>D166*E166</f>
        <v>4888</v>
      </c>
      <c r="D166" s="3">
        <v>260000</v>
      </c>
      <c r="E166" s="4">
        <v>0.0188</v>
      </c>
    </row>
    <row r="168" spans="2:4" ht="12.75">
      <c r="B168" s="1">
        <f>SUM(B163:B166)</f>
        <v>53024.869999999995</v>
      </c>
      <c r="D168" s="3">
        <f>SUM(D163:D166)</f>
        <v>3063589.8099999996</v>
      </c>
    </row>
    <row r="170" ht="12.75">
      <c r="D170" s="3">
        <f>D168/131</f>
        <v>23386.18175572519</v>
      </c>
    </row>
    <row r="193" ht="12.75">
      <c r="A193" t="s">
        <v>21</v>
      </c>
    </row>
    <row r="194" spans="8:11" ht="12.75">
      <c r="H194" s="51"/>
      <c r="I194" s="51"/>
      <c r="J194" s="51"/>
      <c r="K194" s="51"/>
    </row>
    <row r="195" spans="8:11" ht="12.75">
      <c r="H195" s="51"/>
      <c r="I195" s="52"/>
      <c r="J195" s="51"/>
      <c r="K195" s="52"/>
    </row>
    <row r="196" spans="1:4" ht="12.75">
      <c r="A196" t="s">
        <v>1</v>
      </c>
      <c r="B196" s="1">
        <v>228.44</v>
      </c>
      <c r="C196" s="1">
        <v>214.16</v>
      </c>
      <c r="D196" s="3">
        <f>B196/C196</f>
        <v>1.0666791184161375</v>
      </c>
    </row>
    <row r="197" spans="1:4" ht="12.75">
      <c r="A197" t="s">
        <v>2</v>
      </c>
      <c r="B197" s="1">
        <v>221.3</v>
      </c>
      <c r="C197" s="1">
        <v>214.16</v>
      </c>
      <c r="D197" s="3">
        <f aca="true" t="shared" si="10" ref="D197:D208">B197/C197</f>
        <v>1.0333395592080687</v>
      </c>
    </row>
    <row r="198" spans="1:4" ht="12.75">
      <c r="A198" t="s">
        <v>3</v>
      </c>
      <c r="B198" s="1">
        <v>92.8</v>
      </c>
      <c r="C198" s="1">
        <v>214.16</v>
      </c>
      <c r="D198" s="2">
        <f t="shared" si="10"/>
        <v>0.4333208815838625</v>
      </c>
    </row>
    <row r="199" spans="2:4" ht="12.75">
      <c r="B199" s="1">
        <v>115.72</v>
      </c>
      <c r="C199" s="1">
        <v>231.43</v>
      </c>
      <c r="D199" s="2">
        <f t="shared" si="10"/>
        <v>0.5000216048049085</v>
      </c>
    </row>
    <row r="200" spans="1:4" ht="12.75">
      <c r="A200" t="s">
        <v>4</v>
      </c>
      <c r="B200" s="1">
        <v>239.14</v>
      </c>
      <c r="C200" s="1">
        <v>231.43</v>
      </c>
      <c r="D200" s="3">
        <f t="shared" si="10"/>
        <v>1.033314609169079</v>
      </c>
    </row>
    <row r="201" spans="1:4" ht="12.75">
      <c r="A201" t="s">
        <v>5</v>
      </c>
      <c r="C201" s="1">
        <v>231.43</v>
      </c>
      <c r="D201" s="3">
        <f t="shared" si="10"/>
        <v>0</v>
      </c>
    </row>
    <row r="202" spans="1:4" ht="12.75">
      <c r="A202" t="s">
        <v>6</v>
      </c>
      <c r="B202" s="1">
        <v>231.44</v>
      </c>
      <c r="C202" s="1">
        <v>231.43</v>
      </c>
      <c r="D202" s="3">
        <f t="shared" si="10"/>
        <v>1.000043209609817</v>
      </c>
    </row>
    <row r="203" spans="1:4" ht="12.75">
      <c r="A203" t="s">
        <v>7</v>
      </c>
      <c r="B203" s="1">
        <v>470.57</v>
      </c>
      <c r="C203" s="1">
        <v>231.43</v>
      </c>
      <c r="D203" s="3">
        <f t="shared" si="10"/>
        <v>2.033314609169079</v>
      </c>
    </row>
    <row r="204" spans="1:4" ht="12.75">
      <c r="A204" t="s">
        <v>8</v>
      </c>
      <c r="B204" s="1">
        <v>0</v>
      </c>
      <c r="C204" s="1">
        <v>231.43</v>
      </c>
      <c r="D204" s="3">
        <f t="shared" si="10"/>
        <v>0</v>
      </c>
    </row>
    <row r="205" spans="1:4" ht="12.75">
      <c r="A205" t="s">
        <v>9</v>
      </c>
      <c r="B205" s="1">
        <v>239.14</v>
      </c>
      <c r="C205" s="1">
        <v>231.43</v>
      </c>
      <c r="D205" s="3">
        <f t="shared" si="10"/>
        <v>1.033314609169079</v>
      </c>
    </row>
    <row r="206" spans="1:4" ht="12.75">
      <c r="A206" t="s">
        <v>10</v>
      </c>
      <c r="B206" s="1">
        <v>470.58</v>
      </c>
      <c r="C206" s="1">
        <v>231.43</v>
      </c>
      <c r="D206" s="3">
        <f t="shared" si="10"/>
        <v>2.0333578187788963</v>
      </c>
    </row>
    <row r="207" spans="1:4" ht="12.75">
      <c r="A207" t="s">
        <v>11</v>
      </c>
      <c r="C207" s="1">
        <v>231.43</v>
      </c>
      <c r="D207" s="3">
        <f t="shared" si="10"/>
        <v>0</v>
      </c>
    </row>
    <row r="208" spans="1:4" ht="12.75">
      <c r="A208" t="s">
        <v>12</v>
      </c>
      <c r="C208" s="1">
        <v>231.43</v>
      </c>
      <c r="D208" s="3">
        <f t="shared" si="10"/>
        <v>0</v>
      </c>
    </row>
    <row r="210" spans="2:4" ht="12.75">
      <c r="B210" s="1">
        <f>SUM(B196:B209)</f>
        <v>2309.1299999999997</v>
      </c>
      <c r="D210" s="3">
        <f>SUM(D196:D209)</f>
        <v>10.166706019908927</v>
      </c>
    </row>
    <row r="212" spans="2:4" ht="12.75">
      <c r="B212" s="1">
        <f>C212</f>
        <v>231.43</v>
      </c>
      <c r="C212" s="1">
        <v>231.43</v>
      </c>
      <c r="D212" s="3">
        <v>1</v>
      </c>
    </row>
    <row r="213" spans="2:4" ht="12.75">
      <c r="B213" s="1">
        <f>C213</f>
        <v>231.43</v>
      </c>
      <c r="C213" s="1">
        <v>231.43</v>
      </c>
      <c r="D213" s="3">
        <v>1</v>
      </c>
    </row>
    <row r="215" ht="12.75">
      <c r="B215" s="1">
        <f>SUM(B210:B213)</f>
        <v>2771.9899999999993</v>
      </c>
    </row>
    <row r="240" ht="13.5" thickBot="1"/>
    <row r="241" spans="1:14" ht="13.5" thickBot="1">
      <c r="A241" s="59" t="s">
        <v>68</v>
      </c>
      <c r="B241" s="60"/>
      <c r="C241" s="60"/>
      <c r="D241" s="61"/>
      <c r="H241" s="51" t="s">
        <v>58</v>
      </c>
      <c r="I241" s="51" t="s">
        <v>58</v>
      </c>
      <c r="J241" s="51" t="s">
        <v>33</v>
      </c>
      <c r="K241" s="51" t="s">
        <v>33</v>
      </c>
      <c r="M241" s="67" t="s">
        <v>60</v>
      </c>
      <c r="N241" s="67" t="s">
        <v>61</v>
      </c>
    </row>
    <row r="242" spans="8:11" ht="12.75">
      <c r="H242" s="51" t="s">
        <v>15</v>
      </c>
      <c r="I242" s="52" t="s">
        <v>59</v>
      </c>
      <c r="J242" s="51" t="s">
        <v>15</v>
      </c>
      <c r="K242" s="52" t="s">
        <v>59</v>
      </c>
    </row>
    <row r="243" spans="3:7" ht="12.75">
      <c r="C243" s="1" t="s">
        <v>14</v>
      </c>
      <c r="D243" s="3" t="s">
        <v>13</v>
      </c>
      <c r="E243" s="4" t="s">
        <v>15</v>
      </c>
      <c r="F243" s="1" t="s">
        <v>16</v>
      </c>
      <c r="G243" s="1" t="s">
        <v>17</v>
      </c>
    </row>
    <row r="244" spans="1:7" ht="12.75">
      <c r="A244" t="s">
        <v>1</v>
      </c>
      <c r="B244" s="1">
        <v>469.44</v>
      </c>
      <c r="C244" s="1">
        <v>72</v>
      </c>
      <c r="D244" s="3">
        <v>31560</v>
      </c>
      <c r="E244" s="4">
        <v>6.52</v>
      </c>
      <c r="F244" s="1">
        <f>C244*E244</f>
        <v>469.43999999999994</v>
      </c>
      <c r="G244" s="1">
        <f>B244-F244</f>
        <v>0</v>
      </c>
    </row>
    <row r="245" spans="1:7" ht="12.75">
      <c r="A245" t="s">
        <v>2</v>
      </c>
      <c r="B245" s="1">
        <v>469.44</v>
      </c>
      <c r="C245" s="1">
        <v>72</v>
      </c>
      <c r="D245" s="3">
        <v>32640</v>
      </c>
      <c r="E245" s="4">
        <v>6.52</v>
      </c>
      <c r="F245" s="1">
        <f aca="true" t="shared" si="11" ref="F245:F256">C245*E245</f>
        <v>469.43999999999994</v>
      </c>
      <c r="G245" s="1">
        <f aca="true" t="shared" si="12" ref="G245:G256">B245-F245</f>
        <v>0</v>
      </c>
    </row>
    <row r="246" spans="1:7" ht="12.75">
      <c r="A246" t="s">
        <v>3</v>
      </c>
      <c r="B246" s="1">
        <v>217.96</v>
      </c>
      <c r="C246" s="1">
        <v>33.43</v>
      </c>
      <c r="D246" s="3">
        <v>29040</v>
      </c>
      <c r="E246" s="4">
        <v>6.52</v>
      </c>
      <c r="F246" s="1">
        <f t="shared" si="11"/>
        <v>217.96359999999999</v>
      </c>
      <c r="G246" s="1">
        <f t="shared" si="12"/>
        <v>-0.003599999999977399</v>
      </c>
    </row>
    <row r="247" spans="2:11" ht="12.75">
      <c r="B247" s="1">
        <v>384.16</v>
      </c>
      <c r="C247" s="1">
        <v>38.57</v>
      </c>
      <c r="E247" s="4">
        <v>9.9602</v>
      </c>
      <c r="F247" s="1">
        <f t="shared" si="11"/>
        <v>384.164914</v>
      </c>
      <c r="G247" s="1">
        <f t="shared" si="12"/>
        <v>-0.004913999999985208</v>
      </c>
      <c r="H247" s="11">
        <v>0.680505</v>
      </c>
      <c r="I247" s="1">
        <f>+C247*H247</f>
        <v>26.24707785</v>
      </c>
      <c r="J247" s="11">
        <v>2.234132</v>
      </c>
      <c r="K247" s="1">
        <f>C247*J247</f>
        <v>86.17047124</v>
      </c>
    </row>
    <row r="248" spans="1:11" ht="12.75">
      <c r="A248" t="s">
        <v>4</v>
      </c>
      <c r="B248" s="1">
        <v>669.33</v>
      </c>
      <c r="C248" s="1">
        <v>67.2</v>
      </c>
      <c r="D248" s="3">
        <v>31320</v>
      </c>
      <c r="E248" s="4">
        <v>9.9602</v>
      </c>
      <c r="F248" s="1">
        <f t="shared" si="11"/>
        <v>669.3254400000001</v>
      </c>
      <c r="G248" s="1">
        <f t="shared" si="12"/>
        <v>0.004559999999969477</v>
      </c>
      <c r="H248" s="11">
        <v>0.680505</v>
      </c>
      <c r="I248" s="1">
        <f aca="true" t="shared" si="13" ref="I248:I256">+C248*H248</f>
        <v>45.729936</v>
      </c>
      <c r="J248" s="11">
        <v>2.234132</v>
      </c>
      <c r="K248" s="1">
        <f aca="true" t="shared" si="14" ref="K248:K256">C248*J248</f>
        <v>150.1336704</v>
      </c>
    </row>
    <row r="249" spans="1:11" ht="12.75">
      <c r="A249" t="s">
        <v>5</v>
      </c>
      <c r="D249" s="3">
        <v>33600</v>
      </c>
      <c r="E249" s="4">
        <v>9.9602</v>
      </c>
      <c r="F249" s="1">
        <f t="shared" si="11"/>
        <v>0</v>
      </c>
      <c r="G249" s="1">
        <f t="shared" si="12"/>
        <v>0</v>
      </c>
      <c r="H249" s="11">
        <v>0.680505</v>
      </c>
      <c r="I249" s="1">
        <f t="shared" si="13"/>
        <v>0</v>
      </c>
      <c r="J249" s="11">
        <v>2.234132</v>
      </c>
      <c r="K249" s="1">
        <f t="shared" si="14"/>
        <v>0</v>
      </c>
    </row>
    <row r="250" spans="1:11" ht="12.75">
      <c r="A250" t="s">
        <v>6</v>
      </c>
      <c r="B250" s="1">
        <v>717.14</v>
      </c>
      <c r="C250" s="1">
        <v>72</v>
      </c>
      <c r="D250" s="3">
        <v>33120</v>
      </c>
      <c r="E250" s="4">
        <v>9.9602</v>
      </c>
      <c r="F250" s="1">
        <f t="shared" si="11"/>
        <v>717.1344</v>
      </c>
      <c r="G250" s="1">
        <f t="shared" si="12"/>
        <v>0.005599999999958527</v>
      </c>
      <c r="H250" s="11">
        <v>0.680505</v>
      </c>
      <c r="I250" s="1">
        <f t="shared" si="13"/>
        <v>48.99636</v>
      </c>
      <c r="J250" s="11">
        <v>2.234132</v>
      </c>
      <c r="K250" s="1">
        <f t="shared" si="14"/>
        <v>160.85750399999998</v>
      </c>
    </row>
    <row r="251" spans="1:11" ht="12.75">
      <c r="A251" t="s">
        <v>7</v>
      </c>
      <c r="B251" s="1">
        <v>1482.07</v>
      </c>
      <c r="C251" s="1">
        <v>148.8</v>
      </c>
      <c r="D251" s="3">
        <v>36000</v>
      </c>
      <c r="E251" s="4">
        <v>9.9602</v>
      </c>
      <c r="F251" s="1">
        <f t="shared" si="11"/>
        <v>1482.0777600000001</v>
      </c>
      <c r="G251" s="1">
        <f t="shared" si="12"/>
        <v>-0.007760000000189393</v>
      </c>
      <c r="H251" s="11">
        <v>0.680505</v>
      </c>
      <c r="I251" s="1">
        <f t="shared" si="13"/>
        <v>101.259144</v>
      </c>
      <c r="J251" s="11">
        <v>2.234132</v>
      </c>
      <c r="K251" s="1">
        <f t="shared" si="14"/>
        <v>332.4388416</v>
      </c>
    </row>
    <row r="252" spans="1:11" ht="12.75">
      <c r="A252" t="s">
        <v>8</v>
      </c>
      <c r="D252" s="3">
        <v>44040</v>
      </c>
      <c r="E252" s="4">
        <v>9.9602</v>
      </c>
      <c r="F252" s="1">
        <f t="shared" si="11"/>
        <v>0</v>
      </c>
      <c r="G252" s="1">
        <f t="shared" si="12"/>
        <v>0</v>
      </c>
      <c r="H252" s="11">
        <v>0.680505</v>
      </c>
      <c r="I252" s="1">
        <f t="shared" si="13"/>
        <v>0</v>
      </c>
      <c r="J252" s="11">
        <v>2.234132</v>
      </c>
      <c r="K252" s="1">
        <f t="shared" si="14"/>
        <v>0</v>
      </c>
    </row>
    <row r="253" spans="1:11" ht="12.75">
      <c r="A253" t="s">
        <v>9</v>
      </c>
      <c r="B253" s="1">
        <v>812.75</v>
      </c>
      <c r="C253" s="1">
        <v>81.6</v>
      </c>
      <c r="D253" s="3">
        <v>45240</v>
      </c>
      <c r="E253" s="4">
        <v>9.9602</v>
      </c>
      <c r="F253" s="1">
        <f t="shared" si="11"/>
        <v>812.7523199999999</v>
      </c>
      <c r="G253" s="1">
        <f t="shared" si="12"/>
        <v>-0.002319999999940592</v>
      </c>
      <c r="H253" s="11">
        <v>0.680505</v>
      </c>
      <c r="I253" s="1">
        <f t="shared" si="13"/>
        <v>55.529208</v>
      </c>
      <c r="J253" s="11">
        <v>2.234132</v>
      </c>
      <c r="K253" s="1">
        <f t="shared" si="14"/>
        <v>182.30517119999996</v>
      </c>
    </row>
    <row r="254" spans="1:11" ht="12.75">
      <c r="A254" t="s">
        <v>10</v>
      </c>
      <c r="B254" s="1">
        <v>1577.69</v>
      </c>
      <c r="C254" s="1">
        <v>158.4</v>
      </c>
      <c r="D254" s="3">
        <v>39000</v>
      </c>
      <c r="E254" s="4">
        <v>9.9602</v>
      </c>
      <c r="F254" s="1">
        <f t="shared" si="11"/>
        <v>1577.69568</v>
      </c>
      <c r="G254" s="1">
        <f t="shared" si="12"/>
        <v>-0.00567999999998392</v>
      </c>
      <c r="H254" s="11">
        <v>0.680505</v>
      </c>
      <c r="I254" s="1">
        <f t="shared" si="13"/>
        <v>107.79199200000001</v>
      </c>
      <c r="J254" s="11">
        <v>2.234132</v>
      </c>
      <c r="K254" s="1">
        <f t="shared" si="14"/>
        <v>353.8865088</v>
      </c>
    </row>
    <row r="255" spans="1:11" ht="12.75">
      <c r="A255" t="s">
        <v>11</v>
      </c>
      <c r="E255" s="4">
        <v>9.9602</v>
      </c>
      <c r="F255" s="1">
        <f t="shared" si="11"/>
        <v>0</v>
      </c>
      <c r="G255" s="1">
        <f t="shared" si="12"/>
        <v>0</v>
      </c>
      <c r="H255" s="11">
        <v>0.680505</v>
      </c>
      <c r="I255" s="1">
        <f t="shared" si="13"/>
        <v>0</v>
      </c>
      <c r="J255" s="11">
        <v>2.234132</v>
      </c>
      <c r="K255" s="1">
        <f t="shared" si="14"/>
        <v>0</v>
      </c>
    </row>
    <row r="256" spans="1:14" ht="12.75">
      <c r="A256" t="s">
        <v>12</v>
      </c>
      <c r="B256" s="1">
        <v>717.13</v>
      </c>
      <c r="C256" s="1">
        <v>72</v>
      </c>
      <c r="D256" s="3">
        <v>35400</v>
      </c>
      <c r="E256" s="4">
        <v>9.9602</v>
      </c>
      <c r="F256" s="1">
        <f t="shared" si="11"/>
        <v>717.1344</v>
      </c>
      <c r="G256" s="1">
        <f t="shared" si="12"/>
        <v>-0.004400000000032378</v>
      </c>
      <c r="H256" s="11">
        <v>0.680505</v>
      </c>
      <c r="I256" s="1">
        <f t="shared" si="13"/>
        <v>48.99636</v>
      </c>
      <c r="J256" s="11">
        <v>2.234132</v>
      </c>
      <c r="K256" s="1">
        <f t="shared" si="14"/>
        <v>160.85750399999998</v>
      </c>
      <c r="M256" s="64">
        <f>SUM(K247:K256)</f>
        <v>1426.6496712399999</v>
      </c>
      <c r="N256" s="64">
        <f>SUM(I247:I256)</f>
        <v>434.55007785</v>
      </c>
    </row>
    <row r="258" spans="2:7" ht="12.75">
      <c r="B258" s="1">
        <f>SUM(B244:B257)</f>
        <v>7517.11</v>
      </c>
      <c r="C258" s="1">
        <f>SUM(C244:C257)</f>
        <v>816</v>
      </c>
      <c r="D258" s="3">
        <f>SUM(D244:D257)</f>
        <v>390960</v>
      </c>
      <c r="E258" s="1">
        <f>D258/(C258*24*30)</f>
        <v>0.6654411764705882</v>
      </c>
      <c r="F258" s="1">
        <f>SUM(F244:F257)</f>
        <v>7517.128513999999</v>
      </c>
      <c r="G258" s="1">
        <f>SUM(G244:G257)</f>
        <v>-0.018514000000180886</v>
      </c>
    </row>
    <row r="260" spans="2:5" ht="12.75">
      <c r="B260" s="1">
        <f>C260*E260</f>
        <v>747.015</v>
      </c>
      <c r="C260" s="1">
        <v>75</v>
      </c>
      <c r="D260" s="3">
        <f>C260*E258*24*30</f>
        <v>35933.82352941176</v>
      </c>
      <c r="E260" s="4">
        <v>9.9602</v>
      </c>
    </row>
    <row r="261" spans="2:5" ht="12.75">
      <c r="B261" s="1">
        <f>C261*E261</f>
        <v>796.816</v>
      </c>
      <c r="C261" s="1">
        <v>80</v>
      </c>
      <c r="D261" s="3">
        <f>C261*E258*24*31</f>
        <v>39607.058823529405</v>
      </c>
      <c r="E261" s="4">
        <v>9.9602</v>
      </c>
    </row>
    <row r="263" spans="2:4" ht="12.75">
      <c r="B263" s="1">
        <f>SUM(B258:B261)</f>
        <v>9060.941</v>
      </c>
      <c r="C263" s="1">
        <f>SUM(C258:C261)</f>
        <v>971</v>
      </c>
      <c r="D263" s="3">
        <f>SUM(D258:D261)</f>
        <v>466500.88235294115</v>
      </c>
    </row>
    <row r="288" ht="13.5" thickBot="1"/>
    <row r="289" spans="1:2" ht="13.5" thickBot="1">
      <c r="A289" s="62" t="s">
        <v>26</v>
      </c>
      <c r="B289" s="63"/>
    </row>
    <row r="290" spans="9:14" ht="12.75">
      <c r="I290" s="51" t="s">
        <v>58</v>
      </c>
      <c r="J290" s="51" t="s">
        <v>58</v>
      </c>
      <c r="K290" s="51" t="s">
        <v>33</v>
      </c>
      <c r="L290" s="51" t="s">
        <v>33</v>
      </c>
      <c r="M290" s="67" t="s">
        <v>60</v>
      </c>
      <c r="N290" s="67" t="s">
        <v>61</v>
      </c>
    </row>
    <row r="291" spans="2:12" s="5" customFormat="1" ht="25.5">
      <c r="B291" s="6" t="s">
        <v>27</v>
      </c>
      <c r="C291" s="6" t="s">
        <v>14</v>
      </c>
      <c r="D291" s="7" t="s">
        <v>13</v>
      </c>
      <c r="E291" s="8" t="s">
        <v>28</v>
      </c>
      <c r="F291" s="5" t="s">
        <v>29</v>
      </c>
      <c r="G291" s="6" t="s">
        <v>16</v>
      </c>
      <c r="I291" s="51" t="s">
        <v>15</v>
      </c>
      <c r="J291" s="52" t="s">
        <v>59</v>
      </c>
      <c r="K291" s="51" t="s">
        <v>15</v>
      </c>
      <c r="L291" s="52" t="s">
        <v>59</v>
      </c>
    </row>
    <row r="292" spans="1:12" s="5" customFormat="1" ht="12.75">
      <c r="A292" s="9" t="s">
        <v>12</v>
      </c>
      <c r="B292" s="6"/>
      <c r="C292" s="6"/>
      <c r="D292" s="7"/>
      <c r="E292" s="8"/>
      <c r="G292" s="6"/>
      <c r="H292" s="12"/>
      <c r="I292" s="12"/>
      <c r="K292" s="12"/>
      <c r="L292" s="6"/>
    </row>
    <row r="293" spans="1:12" ht="12.75">
      <c r="A293" t="s">
        <v>1</v>
      </c>
      <c r="B293" s="3">
        <v>316</v>
      </c>
      <c r="C293" s="1">
        <v>35.8</v>
      </c>
      <c r="D293" s="3">
        <f>C293*11.81*31</f>
        <v>13106.738</v>
      </c>
      <c r="E293" s="4">
        <v>0.4038</v>
      </c>
      <c r="F293" s="4">
        <v>2.4632</v>
      </c>
      <c r="G293" s="1">
        <f>B293*E293</f>
        <v>127.60079999999999</v>
      </c>
      <c r="H293" s="11">
        <f>C293*F293</f>
        <v>88.18256</v>
      </c>
      <c r="K293" s="11"/>
      <c r="L293" s="1"/>
    </row>
    <row r="294" spans="1:12" ht="12.75">
      <c r="A294" t="s">
        <v>2</v>
      </c>
      <c r="B294" s="3">
        <v>326</v>
      </c>
      <c r="C294" s="1">
        <v>37.1</v>
      </c>
      <c r="D294" s="3">
        <f>C294*11.81*28</f>
        <v>12268.228000000001</v>
      </c>
      <c r="E294" s="4">
        <v>0.4038</v>
      </c>
      <c r="F294" s="4">
        <v>2.4632</v>
      </c>
      <c r="G294" s="1">
        <f aca="true" t="shared" si="15" ref="G294:G303">B294*E294</f>
        <v>131.6388</v>
      </c>
      <c r="H294" s="11">
        <f aca="true" t="shared" si="16" ref="H294:H304">C294*F294</f>
        <v>91.38472</v>
      </c>
      <c r="K294" s="11"/>
      <c r="L294" s="1"/>
    </row>
    <row r="295" spans="1:12" ht="12.75">
      <c r="A295" t="s">
        <v>3</v>
      </c>
      <c r="B295" s="3">
        <v>336</v>
      </c>
      <c r="C295" s="1">
        <v>38.36</v>
      </c>
      <c r="D295" s="3">
        <f>C295*11.81*31</f>
        <v>14043.9796</v>
      </c>
      <c r="E295" s="4">
        <v>0.44</v>
      </c>
      <c r="F295" s="4">
        <v>4.3948</v>
      </c>
      <c r="G295" s="1">
        <f t="shared" si="15"/>
        <v>147.84</v>
      </c>
      <c r="H295" s="11">
        <f t="shared" si="16"/>
        <v>168.584528</v>
      </c>
      <c r="I295" s="11">
        <v>0.404625</v>
      </c>
      <c r="J295" s="1">
        <f>+C295*I295</f>
        <v>15.521415000000001</v>
      </c>
      <c r="K295" s="11">
        <v>1.328403</v>
      </c>
      <c r="L295" s="1">
        <f aca="true" t="shared" si="17" ref="L295:L303">C295*K295</f>
        <v>50.95753908</v>
      </c>
    </row>
    <row r="296" spans="1:12" ht="12.75">
      <c r="A296" t="s">
        <v>4</v>
      </c>
      <c r="B296" s="3">
        <v>336</v>
      </c>
      <c r="C296" s="1">
        <v>38.36</v>
      </c>
      <c r="D296" s="3">
        <f>C296*11.81*31</f>
        <v>14043.9796</v>
      </c>
      <c r="E296" s="4">
        <v>0.44</v>
      </c>
      <c r="F296" s="4">
        <v>4.3948</v>
      </c>
      <c r="G296" s="1">
        <f t="shared" si="15"/>
        <v>147.84</v>
      </c>
      <c r="H296" s="11">
        <f t="shared" si="16"/>
        <v>168.584528</v>
      </c>
      <c r="I296" s="11">
        <v>0.404625</v>
      </c>
      <c r="J296" s="1">
        <f aca="true" t="shared" si="18" ref="J296:J303">+C296*I296</f>
        <v>15.521415000000001</v>
      </c>
      <c r="K296" s="11">
        <v>1.328403</v>
      </c>
      <c r="L296" s="1">
        <f t="shared" si="17"/>
        <v>50.95753908</v>
      </c>
    </row>
    <row r="297" spans="1:12" ht="12.75">
      <c r="A297" t="s">
        <v>5</v>
      </c>
      <c r="B297" s="3">
        <v>336</v>
      </c>
      <c r="C297" s="1">
        <v>38.36</v>
      </c>
      <c r="D297" s="3">
        <v>13376.39</v>
      </c>
      <c r="E297" s="4">
        <v>0.44</v>
      </c>
      <c r="F297" s="4">
        <v>4.3948</v>
      </c>
      <c r="G297" s="1">
        <f t="shared" si="15"/>
        <v>147.84</v>
      </c>
      <c r="H297" s="11">
        <f t="shared" si="16"/>
        <v>168.584528</v>
      </c>
      <c r="I297" s="11">
        <v>0.404625</v>
      </c>
      <c r="J297" s="1">
        <f t="shared" si="18"/>
        <v>15.521415000000001</v>
      </c>
      <c r="K297" s="11">
        <v>1.328403</v>
      </c>
      <c r="L297" s="1">
        <f t="shared" si="17"/>
        <v>50.95753908</v>
      </c>
    </row>
    <row r="298" spans="1:12" ht="12.75">
      <c r="A298" t="s">
        <v>6</v>
      </c>
      <c r="B298" s="3">
        <v>336</v>
      </c>
      <c r="C298" s="1">
        <v>38.36</v>
      </c>
      <c r="D298" s="3">
        <v>12944.9</v>
      </c>
      <c r="E298" s="4">
        <v>0.44</v>
      </c>
      <c r="F298" s="4">
        <v>4.3948</v>
      </c>
      <c r="G298" s="1">
        <f t="shared" si="15"/>
        <v>147.84</v>
      </c>
      <c r="H298" s="11">
        <f t="shared" si="16"/>
        <v>168.584528</v>
      </c>
      <c r="I298" s="11">
        <v>0.404625</v>
      </c>
      <c r="J298" s="1">
        <f t="shared" si="18"/>
        <v>15.521415000000001</v>
      </c>
      <c r="K298" s="11">
        <v>1.328403</v>
      </c>
      <c r="L298" s="1">
        <f t="shared" si="17"/>
        <v>50.95753908</v>
      </c>
    </row>
    <row r="299" spans="1:12" ht="12.75">
      <c r="A299" t="s">
        <v>7</v>
      </c>
      <c r="B299" s="3">
        <v>336</v>
      </c>
      <c r="C299" s="1">
        <v>38.36</v>
      </c>
      <c r="D299" s="3">
        <v>10213.48</v>
      </c>
      <c r="E299" s="4">
        <v>0.44</v>
      </c>
      <c r="F299" s="4">
        <v>4.3948</v>
      </c>
      <c r="G299" s="1">
        <f t="shared" si="15"/>
        <v>147.84</v>
      </c>
      <c r="H299" s="11">
        <f t="shared" si="16"/>
        <v>168.584528</v>
      </c>
      <c r="I299" s="11">
        <v>0.404625</v>
      </c>
      <c r="J299" s="1">
        <f t="shared" si="18"/>
        <v>15.521415000000001</v>
      </c>
      <c r="K299" s="11">
        <v>1.328403</v>
      </c>
      <c r="L299" s="1">
        <f t="shared" si="17"/>
        <v>50.95753908</v>
      </c>
    </row>
    <row r="300" spans="1:12" ht="12.75">
      <c r="A300" t="s">
        <v>8</v>
      </c>
      <c r="B300" s="3">
        <v>336</v>
      </c>
      <c r="C300" s="1">
        <v>38.36</v>
      </c>
      <c r="D300" s="3">
        <v>10213.48</v>
      </c>
      <c r="E300" s="4">
        <v>0.44</v>
      </c>
      <c r="F300" s="4">
        <v>4.3948</v>
      </c>
      <c r="G300" s="1">
        <f>B300*E300</f>
        <v>147.84</v>
      </c>
      <c r="H300" s="11">
        <f t="shared" si="16"/>
        <v>168.584528</v>
      </c>
      <c r="I300" s="11">
        <v>0.404625</v>
      </c>
      <c r="J300" s="1">
        <f t="shared" si="18"/>
        <v>15.521415000000001</v>
      </c>
      <c r="K300" s="11">
        <v>1.328403</v>
      </c>
      <c r="L300" s="1">
        <f t="shared" si="17"/>
        <v>50.95753908</v>
      </c>
    </row>
    <row r="301" spans="1:12" ht="12.75">
      <c r="A301" t="s">
        <v>9</v>
      </c>
      <c r="B301" s="3">
        <v>336</v>
      </c>
      <c r="C301" s="1">
        <v>38.36</v>
      </c>
      <c r="D301" s="3">
        <v>9884.17</v>
      </c>
      <c r="E301" s="4">
        <v>0.44</v>
      </c>
      <c r="F301" s="4">
        <v>4.3948</v>
      </c>
      <c r="G301" s="1">
        <f t="shared" si="15"/>
        <v>147.84</v>
      </c>
      <c r="H301" s="11">
        <f t="shared" si="16"/>
        <v>168.584528</v>
      </c>
      <c r="I301" s="11">
        <v>0.404625</v>
      </c>
      <c r="J301" s="1">
        <f t="shared" si="18"/>
        <v>15.521415000000001</v>
      </c>
      <c r="K301" s="11">
        <v>1.328403</v>
      </c>
      <c r="L301" s="1">
        <f t="shared" si="17"/>
        <v>50.95753908</v>
      </c>
    </row>
    <row r="302" spans="1:12" ht="12.75">
      <c r="A302" t="s">
        <v>10</v>
      </c>
      <c r="B302" s="3">
        <v>336</v>
      </c>
      <c r="C302" s="1">
        <v>40.93</v>
      </c>
      <c r="D302" s="3">
        <v>15542.78</v>
      </c>
      <c r="E302" s="4">
        <v>0.44</v>
      </c>
      <c r="F302" s="4">
        <v>4.3948</v>
      </c>
      <c r="G302" s="1">
        <f t="shared" si="15"/>
        <v>147.84</v>
      </c>
      <c r="H302" s="11">
        <f t="shared" si="16"/>
        <v>179.879164</v>
      </c>
      <c r="I302" s="11">
        <v>0.404625</v>
      </c>
      <c r="J302" s="1">
        <f t="shared" si="18"/>
        <v>16.56130125</v>
      </c>
      <c r="K302" s="11">
        <v>1.328403</v>
      </c>
      <c r="L302" s="1">
        <f t="shared" si="17"/>
        <v>54.37153479</v>
      </c>
    </row>
    <row r="303" spans="1:14" ht="12.75">
      <c r="A303" t="s">
        <v>11</v>
      </c>
      <c r="B303" s="3">
        <v>336</v>
      </c>
      <c r="C303" s="1">
        <v>40.93</v>
      </c>
      <c r="D303" s="3">
        <v>15041.4</v>
      </c>
      <c r="E303" s="4">
        <v>0.44</v>
      </c>
      <c r="F303" s="4">
        <v>4.3948</v>
      </c>
      <c r="G303" s="1">
        <f t="shared" si="15"/>
        <v>147.84</v>
      </c>
      <c r="H303" s="11">
        <f t="shared" si="16"/>
        <v>179.879164</v>
      </c>
      <c r="I303" s="11">
        <v>0.404625</v>
      </c>
      <c r="J303" s="1">
        <f t="shared" si="18"/>
        <v>16.56130125</v>
      </c>
      <c r="K303" s="11">
        <v>1.328403</v>
      </c>
      <c r="L303" s="1">
        <f t="shared" si="17"/>
        <v>54.37153479</v>
      </c>
      <c r="M303" s="64">
        <f>SUM(L295:L303)</f>
        <v>465.44584313999997</v>
      </c>
      <c r="N303" s="64">
        <f>SUM(J295:J303)</f>
        <v>141.77250750000002</v>
      </c>
    </row>
    <row r="304" spans="1:12" ht="12.75">
      <c r="A304" t="s">
        <v>12</v>
      </c>
      <c r="B304" s="3">
        <v>336</v>
      </c>
      <c r="E304" s="4">
        <v>0.44</v>
      </c>
      <c r="F304" s="4">
        <v>4.3948</v>
      </c>
      <c r="H304" s="11">
        <f t="shared" si="16"/>
        <v>0</v>
      </c>
      <c r="K304" s="11"/>
      <c r="L304" s="1"/>
    </row>
    <row r="305" spans="2:12" ht="12.75">
      <c r="B305" s="3"/>
      <c r="K305" s="11"/>
      <c r="L305" s="1"/>
    </row>
    <row r="306" spans="2:14" ht="13.5" thickBot="1">
      <c r="B306" s="3">
        <f>SUM(B293:B305)</f>
        <v>4002</v>
      </c>
      <c r="C306" s="1">
        <f>SUM(C293:C305)</f>
        <v>423.2800000000001</v>
      </c>
      <c r="D306" s="3">
        <f>SUM(D293:D305)</f>
        <v>140679.52519999997</v>
      </c>
      <c r="E306" s="1">
        <f>D306/(C306*24*30)</f>
        <v>0.46160515366765353</v>
      </c>
      <c r="G306" s="1">
        <f>SUM(G293:G305)</f>
        <v>1589.7995999999998</v>
      </c>
      <c r="H306" s="11">
        <f>SUM(H293:H305)</f>
        <v>1719.4173039999998</v>
      </c>
      <c r="K306" s="11">
        <f>G306+H306</f>
        <v>3309.216904</v>
      </c>
      <c r="L306" s="1"/>
      <c r="M306" s="38">
        <f>SUM(M53:M305)</f>
        <v>48629.204070249994</v>
      </c>
      <c r="N306" s="38">
        <f>SUM(N53:N305)</f>
        <v>14808.984143519998</v>
      </c>
    </row>
    <row r="307" spans="11:12" ht="13.5" thickBot="1">
      <c r="K307" s="11"/>
      <c r="L307" s="1"/>
    </row>
    <row r="308" spans="10:13" ht="12.75">
      <c r="J308" s="65">
        <f>SUM(I55:I256)+SUM(J295:J303)</f>
        <v>14808.98414352</v>
      </c>
      <c r="K308" s="11"/>
      <c r="L308" s="65">
        <f>SUM(K55:K256)+SUM(L295:L303)</f>
        <v>48629.20407025001</v>
      </c>
      <c r="M308" s="80" t="s">
        <v>38</v>
      </c>
    </row>
    <row r="309" spans="11:13" ht="13.5" thickBot="1">
      <c r="K309" s="11"/>
      <c r="L309" s="1"/>
      <c r="M309" s="81" t="s">
        <v>39</v>
      </c>
    </row>
    <row r="310" spans="7:14" ht="15">
      <c r="G310" s="82"/>
      <c r="H310" s="83" t="s">
        <v>63</v>
      </c>
      <c r="I310" s="84"/>
      <c r="J310" s="84"/>
      <c r="K310" s="84"/>
      <c r="L310" s="85"/>
      <c r="M310" s="81" t="s">
        <v>34</v>
      </c>
      <c r="N310" s="92"/>
    </row>
    <row r="311" spans="7:15" ht="12.75">
      <c r="G311" s="86" t="s">
        <v>13</v>
      </c>
      <c r="H311" s="34">
        <v>1631358.09</v>
      </c>
      <c r="I311" s="87">
        <v>0.001543</v>
      </c>
      <c r="J311" s="34">
        <f>+H311*I311</f>
        <v>2517.1855328700003</v>
      </c>
      <c r="K311" s="88">
        <f>+J311+L311</f>
        <v>10783.276974900002</v>
      </c>
      <c r="L311" s="43">
        <f>1631358.09*0.005067</f>
        <v>8266.091442030001</v>
      </c>
      <c r="M311" s="81" t="s">
        <v>35</v>
      </c>
      <c r="N311" s="93">
        <v>0.005067</v>
      </c>
      <c r="O311" s="64">
        <f>+H311*N311-L311</f>
        <v>0</v>
      </c>
    </row>
    <row r="312" spans="7:15" ht="12.75">
      <c r="G312" s="86" t="s">
        <v>13</v>
      </c>
      <c r="H312" s="34">
        <v>401507.13</v>
      </c>
      <c r="I312" s="87">
        <v>0.001418</v>
      </c>
      <c r="J312" s="34">
        <f>+H312*I312</f>
        <v>569.33711034</v>
      </c>
      <c r="K312" s="88">
        <f>+J312+L312</f>
        <v>2438.75430762</v>
      </c>
      <c r="L312" s="43">
        <f>401507.13*0.004656</f>
        <v>1869.4171972800002</v>
      </c>
      <c r="M312" s="81" t="s">
        <v>36</v>
      </c>
      <c r="N312" s="93">
        <v>0.004656</v>
      </c>
      <c r="O312" s="64">
        <f>+H312*N312-L312</f>
        <v>0</v>
      </c>
    </row>
    <row r="313" spans="7:15" ht="12.75">
      <c r="G313" s="86" t="s">
        <v>14</v>
      </c>
      <c r="H313" s="34">
        <v>109.96</v>
      </c>
      <c r="I313" s="87">
        <v>0.680505</v>
      </c>
      <c r="J313" s="34">
        <f>+H313*I313</f>
        <v>74.82832979999999</v>
      </c>
      <c r="K313" s="88">
        <f>+J313+L313</f>
        <v>320.49348452</v>
      </c>
      <c r="L313" s="43">
        <f>109.96*2.234132</f>
        <v>245.66515471999998</v>
      </c>
      <c r="M313" s="81" t="s">
        <v>37</v>
      </c>
      <c r="N313" s="93">
        <v>2.234132</v>
      </c>
      <c r="O313" s="64">
        <f>+H313*N313-L313</f>
        <v>0</v>
      </c>
    </row>
    <row r="314" spans="7:14" ht="12.75">
      <c r="G314" s="86"/>
      <c r="H314" s="87"/>
      <c r="I314" s="87"/>
      <c r="J314" s="87"/>
      <c r="K314" s="87"/>
      <c r="L314" s="43"/>
      <c r="M314" s="93"/>
      <c r="N314" s="93"/>
    </row>
    <row r="315" spans="7:14" ht="13.5" thickBot="1">
      <c r="G315" s="89"/>
      <c r="H315" s="90"/>
      <c r="I315" s="90"/>
      <c r="J315" s="66">
        <f>SUM(J308:J314)</f>
        <v>17970.335116529997</v>
      </c>
      <c r="K315" s="79">
        <f>SUM(K308:K314)</f>
        <v>13542.524767040002</v>
      </c>
      <c r="L315" s="91">
        <f>SUM(L308:L314)</f>
        <v>59010.37786428002</v>
      </c>
      <c r="M315" s="94"/>
      <c r="N315" s="94"/>
    </row>
    <row r="316" spans="11:12" ht="12.75">
      <c r="K316" s="11"/>
      <c r="L316" s="1"/>
    </row>
    <row r="335" ht="13.5" thickBot="1"/>
    <row r="336" ht="13.5" thickBot="1">
      <c r="A336" s="68" t="s">
        <v>62</v>
      </c>
    </row>
    <row r="337" spans="1:10" ht="12.75">
      <c r="A337" s="49"/>
      <c r="B337" s="46"/>
      <c r="C337" s="13"/>
      <c r="D337" s="14"/>
      <c r="E337" s="15"/>
      <c r="F337" s="16"/>
      <c r="G337" s="17"/>
      <c r="H337" s="71"/>
      <c r="I337" s="75"/>
      <c r="J337" s="18"/>
    </row>
    <row r="338" spans="1:10" ht="12.75">
      <c r="A338" s="19" t="s">
        <v>40</v>
      </c>
      <c r="B338" s="47"/>
      <c r="C338" s="20"/>
      <c r="D338" s="21"/>
      <c r="E338" s="22"/>
      <c r="F338" s="23"/>
      <c r="G338" s="24"/>
      <c r="H338" s="72"/>
      <c r="I338" s="76"/>
      <c r="J338" s="25"/>
    </row>
    <row r="339" spans="1:10" ht="13.5" thickBot="1">
      <c r="A339" s="50" t="s">
        <v>41</v>
      </c>
      <c r="B339" s="48"/>
      <c r="C339" s="26" t="s">
        <v>35</v>
      </c>
      <c r="D339" s="27" t="s">
        <v>42</v>
      </c>
      <c r="E339" s="28" t="s">
        <v>43</v>
      </c>
      <c r="F339" s="29" t="s">
        <v>44</v>
      </c>
      <c r="G339" s="30" t="s">
        <v>45</v>
      </c>
      <c r="H339" s="73" t="s">
        <v>46</v>
      </c>
      <c r="I339" s="77"/>
      <c r="J339" s="31" t="s">
        <v>47</v>
      </c>
    </row>
    <row r="340" spans="1:10" ht="12.75">
      <c r="A340" s="32"/>
      <c r="B340" s="43"/>
      <c r="C340" s="43"/>
      <c r="D340" s="34"/>
      <c r="E340" s="33"/>
      <c r="F340" s="34"/>
      <c r="G340" s="35"/>
      <c r="H340" s="74"/>
      <c r="I340" s="36"/>
      <c r="J340" s="35"/>
    </row>
    <row r="341" spans="1:10" ht="12.75">
      <c r="A341" s="32" t="s">
        <v>48</v>
      </c>
      <c r="B341" s="43"/>
      <c r="C341" s="43">
        <f>+K55</f>
        <v>2404.77772932</v>
      </c>
      <c r="D341" s="34">
        <f>+K151</f>
        <v>699.8753932800001</v>
      </c>
      <c r="E341" s="33">
        <f>+K247</f>
        <v>86.17047124</v>
      </c>
      <c r="F341" s="34"/>
      <c r="G341" s="35"/>
      <c r="H341" s="33">
        <f aca="true" t="shared" si="19" ref="H341:H350">+L295</f>
        <v>50.95753908</v>
      </c>
      <c r="I341" s="34"/>
      <c r="J341" s="33">
        <f>SUM(C341:H341)</f>
        <v>3241.7811329200003</v>
      </c>
    </row>
    <row r="342" spans="1:10" ht="12.75">
      <c r="A342" s="32" t="s">
        <v>49</v>
      </c>
      <c r="B342" s="43"/>
      <c r="C342" s="43">
        <f aca="true" t="shared" si="20" ref="C342:C350">+K56</f>
        <v>4694.742711</v>
      </c>
      <c r="D342" s="34">
        <f>+K153</f>
        <v>1108.7131195200002</v>
      </c>
      <c r="E342" s="33">
        <f aca="true" t="shared" si="21" ref="E342:E350">+K248</f>
        <v>150.1336704</v>
      </c>
      <c r="F342" s="34"/>
      <c r="G342" s="35"/>
      <c r="H342" s="33">
        <f t="shared" si="19"/>
        <v>50.95753908</v>
      </c>
      <c r="I342" s="34"/>
      <c r="J342" s="33">
        <f aca="true" t="shared" si="22" ref="J342:J350">SUM(C342:H342)</f>
        <v>6004.5470399999995</v>
      </c>
    </row>
    <row r="343" spans="1:10" ht="12.75">
      <c r="A343" s="32" t="s">
        <v>5</v>
      </c>
      <c r="B343" s="43"/>
      <c r="C343" s="43">
        <f t="shared" si="20"/>
        <v>2492.452233</v>
      </c>
      <c r="D343" s="34">
        <f aca="true" t="shared" si="23" ref="D343:D350">+K154</f>
        <v>425.28835200000003</v>
      </c>
      <c r="E343" s="33">
        <f t="shared" si="21"/>
        <v>0</v>
      </c>
      <c r="F343" s="34"/>
      <c r="G343" s="35"/>
      <c r="H343" s="33">
        <f t="shared" si="19"/>
        <v>50.95753908</v>
      </c>
      <c r="I343" s="34"/>
      <c r="J343" s="33">
        <f t="shared" si="22"/>
        <v>2968.69812408</v>
      </c>
    </row>
    <row r="344" spans="1:10" ht="12.75">
      <c r="A344" s="32" t="s">
        <v>50</v>
      </c>
      <c r="B344" s="43"/>
      <c r="C344" s="43">
        <f t="shared" si="20"/>
        <v>1494.526851</v>
      </c>
      <c r="D344" s="34">
        <f t="shared" si="23"/>
        <v>524.3820000000001</v>
      </c>
      <c r="E344" s="33">
        <f t="shared" si="21"/>
        <v>160.85750399999998</v>
      </c>
      <c r="F344" s="34"/>
      <c r="G344" s="35"/>
      <c r="H344" s="33">
        <f t="shared" si="19"/>
        <v>50.95753908</v>
      </c>
      <c r="I344" s="34"/>
      <c r="J344" s="33">
        <f t="shared" si="22"/>
        <v>2230.7238940800003</v>
      </c>
    </row>
    <row r="345" spans="1:10" ht="12.75">
      <c r="A345" s="32" t="s">
        <v>51</v>
      </c>
      <c r="B345" s="43"/>
      <c r="C345" s="43">
        <f t="shared" si="20"/>
        <v>8454.628989</v>
      </c>
      <c r="D345" s="34">
        <f t="shared" si="23"/>
        <v>2029.54215888</v>
      </c>
      <c r="E345" s="33">
        <f t="shared" si="21"/>
        <v>332.4388416</v>
      </c>
      <c r="F345" s="34"/>
      <c r="G345" s="35"/>
      <c r="H345" s="33">
        <f t="shared" si="19"/>
        <v>50.95753908</v>
      </c>
      <c r="I345" s="34"/>
      <c r="J345" s="33">
        <f t="shared" si="22"/>
        <v>10867.567528560001</v>
      </c>
    </row>
    <row r="346" spans="1:10" ht="12.75">
      <c r="A346" s="32" t="s">
        <v>52</v>
      </c>
      <c r="B346" s="43"/>
      <c r="C346" s="43">
        <f t="shared" si="20"/>
        <v>4506.99505866</v>
      </c>
      <c r="D346" s="34">
        <f t="shared" si="23"/>
        <v>429.34107408</v>
      </c>
      <c r="E346" s="33">
        <f t="shared" si="21"/>
        <v>0</v>
      </c>
      <c r="F346" s="34"/>
      <c r="G346" s="35"/>
      <c r="H346" s="33">
        <f t="shared" si="19"/>
        <v>50.95753908</v>
      </c>
      <c r="I346" s="34"/>
      <c r="J346" s="33">
        <f t="shared" si="22"/>
        <v>4987.29367182</v>
      </c>
    </row>
    <row r="347" spans="1:10" ht="12.75">
      <c r="A347" s="32" t="s">
        <v>53</v>
      </c>
      <c r="B347" s="43"/>
      <c r="C347" s="43">
        <f t="shared" si="20"/>
        <v>670.678254</v>
      </c>
      <c r="D347" s="34">
        <f t="shared" si="23"/>
        <v>724.57775472</v>
      </c>
      <c r="E347" s="33">
        <f t="shared" si="21"/>
        <v>182.30517119999996</v>
      </c>
      <c r="F347" s="34"/>
      <c r="G347" s="35"/>
      <c r="H347" s="33">
        <f t="shared" si="19"/>
        <v>50.95753908</v>
      </c>
      <c r="I347" s="34"/>
      <c r="J347" s="33">
        <f t="shared" si="22"/>
        <v>1628.518719</v>
      </c>
    </row>
    <row r="348" spans="1:10" ht="12.75">
      <c r="A348" s="32" t="s">
        <v>54</v>
      </c>
      <c r="B348" s="43"/>
      <c r="C348" s="43">
        <f t="shared" si="20"/>
        <v>8406.330345</v>
      </c>
      <c r="D348" s="34">
        <f t="shared" si="23"/>
        <v>1968.85790352</v>
      </c>
      <c r="E348" s="33">
        <f t="shared" si="21"/>
        <v>353.8865088</v>
      </c>
      <c r="F348" s="34"/>
      <c r="G348" s="35"/>
      <c r="H348" s="33">
        <f t="shared" si="19"/>
        <v>54.37153479</v>
      </c>
      <c r="I348" s="34"/>
      <c r="J348" s="33">
        <f t="shared" si="22"/>
        <v>10783.44629211</v>
      </c>
    </row>
    <row r="349" spans="1:10" ht="12.75">
      <c r="A349" s="32" t="s">
        <v>55</v>
      </c>
      <c r="B349" s="43"/>
      <c r="C349" s="43">
        <f t="shared" si="20"/>
        <v>0</v>
      </c>
      <c r="D349" s="34">
        <f t="shared" si="23"/>
        <v>0</v>
      </c>
      <c r="E349" s="33">
        <f t="shared" si="21"/>
        <v>0</v>
      </c>
      <c r="F349" s="34"/>
      <c r="G349" s="35"/>
      <c r="H349" s="33">
        <f t="shared" si="19"/>
        <v>54.37153479</v>
      </c>
      <c r="I349" s="34"/>
      <c r="J349" s="33">
        <f t="shared" si="22"/>
        <v>54.37153479</v>
      </c>
    </row>
    <row r="350" spans="1:10" ht="12.75">
      <c r="A350" s="32" t="s">
        <v>56</v>
      </c>
      <c r="B350" s="43"/>
      <c r="C350" s="43">
        <f t="shared" si="20"/>
        <v>4640.63723433</v>
      </c>
      <c r="D350" s="34">
        <f t="shared" si="23"/>
        <v>1060.76139456</v>
      </c>
      <c r="E350" s="33">
        <f t="shared" si="21"/>
        <v>160.85750399999998</v>
      </c>
      <c r="F350" s="34"/>
      <c r="G350" s="35"/>
      <c r="H350" s="33">
        <f t="shared" si="19"/>
        <v>0</v>
      </c>
      <c r="I350" s="34"/>
      <c r="J350" s="33">
        <f t="shared" si="22"/>
        <v>5862.256132889999</v>
      </c>
    </row>
    <row r="351" spans="1:10" ht="12.75">
      <c r="A351" s="32" t="s">
        <v>57</v>
      </c>
      <c r="B351" s="43"/>
      <c r="C351" s="43">
        <f>+L311</f>
        <v>8266.091442030001</v>
      </c>
      <c r="D351" s="34">
        <f>+L312</f>
        <v>1869.4171972800002</v>
      </c>
      <c r="E351" s="33">
        <f>+L313</f>
        <v>245.66515471999998</v>
      </c>
      <c r="F351" s="34"/>
      <c r="G351" s="35"/>
      <c r="H351" s="33"/>
      <c r="I351" s="34"/>
      <c r="J351" s="33">
        <f>SUM(C351:H351)</f>
        <v>10381.17379403</v>
      </c>
    </row>
    <row r="352" spans="1:10" ht="13.5" thickBot="1">
      <c r="A352" s="32"/>
      <c r="B352" s="43"/>
      <c r="C352" s="44">
        <f>SUM(C341:C351)</f>
        <v>46031.86084734</v>
      </c>
      <c r="D352" s="38">
        <f aca="true" t="shared" si="24" ref="D352:J352">SUM(D341:D351)</f>
        <v>10840.75634784</v>
      </c>
      <c r="E352" s="37">
        <f t="shared" si="24"/>
        <v>1672.3148259599998</v>
      </c>
      <c r="F352" s="38">
        <f t="shared" si="24"/>
        <v>0</v>
      </c>
      <c r="G352" s="37">
        <f t="shared" si="24"/>
        <v>0</v>
      </c>
      <c r="H352" s="37">
        <f t="shared" si="24"/>
        <v>465.44584313999997</v>
      </c>
      <c r="I352" s="38"/>
      <c r="J352" s="37">
        <f t="shared" si="24"/>
        <v>59010.377864279995</v>
      </c>
    </row>
    <row r="353" spans="1:10" ht="13.5" thickBot="1">
      <c r="A353" s="39"/>
      <c r="B353" s="45"/>
      <c r="C353" s="45"/>
      <c r="D353" s="41"/>
      <c r="E353" s="40"/>
      <c r="F353" s="41"/>
      <c r="G353" s="42"/>
      <c r="H353" s="40"/>
      <c r="I353" s="41"/>
      <c r="J353" s="42">
        <f>+J352-L315</f>
        <v>0</v>
      </c>
    </row>
    <row r="356" ht="12.75">
      <c r="A356" s="78" t="s">
        <v>67</v>
      </c>
    </row>
    <row r="358" ht="13.5" thickBot="1"/>
    <row r="359" ht="13.5" thickBot="1">
      <c r="A359" s="68" t="s">
        <v>62</v>
      </c>
    </row>
    <row r="360" spans="1:10" ht="12.75">
      <c r="A360" s="69" t="s">
        <v>65</v>
      </c>
      <c r="B360" s="46"/>
      <c r="C360" s="13"/>
      <c r="D360" s="14"/>
      <c r="E360" s="15"/>
      <c r="F360" s="16"/>
      <c r="G360" s="17"/>
      <c r="H360" s="71"/>
      <c r="I360" s="75"/>
      <c r="J360" s="18"/>
    </row>
    <row r="361" spans="1:10" ht="12.75">
      <c r="A361" s="19" t="s">
        <v>64</v>
      </c>
      <c r="B361" s="47"/>
      <c r="C361" s="20"/>
      <c r="D361" s="21"/>
      <c r="E361" s="22"/>
      <c r="F361" s="23"/>
      <c r="G361" s="24"/>
      <c r="H361" s="72"/>
      <c r="I361" s="76"/>
      <c r="J361" s="25"/>
    </row>
    <row r="362" spans="1:10" ht="13.5" thickBot="1">
      <c r="A362" s="50" t="s">
        <v>41</v>
      </c>
      <c r="B362" s="48"/>
      <c r="C362" s="26" t="s">
        <v>35</v>
      </c>
      <c r="D362" s="27" t="s">
        <v>42</v>
      </c>
      <c r="E362" s="28" t="s">
        <v>43</v>
      </c>
      <c r="F362" s="29" t="s">
        <v>44</v>
      </c>
      <c r="G362" s="30" t="s">
        <v>45</v>
      </c>
      <c r="H362" s="73" t="s">
        <v>46</v>
      </c>
      <c r="I362" s="77"/>
      <c r="J362" s="31" t="s">
        <v>47</v>
      </c>
    </row>
    <row r="363" spans="1:10" ht="12.75">
      <c r="A363" s="32"/>
      <c r="B363" s="43"/>
      <c r="C363" s="43"/>
      <c r="D363" s="34"/>
      <c r="E363" s="33"/>
      <c r="F363" s="34"/>
      <c r="G363" s="35"/>
      <c r="H363" s="74"/>
      <c r="I363" s="36"/>
      <c r="J363" s="35"/>
    </row>
    <row r="364" spans="1:10" ht="12.75">
      <c r="A364" s="32" t="s">
        <v>48</v>
      </c>
      <c r="B364" s="43"/>
      <c r="C364" s="43">
        <f>+I55</f>
        <v>732.3015662800001</v>
      </c>
      <c r="D364" s="34">
        <f>+I151</f>
        <v>213.14933584</v>
      </c>
      <c r="E364" s="33">
        <f>+I247</f>
        <v>26.24707785</v>
      </c>
      <c r="F364" s="34"/>
      <c r="G364" s="35"/>
      <c r="H364" s="33">
        <f>+J295</f>
        <v>15.521415000000001</v>
      </c>
      <c r="I364" s="34"/>
      <c r="J364" s="33">
        <f>SUM(C364:H364)</f>
        <v>987.2193949700002</v>
      </c>
    </row>
    <row r="365" spans="1:10" ht="12.75">
      <c r="A365" s="32" t="s">
        <v>49</v>
      </c>
      <c r="B365" s="43"/>
      <c r="C365" s="43">
        <f aca="true" t="shared" si="25" ref="C365:C373">+I56</f>
        <v>1429.640419</v>
      </c>
      <c r="D365" s="34">
        <f>+I153</f>
        <v>337.66220006000003</v>
      </c>
      <c r="E365" s="33">
        <f aca="true" t="shared" si="26" ref="E365:E373">+I248</f>
        <v>45.729936</v>
      </c>
      <c r="F365" s="34"/>
      <c r="G365" s="35"/>
      <c r="H365" s="33">
        <f aca="true" t="shared" si="27" ref="H365:H374">+J296</f>
        <v>15.521415000000001</v>
      </c>
      <c r="I365" s="34"/>
      <c r="J365" s="33">
        <f aca="true" t="shared" si="28" ref="J365:J373">SUM(C365:H365)</f>
        <v>1828.55397006</v>
      </c>
    </row>
    <row r="366" spans="1:10" ht="12.75">
      <c r="A366" s="32" t="s">
        <v>5</v>
      </c>
      <c r="B366" s="43"/>
      <c r="C366" s="43">
        <f t="shared" si="25"/>
        <v>759.0001570000001</v>
      </c>
      <c r="D366" s="34">
        <f aca="true" t="shared" si="29" ref="D366:D373">+I154</f>
        <v>129.522956</v>
      </c>
      <c r="E366" s="33">
        <f t="shared" si="26"/>
        <v>0</v>
      </c>
      <c r="F366" s="34"/>
      <c r="G366" s="35"/>
      <c r="H366" s="33">
        <f t="shared" si="27"/>
        <v>15.521415000000001</v>
      </c>
      <c r="I366" s="34"/>
      <c r="J366" s="33">
        <f t="shared" si="28"/>
        <v>904.0445280000001</v>
      </c>
    </row>
    <row r="367" spans="1:10" ht="12.75">
      <c r="A367" s="32" t="s">
        <v>50</v>
      </c>
      <c r="B367" s="43"/>
      <c r="C367" s="43">
        <f t="shared" si="25"/>
        <v>455.112479</v>
      </c>
      <c r="D367" s="34">
        <f t="shared" si="29"/>
        <v>159.70225</v>
      </c>
      <c r="E367" s="33">
        <f t="shared" si="26"/>
        <v>48.99636</v>
      </c>
      <c r="F367" s="34"/>
      <c r="G367" s="35"/>
      <c r="H367" s="33">
        <f t="shared" si="27"/>
        <v>15.521415000000001</v>
      </c>
      <c r="I367" s="34"/>
      <c r="J367" s="33">
        <f t="shared" si="28"/>
        <v>679.332504</v>
      </c>
    </row>
    <row r="368" spans="1:10" ht="12.75">
      <c r="A368" s="32" t="s">
        <v>51</v>
      </c>
      <c r="B368" s="43"/>
      <c r="C368" s="43">
        <f t="shared" si="25"/>
        <v>2574.5988810000003</v>
      </c>
      <c r="D368" s="34">
        <f t="shared" si="29"/>
        <v>618.1036901399999</v>
      </c>
      <c r="E368" s="33">
        <f t="shared" si="26"/>
        <v>101.259144</v>
      </c>
      <c r="F368" s="34"/>
      <c r="G368" s="35"/>
      <c r="H368" s="33">
        <f t="shared" si="27"/>
        <v>15.521415000000001</v>
      </c>
      <c r="I368" s="34"/>
      <c r="J368" s="33">
        <f t="shared" si="28"/>
        <v>3309.4831301400004</v>
      </c>
    </row>
    <row r="369" spans="1:10" ht="12.75">
      <c r="A369" s="32" t="s">
        <v>52</v>
      </c>
      <c r="B369" s="43"/>
      <c r="C369" s="43">
        <f t="shared" si="25"/>
        <v>1372.4676091400001</v>
      </c>
      <c r="D369" s="34">
        <f t="shared" si="29"/>
        <v>130.75722574</v>
      </c>
      <c r="E369" s="33">
        <f t="shared" si="26"/>
        <v>0</v>
      </c>
      <c r="F369" s="34"/>
      <c r="G369" s="35"/>
      <c r="H369" s="33">
        <f t="shared" si="27"/>
        <v>15.521415000000001</v>
      </c>
      <c r="I369" s="34"/>
      <c r="J369" s="33">
        <f t="shared" si="28"/>
        <v>1518.74624988</v>
      </c>
    </row>
    <row r="370" spans="1:10" ht="12.75">
      <c r="A370" s="32" t="s">
        <v>53</v>
      </c>
      <c r="B370" s="43"/>
      <c r="C370" s="43">
        <f t="shared" si="25"/>
        <v>204.234566</v>
      </c>
      <c r="D370" s="34">
        <f t="shared" si="29"/>
        <v>220.67252066</v>
      </c>
      <c r="E370" s="33">
        <f t="shared" si="26"/>
        <v>55.529208</v>
      </c>
      <c r="F370" s="34"/>
      <c r="G370" s="35"/>
      <c r="H370" s="33">
        <f t="shared" si="27"/>
        <v>15.521415000000001</v>
      </c>
      <c r="I370" s="34"/>
      <c r="J370" s="33">
        <f t="shared" si="28"/>
        <v>495.95770966</v>
      </c>
    </row>
    <row r="371" spans="1:10" ht="12.75">
      <c r="A371" s="32" t="s">
        <v>54</v>
      </c>
      <c r="B371" s="43"/>
      <c r="C371" s="43">
        <f t="shared" si="25"/>
        <v>2559.891005</v>
      </c>
      <c r="D371" s="34">
        <f t="shared" si="29"/>
        <v>599.62210206</v>
      </c>
      <c r="E371" s="33">
        <f t="shared" si="26"/>
        <v>107.79199200000001</v>
      </c>
      <c r="F371" s="34"/>
      <c r="G371" s="35"/>
      <c r="H371" s="33">
        <f t="shared" si="27"/>
        <v>16.56130125</v>
      </c>
      <c r="I371" s="34"/>
      <c r="J371" s="33">
        <f t="shared" si="28"/>
        <v>3283.86640031</v>
      </c>
    </row>
    <row r="372" spans="1:10" ht="12.75">
      <c r="A372" s="32" t="s">
        <v>55</v>
      </c>
      <c r="B372" s="43"/>
      <c r="C372" s="43">
        <f t="shared" si="25"/>
        <v>0</v>
      </c>
      <c r="D372" s="34">
        <f t="shared" si="29"/>
        <v>0</v>
      </c>
      <c r="E372" s="33">
        <f t="shared" si="26"/>
        <v>0</v>
      </c>
      <c r="F372" s="34"/>
      <c r="G372" s="35"/>
      <c r="H372" s="33">
        <f t="shared" si="27"/>
        <v>16.56130125</v>
      </c>
      <c r="I372" s="34"/>
      <c r="J372" s="33">
        <f t="shared" si="28"/>
        <v>16.56130125</v>
      </c>
    </row>
    <row r="373" spans="1:10" ht="12.75">
      <c r="A373" s="32" t="s">
        <v>56</v>
      </c>
      <c r="B373" s="43"/>
      <c r="C373" s="43">
        <f t="shared" si="25"/>
        <v>1413.16424957</v>
      </c>
      <c r="D373" s="34">
        <f t="shared" si="29"/>
        <v>323.05834568</v>
      </c>
      <c r="E373" s="33">
        <f t="shared" si="26"/>
        <v>48.99636</v>
      </c>
      <c r="F373" s="34"/>
      <c r="G373" s="35"/>
      <c r="H373" s="33">
        <f t="shared" si="27"/>
        <v>0</v>
      </c>
      <c r="I373" s="34"/>
      <c r="J373" s="33">
        <f t="shared" si="28"/>
        <v>1785.2189552500001</v>
      </c>
    </row>
    <row r="374" spans="1:10" ht="12.75">
      <c r="A374" s="32" t="s">
        <v>57</v>
      </c>
      <c r="B374" s="43"/>
      <c r="C374" s="43">
        <f>+J311</f>
        <v>2517.1855328700003</v>
      </c>
      <c r="D374" s="34">
        <f>+J312</f>
        <v>569.33711034</v>
      </c>
      <c r="E374" s="33">
        <f>+J313</f>
        <v>74.82832979999999</v>
      </c>
      <c r="F374" s="34"/>
      <c r="G374" s="35"/>
      <c r="H374" s="33">
        <f t="shared" si="27"/>
        <v>0</v>
      </c>
      <c r="I374" s="34"/>
      <c r="J374" s="33">
        <f>SUM(C374:H374)</f>
        <v>3161.3509730100004</v>
      </c>
    </row>
    <row r="375" spans="1:10" ht="13.5" thickBot="1">
      <c r="A375" s="32"/>
      <c r="B375" s="43"/>
      <c r="C375" s="44">
        <f aca="true" t="shared" si="30" ref="C375:H375">SUM(C364:C374)</f>
        <v>14017.59646486</v>
      </c>
      <c r="D375" s="38">
        <f t="shared" si="30"/>
        <v>3301.58773652</v>
      </c>
      <c r="E375" s="37">
        <f t="shared" si="30"/>
        <v>509.37840765</v>
      </c>
      <c r="F375" s="38">
        <f t="shared" si="30"/>
        <v>0</v>
      </c>
      <c r="G375" s="37">
        <f t="shared" si="30"/>
        <v>0</v>
      </c>
      <c r="H375" s="37">
        <f t="shared" si="30"/>
        <v>141.77250750000002</v>
      </c>
      <c r="I375" s="38"/>
      <c r="J375" s="37">
        <f>SUM(J364:J374)</f>
        <v>17970.33511653</v>
      </c>
    </row>
    <row r="376" spans="1:10" ht="13.5" thickBot="1">
      <c r="A376" s="39"/>
      <c r="B376" s="45"/>
      <c r="C376" s="45"/>
      <c r="D376" s="41"/>
      <c r="E376" s="40"/>
      <c r="F376" s="41"/>
      <c r="G376" s="42"/>
      <c r="H376" s="40"/>
      <c r="I376" s="41"/>
      <c r="J376" s="42">
        <f>+J375-J315</f>
        <v>0</v>
      </c>
    </row>
    <row r="383" ht="13.5" thickBot="1"/>
    <row r="384" ht="13.5" thickBot="1">
      <c r="A384" s="68" t="s">
        <v>62</v>
      </c>
    </row>
    <row r="385" spans="1:10" ht="12.75">
      <c r="A385" s="70" t="s">
        <v>40</v>
      </c>
      <c r="B385" s="46"/>
      <c r="C385" s="13"/>
      <c r="D385" s="14"/>
      <c r="E385" s="15"/>
      <c r="F385" s="16"/>
      <c r="G385" s="17"/>
      <c r="H385" s="71"/>
      <c r="I385" s="75"/>
      <c r="J385" s="18"/>
    </row>
    <row r="386" spans="1:10" ht="12.75">
      <c r="A386" s="19" t="s">
        <v>66</v>
      </c>
      <c r="B386" s="47"/>
      <c r="C386" s="20"/>
      <c r="D386" s="21"/>
      <c r="E386" s="22"/>
      <c r="F386" s="23"/>
      <c r="G386" s="24"/>
      <c r="H386" s="72"/>
      <c r="I386" s="76"/>
      <c r="J386" s="25"/>
    </row>
    <row r="387" spans="1:10" ht="13.5" thickBot="1">
      <c r="A387" s="50" t="s">
        <v>41</v>
      </c>
      <c r="B387" s="48"/>
      <c r="C387" s="26" t="s">
        <v>35</v>
      </c>
      <c r="D387" s="27" t="s">
        <v>42</v>
      </c>
      <c r="E387" s="28" t="s">
        <v>43</v>
      </c>
      <c r="F387" s="29" t="s">
        <v>44</v>
      </c>
      <c r="G387" s="30" t="s">
        <v>45</v>
      </c>
      <c r="H387" s="73" t="s">
        <v>46</v>
      </c>
      <c r="I387" s="77"/>
      <c r="J387" s="31" t="s">
        <v>47</v>
      </c>
    </row>
    <row r="388" spans="1:10" ht="12.75">
      <c r="A388" s="32"/>
      <c r="B388" s="43"/>
      <c r="C388" s="43"/>
      <c r="D388" s="34"/>
      <c r="E388" s="33"/>
      <c r="F388" s="34"/>
      <c r="G388" s="35"/>
      <c r="H388" s="74"/>
      <c r="I388" s="36"/>
      <c r="J388" s="35"/>
    </row>
    <row r="389" spans="1:10" ht="12.75">
      <c r="A389" s="32" t="s">
        <v>48</v>
      </c>
      <c r="B389" s="43"/>
      <c r="C389" s="43">
        <f aca="true" t="shared" si="31" ref="C389:H399">+C341+C364</f>
        <v>3137.0792956000005</v>
      </c>
      <c r="D389" s="43">
        <f t="shared" si="31"/>
        <v>913.0247291200001</v>
      </c>
      <c r="E389" s="43">
        <f t="shared" si="31"/>
        <v>112.41754909</v>
      </c>
      <c r="F389" s="43">
        <f t="shared" si="31"/>
        <v>0</v>
      </c>
      <c r="G389" s="43">
        <f t="shared" si="31"/>
        <v>0</v>
      </c>
      <c r="H389" s="33">
        <f t="shared" si="31"/>
        <v>66.47895408</v>
      </c>
      <c r="I389" s="34"/>
      <c r="J389" s="33">
        <f>SUM(C389:H389)</f>
        <v>4229.000527890001</v>
      </c>
    </row>
    <row r="390" spans="1:10" ht="12.75">
      <c r="A390" s="32" t="s">
        <v>49</v>
      </c>
      <c r="B390" s="43"/>
      <c r="C390" s="43">
        <f t="shared" si="31"/>
        <v>6124.38313</v>
      </c>
      <c r="D390" s="43">
        <f t="shared" si="31"/>
        <v>1446.3753195800002</v>
      </c>
      <c r="E390" s="43">
        <f t="shared" si="31"/>
        <v>195.8636064</v>
      </c>
      <c r="F390" s="43">
        <f t="shared" si="31"/>
        <v>0</v>
      </c>
      <c r="G390" s="43">
        <f t="shared" si="31"/>
        <v>0</v>
      </c>
      <c r="H390" s="33">
        <f t="shared" si="31"/>
        <v>66.47895408</v>
      </c>
      <c r="I390" s="34"/>
      <c r="J390" s="33">
        <f aca="true" t="shared" si="32" ref="J390:J398">SUM(C390:H390)</f>
        <v>7833.101010060001</v>
      </c>
    </row>
    <row r="391" spans="1:10" ht="12.75">
      <c r="A391" s="32" t="s">
        <v>5</v>
      </c>
      <c r="B391" s="43"/>
      <c r="C391" s="43">
        <f t="shared" si="31"/>
        <v>3251.45239</v>
      </c>
      <c r="D391" s="43">
        <f t="shared" si="31"/>
        <v>554.811308</v>
      </c>
      <c r="E391" s="43">
        <f t="shared" si="31"/>
        <v>0</v>
      </c>
      <c r="F391" s="43">
        <f t="shared" si="31"/>
        <v>0</v>
      </c>
      <c r="G391" s="43">
        <f t="shared" si="31"/>
        <v>0</v>
      </c>
      <c r="H391" s="33">
        <f t="shared" si="31"/>
        <v>66.47895408</v>
      </c>
      <c r="I391" s="34"/>
      <c r="J391" s="33">
        <f t="shared" si="32"/>
        <v>3872.74265208</v>
      </c>
    </row>
    <row r="392" spans="1:10" ht="12.75">
      <c r="A392" s="32" t="s">
        <v>50</v>
      </c>
      <c r="B392" s="43"/>
      <c r="C392" s="43">
        <f t="shared" si="31"/>
        <v>1949.63933</v>
      </c>
      <c r="D392" s="43">
        <f t="shared" si="31"/>
        <v>684.0842500000001</v>
      </c>
      <c r="E392" s="43">
        <f t="shared" si="31"/>
        <v>209.853864</v>
      </c>
      <c r="F392" s="43">
        <f t="shared" si="31"/>
        <v>0</v>
      </c>
      <c r="G392" s="43">
        <f t="shared" si="31"/>
        <v>0</v>
      </c>
      <c r="H392" s="33">
        <f t="shared" si="31"/>
        <v>66.47895408</v>
      </c>
      <c r="I392" s="34"/>
      <c r="J392" s="33">
        <f t="shared" si="32"/>
        <v>2910.05639808</v>
      </c>
    </row>
    <row r="393" spans="1:10" ht="12.75">
      <c r="A393" s="32" t="s">
        <v>51</v>
      </c>
      <c r="B393" s="43"/>
      <c r="C393" s="43">
        <f t="shared" si="31"/>
        <v>11029.22787</v>
      </c>
      <c r="D393" s="43">
        <f t="shared" si="31"/>
        <v>2647.64584902</v>
      </c>
      <c r="E393" s="43">
        <f t="shared" si="31"/>
        <v>433.6979856</v>
      </c>
      <c r="F393" s="43">
        <f t="shared" si="31"/>
        <v>0</v>
      </c>
      <c r="G393" s="43">
        <f t="shared" si="31"/>
        <v>0</v>
      </c>
      <c r="H393" s="33">
        <f t="shared" si="31"/>
        <v>66.47895408</v>
      </c>
      <c r="I393" s="34"/>
      <c r="J393" s="33">
        <f t="shared" si="32"/>
        <v>14177.0506587</v>
      </c>
    </row>
    <row r="394" spans="1:10" ht="12.75">
      <c r="A394" s="32" t="s">
        <v>52</v>
      </c>
      <c r="B394" s="43"/>
      <c r="C394" s="43">
        <f t="shared" si="31"/>
        <v>5879.4626678</v>
      </c>
      <c r="D394" s="43">
        <f t="shared" si="31"/>
        <v>560.09829982</v>
      </c>
      <c r="E394" s="43">
        <f t="shared" si="31"/>
        <v>0</v>
      </c>
      <c r="F394" s="43">
        <f t="shared" si="31"/>
        <v>0</v>
      </c>
      <c r="G394" s="43">
        <f t="shared" si="31"/>
        <v>0</v>
      </c>
      <c r="H394" s="33">
        <f t="shared" si="31"/>
        <v>66.47895408</v>
      </c>
      <c r="I394" s="34"/>
      <c r="J394" s="33">
        <f t="shared" si="32"/>
        <v>6506.0399217</v>
      </c>
    </row>
    <row r="395" spans="1:10" ht="12.75">
      <c r="A395" s="32" t="s">
        <v>53</v>
      </c>
      <c r="B395" s="43"/>
      <c r="C395" s="43">
        <f t="shared" si="31"/>
        <v>874.91282</v>
      </c>
      <c r="D395" s="43">
        <f t="shared" si="31"/>
        <v>945.2502753800001</v>
      </c>
      <c r="E395" s="43">
        <f t="shared" si="31"/>
        <v>237.83437919999994</v>
      </c>
      <c r="F395" s="43">
        <f t="shared" si="31"/>
        <v>0</v>
      </c>
      <c r="G395" s="43">
        <f t="shared" si="31"/>
        <v>0</v>
      </c>
      <c r="H395" s="33">
        <f t="shared" si="31"/>
        <v>66.47895408</v>
      </c>
      <c r="I395" s="34"/>
      <c r="J395" s="33">
        <f t="shared" si="32"/>
        <v>2124.4764286600002</v>
      </c>
    </row>
    <row r="396" spans="1:10" ht="12.75">
      <c r="A396" s="32" t="s">
        <v>54</v>
      </c>
      <c r="B396" s="43"/>
      <c r="C396" s="43">
        <f t="shared" si="31"/>
        <v>10966.22135</v>
      </c>
      <c r="D396" s="43">
        <f t="shared" si="31"/>
        <v>2568.48000558</v>
      </c>
      <c r="E396" s="43">
        <f t="shared" si="31"/>
        <v>461.6785008</v>
      </c>
      <c r="F396" s="43">
        <f t="shared" si="31"/>
        <v>0</v>
      </c>
      <c r="G396" s="43">
        <f t="shared" si="31"/>
        <v>0</v>
      </c>
      <c r="H396" s="33">
        <f t="shared" si="31"/>
        <v>70.93283604</v>
      </c>
      <c r="I396" s="34"/>
      <c r="J396" s="33">
        <f t="shared" si="32"/>
        <v>14067.31269242</v>
      </c>
    </row>
    <row r="397" spans="1:10" ht="12.75">
      <c r="A397" s="32" t="s">
        <v>55</v>
      </c>
      <c r="B397" s="43"/>
      <c r="C397" s="43">
        <f t="shared" si="31"/>
        <v>0</v>
      </c>
      <c r="D397" s="43">
        <f t="shared" si="31"/>
        <v>0</v>
      </c>
      <c r="E397" s="43">
        <f t="shared" si="31"/>
        <v>0</v>
      </c>
      <c r="F397" s="43">
        <f t="shared" si="31"/>
        <v>0</v>
      </c>
      <c r="G397" s="43">
        <f t="shared" si="31"/>
        <v>0</v>
      </c>
      <c r="H397" s="33">
        <f t="shared" si="31"/>
        <v>70.93283604</v>
      </c>
      <c r="I397" s="34"/>
      <c r="J397" s="33">
        <f t="shared" si="32"/>
        <v>70.93283604</v>
      </c>
    </row>
    <row r="398" spans="1:10" ht="12.75">
      <c r="A398" s="32" t="s">
        <v>56</v>
      </c>
      <c r="B398" s="43"/>
      <c r="C398" s="43">
        <f t="shared" si="31"/>
        <v>6053.8014839</v>
      </c>
      <c r="D398" s="43">
        <f t="shared" si="31"/>
        <v>1383.81974024</v>
      </c>
      <c r="E398" s="43">
        <f t="shared" si="31"/>
        <v>209.853864</v>
      </c>
      <c r="F398" s="43">
        <f t="shared" si="31"/>
        <v>0</v>
      </c>
      <c r="G398" s="43">
        <f t="shared" si="31"/>
        <v>0</v>
      </c>
      <c r="H398" s="33">
        <f t="shared" si="31"/>
        <v>0</v>
      </c>
      <c r="I398" s="34"/>
      <c r="J398" s="33">
        <f t="shared" si="32"/>
        <v>7647.47508814</v>
      </c>
    </row>
    <row r="399" spans="1:10" ht="12.75">
      <c r="A399" s="32" t="s">
        <v>57</v>
      </c>
      <c r="B399" s="43"/>
      <c r="C399" s="43">
        <f t="shared" si="31"/>
        <v>10783.276974900002</v>
      </c>
      <c r="D399" s="43">
        <f t="shared" si="31"/>
        <v>2438.75430762</v>
      </c>
      <c r="E399" s="43">
        <f t="shared" si="31"/>
        <v>320.49348452</v>
      </c>
      <c r="F399" s="43">
        <f t="shared" si="31"/>
        <v>0</v>
      </c>
      <c r="G399" s="43">
        <f t="shared" si="31"/>
        <v>0</v>
      </c>
      <c r="H399" s="33">
        <f t="shared" si="31"/>
        <v>0</v>
      </c>
      <c r="I399" s="34"/>
      <c r="J399" s="33">
        <f>SUM(C399:H399)</f>
        <v>13542.524767040002</v>
      </c>
    </row>
    <row r="400" spans="1:10" ht="13.5" thickBot="1">
      <c r="A400" s="32"/>
      <c r="B400" s="43"/>
      <c r="C400" s="44">
        <f aca="true" t="shared" si="33" ref="C400:H400">SUM(C389:C399)</f>
        <v>60049.45731220001</v>
      </c>
      <c r="D400" s="38">
        <f t="shared" si="33"/>
        <v>14142.34408436</v>
      </c>
      <c r="E400" s="37">
        <f t="shared" si="33"/>
        <v>2181.69323361</v>
      </c>
      <c r="F400" s="38">
        <f t="shared" si="33"/>
        <v>0</v>
      </c>
      <c r="G400" s="37">
        <f t="shared" si="33"/>
        <v>0</v>
      </c>
      <c r="H400" s="37">
        <f t="shared" si="33"/>
        <v>607.2183506399999</v>
      </c>
      <c r="I400" s="38"/>
      <c r="J400" s="37">
        <f>SUM(J389:J399)</f>
        <v>76980.71298081001</v>
      </c>
    </row>
    <row r="401" spans="1:10" ht="13.5" thickBot="1">
      <c r="A401" s="39"/>
      <c r="B401" s="45"/>
      <c r="C401" s="45"/>
      <c r="D401" s="41"/>
      <c r="E401" s="40"/>
      <c r="F401" s="41"/>
      <c r="G401" s="42"/>
      <c r="H401" s="40"/>
      <c r="I401" s="41"/>
      <c r="J401" s="42">
        <f>+J400-J352-J375</f>
        <v>0</v>
      </c>
    </row>
    <row r="404" ht="12.75">
      <c r="A404" s="78" t="s">
        <v>67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73" r:id="rId1"/>
  <headerFooter alignWithMargins="0">
    <oddHeader>&amp;RDRAFT</oddHeader>
    <oddFooter>&amp;LI:\JD\YE Dec 31 02\Statistics\&amp;F &amp;A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2" width="9.28125" style="3" bestFit="1" customWidth="1"/>
    <col min="3" max="3" width="14.00390625" style="3" bestFit="1" customWidth="1"/>
  </cols>
  <sheetData>
    <row r="1" ht="12.75">
      <c r="A1" t="s">
        <v>22</v>
      </c>
    </row>
    <row r="2" spans="2:3" ht="12.75">
      <c r="B2" s="3" t="s">
        <v>14</v>
      </c>
      <c r="C2" s="3" t="s">
        <v>13</v>
      </c>
    </row>
    <row r="3" spans="1:3" ht="12.75">
      <c r="A3" t="s">
        <v>23</v>
      </c>
      <c r="C3" s="3">
        <f>Detail!D71</f>
        <v>11866781.96</v>
      </c>
    </row>
    <row r="4" spans="1:3" ht="12.75">
      <c r="A4" t="s">
        <v>24</v>
      </c>
      <c r="C4" s="3">
        <f>Detail!D168</f>
        <v>3063589.8099999996</v>
      </c>
    </row>
    <row r="5" spans="1:3" ht="12.75">
      <c r="A5" t="s">
        <v>25</v>
      </c>
      <c r="B5" s="3">
        <f>Detail!C263</f>
        <v>971</v>
      </c>
      <c r="C5" s="3">
        <f>Detail!D263</f>
        <v>466500.88235294115</v>
      </c>
    </row>
    <row r="6" spans="1:3" ht="12.75">
      <c r="A6" t="s">
        <v>26</v>
      </c>
      <c r="B6" s="3">
        <f>Detail!C306</f>
        <v>423.2800000000001</v>
      </c>
      <c r="C6" s="3">
        <f>Detail!D306</f>
        <v>140679.52519999997</v>
      </c>
    </row>
    <row r="8" ht="12.75">
      <c r="C8" s="3">
        <f>SUM(C3:C7)</f>
        <v>15537552.17755294</v>
      </c>
    </row>
    <row r="10" spans="1:3" ht="12.75">
      <c r="A10" t="s">
        <v>30</v>
      </c>
      <c r="C10" s="3">
        <v>15139671</v>
      </c>
    </row>
    <row r="12" spans="1:3" ht="12.75">
      <c r="A12" t="s">
        <v>31</v>
      </c>
      <c r="C12" s="3">
        <f>C10-C8</f>
        <v>-397881.1775529403</v>
      </c>
    </row>
    <row r="14" spans="1:3" ht="12.75">
      <c r="A14" t="s">
        <v>32</v>
      </c>
      <c r="C14" s="10">
        <f>C12/C10</f>
        <v>-0.026280701710951336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Guelph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Fallis</dc:creator>
  <cp:keywords/>
  <dc:description/>
  <cp:lastModifiedBy>Cristina</cp:lastModifiedBy>
  <cp:lastPrinted>2004-05-18T15:34:29Z</cp:lastPrinted>
  <dcterms:created xsi:type="dcterms:W3CDTF">2002-11-14T17:58:55Z</dcterms:created>
  <dcterms:modified xsi:type="dcterms:W3CDTF">2011-10-11T15:43:45Z</dcterms:modified>
  <cp:category/>
  <cp:version/>
  <cp:contentType/>
  <cp:contentStatus/>
</cp:coreProperties>
</file>