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8715" firstSheet="3" activeTab="10"/>
  </bookViews>
  <sheets>
    <sheet name="Stats" sheetId="1" r:id="rId1"/>
    <sheet name="Summary PILs" sheetId="2" r:id="rId2"/>
    <sheet name="Summary DNU" sheetId="3" state="hidden" r:id="rId3"/>
    <sheet name="Res" sheetId="4" r:id="rId4"/>
    <sheet name="GS&lt;50" sheetId="5" r:id="rId5"/>
    <sheet name="GS&gt;50" sheetId="6" r:id="rId6"/>
    <sheet name="GS TOU" sheetId="7" r:id="rId7"/>
    <sheet name="LU" sheetId="8" r:id="rId8"/>
    <sheet name="ST LGT" sheetId="9" r:id="rId9"/>
    <sheet name="SENT LT" sheetId="10" r:id="rId10"/>
    <sheet name="Retailers" sheetId="11" r:id="rId11"/>
  </sheets>
  <externalReferences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_xlnm.Print_Area" localSheetId="6">'GS TOU'!$A$1:$I$61</definedName>
    <definedName name="_xlnm.Print_Area" localSheetId="5">'GS&gt;50'!$A$1:$I$61</definedName>
    <definedName name="_xlnm.Print_Area" localSheetId="7">'LU'!$A$1:$K$59</definedName>
    <definedName name="_xlnm.Print_Area" localSheetId="3">'Res'!$A$1:$R$92</definedName>
    <definedName name="_xlnm.Print_Area" localSheetId="8">'ST LGT'!$A$1:$J$29</definedName>
    <definedName name="_xlnm.Print_Area" localSheetId="2">'Summary DNU'!$A$1:$J$221</definedName>
  </definedNames>
  <calcPr fullCalcOnLoad="1"/>
</workbook>
</file>

<file path=xl/comments2.xml><?xml version="1.0" encoding="utf-8"?>
<comments xmlns="http://schemas.openxmlformats.org/spreadsheetml/2006/main">
  <authors>
    <author>Jim Fallis</author>
  </authors>
  <commentList>
    <comment ref="D70" authorId="0">
      <text>
        <r>
          <rPr>
            <b/>
            <sz val="8"/>
            <rFont val="Tahoma"/>
            <family val="2"/>
          </rPr>
          <t>Jim Fallis:</t>
        </r>
        <r>
          <rPr>
            <sz val="8"/>
            <rFont val="Tahoma"/>
            <family val="2"/>
          </rPr>
          <t xml:space="preserve">
Rigers cable, 1 account 263 service charges</t>
        </r>
      </text>
    </comment>
  </commentList>
</comments>
</file>

<file path=xl/comments3.xml><?xml version="1.0" encoding="utf-8"?>
<comments xmlns="http://schemas.openxmlformats.org/spreadsheetml/2006/main">
  <authors>
    <author>Jim Fallis</author>
  </authors>
  <commentList>
    <comment ref="D70" authorId="0">
      <text>
        <r>
          <rPr>
            <b/>
            <sz val="8"/>
            <rFont val="Tahoma"/>
            <family val="2"/>
          </rPr>
          <t>Jim Fallis:</t>
        </r>
        <r>
          <rPr>
            <sz val="8"/>
            <rFont val="Tahoma"/>
            <family val="2"/>
          </rPr>
          <t xml:space="preserve">
Rigers cable, 1 account 263 service charges</t>
        </r>
      </text>
    </comment>
  </commentList>
</comments>
</file>

<file path=xl/comments8.xml><?xml version="1.0" encoding="utf-8"?>
<comments xmlns="http://schemas.openxmlformats.org/spreadsheetml/2006/main">
  <authors>
    <author>Jim Fallis</author>
  </authors>
  <commentList>
    <comment ref="E25" authorId="0">
      <text>
        <r>
          <rPr>
            <b/>
            <sz val="8"/>
            <rFont val="Tahoma"/>
            <family val="2"/>
          </rPr>
          <t>Jim Fallis:</t>
        </r>
        <r>
          <rPr>
            <sz val="8"/>
            <rFont val="Tahoma"/>
            <family val="2"/>
          </rPr>
          <t xml:space="preserve">
Delete when June cancel rebill is processed</t>
        </r>
      </text>
    </comment>
    <comment ref="C113" authorId="0">
      <text>
        <r>
          <rPr>
            <b/>
            <sz val="8"/>
            <rFont val="Tahoma"/>
            <family val="2"/>
          </rPr>
          <t>Jim Fallis:</t>
        </r>
        <r>
          <rPr>
            <sz val="8"/>
            <rFont val="Tahoma"/>
            <family val="2"/>
          </rPr>
          <t xml:space="preserve">
See note above</t>
        </r>
      </text>
    </comment>
  </commentList>
</comments>
</file>

<file path=xl/sharedStrings.xml><?xml version="1.0" encoding="utf-8"?>
<sst xmlns="http://schemas.openxmlformats.org/spreadsheetml/2006/main" count="1449" uniqueCount="223">
  <si>
    <t>Receivable Code: B4</t>
  </si>
  <si>
    <t>Account Number: 001-0000-902-04-01</t>
  </si>
  <si>
    <t>General Service &lt; 50 kW Distribution kWh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</si>
  <si>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</si>
  <si>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</si>
  <si>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</si>
  <si>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</si>
  <si>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</si>
  <si>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</si>
  <si>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</si>
  <si>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</si>
  <si>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</si>
  <si>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</si>
  <si>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</si>
  <si>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</si>
  <si>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General Ledger</t>
  </si>
  <si>
    <t>kWh</t>
  </si>
  <si>
    <t>Rate</t>
  </si>
  <si>
    <t>Extension</t>
  </si>
  <si>
    <t>Difference</t>
  </si>
  <si>
    <t>YTD General Ledger</t>
  </si>
  <si>
    <t>General Service &gt; 50 kW Distribution kW</t>
  </si>
  <si>
    <t>Receivable Code: B5</t>
  </si>
  <si>
    <t>Account Number: 001-0000-902-04-02</t>
  </si>
  <si>
    <t>kW</t>
  </si>
  <si>
    <t>kWh - Losses</t>
  </si>
  <si>
    <t>General Service &gt; 50 kW Wholesale Market</t>
  </si>
  <si>
    <t>Receivable Code: F5</t>
  </si>
  <si>
    <t>Account Number: 001-0000-206-01-05</t>
  </si>
  <si>
    <t>Receivable Code: T5</t>
  </si>
  <si>
    <t>Account Number: 001-0000-902-05-03</t>
  </si>
  <si>
    <t>General Service TOU Distribution kW</t>
  </si>
  <si>
    <t>Receivable Code: B6</t>
  </si>
  <si>
    <t>Account Number: 001-0000-902-04-03</t>
  </si>
  <si>
    <t>General Service TOU Wholesale Market</t>
  </si>
  <si>
    <t>Receivable Code: F6</t>
  </si>
  <si>
    <t>Account Number: 001-0000-206-01-06</t>
  </si>
  <si>
    <t>General Service TOU Transformer Allowoance</t>
  </si>
  <si>
    <t>Receivable Code: T6</t>
  </si>
  <si>
    <t>Account Number: 001-0000-902-05-04</t>
  </si>
  <si>
    <t>Large Use Distribution kW</t>
  </si>
  <si>
    <t>Receivable Code: B7</t>
  </si>
  <si>
    <t>Account Number: 001-0000-903-04-00</t>
  </si>
  <si>
    <t>Large Use Transformer Allowoance</t>
  </si>
  <si>
    <t>Receivable Code: T7</t>
  </si>
  <si>
    <t>Account Number: 001-0000-902-05-05</t>
  </si>
  <si>
    <t>General Service &lt; 50 kW</t>
  </si>
  <si>
    <t>COP kWh</t>
  </si>
  <si>
    <t>General Service &gt; 50 kW</t>
  </si>
  <si>
    <t>Distribution kW</t>
  </si>
  <si>
    <t>COP kW</t>
  </si>
  <si>
    <t>Wholesale Market kWh</t>
  </si>
  <si>
    <t>General Service TOU</t>
  </si>
  <si>
    <t>General Service Wholesale Market</t>
  </si>
  <si>
    <t>Large Use</t>
  </si>
  <si>
    <t>Budget kW</t>
  </si>
  <si>
    <t>Budget kWh</t>
  </si>
  <si>
    <t>General Service Summary:</t>
  </si>
  <si>
    <t>Number of Connections</t>
  </si>
  <si>
    <t>Billed in the Month</t>
  </si>
  <si>
    <t>Per Connection</t>
  </si>
  <si>
    <t>Distribution per kW</t>
  </si>
  <si>
    <t>Monthly Service Charge</t>
  </si>
  <si>
    <t>2001</t>
  </si>
  <si>
    <t>December 2001</t>
  </si>
  <si>
    <t>Delta</t>
  </si>
  <si>
    <t>Service Charge 03/01/02</t>
  </si>
  <si>
    <t>Distribution $                     03/01/02</t>
  </si>
  <si>
    <t>kWh                     03/01/02</t>
  </si>
  <si>
    <t>Residential</t>
  </si>
  <si>
    <t>Total kWh</t>
  </si>
  <si>
    <t>TA $</t>
  </si>
  <si>
    <t>TA kW</t>
  </si>
  <si>
    <t>Receivable Code: F7</t>
  </si>
  <si>
    <t>Large User Wholesale Market</t>
  </si>
  <si>
    <t>Account Number: 001-0000-206-01-07</t>
  </si>
  <si>
    <t>Street Lighting</t>
  </si>
  <si>
    <t>2002 + Lag</t>
  </si>
  <si>
    <t>Total Service Charge</t>
  </si>
  <si>
    <t>Total Distribution kWh</t>
  </si>
  <si>
    <t>General Service &gt; 50 kW Transformer Allowance</t>
  </si>
  <si>
    <t>kWh Billed</t>
  </si>
  <si>
    <t>Sentinal Lighting</t>
  </si>
  <si>
    <t>Less: Unbilled Beginning of Year</t>
  </si>
  <si>
    <t>Add: Unbilled End of Year</t>
  </si>
  <si>
    <t>Billed in the Calendar Year</t>
  </si>
  <si>
    <t>kWh Purchased</t>
  </si>
  <si>
    <t>Line Losses</t>
  </si>
  <si>
    <t>Line Losses %</t>
  </si>
  <si>
    <t>Service Charge 01/01/03</t>
  </si>
  <si>
    <t>Distribution $                     01/01/03</t>
  </si>
  <si>
    <t>kWh                     01/01/03</t>
  </si>
  <si>
    <t>Service Charge 03/01/03</t>
  </si>
  <si>
    <t>2002 kWh</t>
  </si>
  <si>
    <t>2002 Residential Revenue</t>
  </si>
  <si>
    <t>Total Revenue</t>
  </si>
  <si>
    <t>2002 $ per kWh</t>
  </si>
  <si>
    <t>2002 $ per kWh * 2003 kWh</t>
  </si>
  <si>
    <t>Price</t>
  </si>
  <si>
    <t>Volume</t>
  </si>
  <si>
    <t>Service Charge</t>
  </si>
  <si>
    <t>2002 Revenue</t>
  </si>
  <si>
    <t>2002 kW</t>
  </si>
  <si>
    <t>2002 $ per kW</t>
  </si>
  <si>
    <t>2002 $ per kW * 2003 kW</t>
  </si>
  <si>
    <t>Price Volume Analysis</t>
  </si>
  <si>
    <t>Total</t>
  </si>
  <si>
    <t>Price %</t>
  </si>
  <si>
    <t>Volume %</t>
  </si>
  <si>
    <t>Total %</t>
  </si>
  <si>
    <t>2003 Revenue</t>
  </si>
  <si>
    <t>ABB</t>
  </si>
  <si>
    <t>Dist'n</t>
  </si>
  <si>
    <t>Restated kW</t>
  </si>
  <si>
    <t>Restated Revenue</t>
  </si>
  <si>
    <t>Adjusted for ABB</t>
  </si>
  <si>
    <t>2001  PILs Increment</t>
  </si>
  <si>
    <t>2001  PIL s Collected</t>
  </si>
  <si>
    <t>PILs Collected</t>
  </si>
  <si>
    <t>2003 Marginal Tax Rate</t>
  </si>
  <si>
    <t>After PILs 2001 PILs Collected</t>
  </si>
  <si>
    <t>Gross 2001 PILS Collected</t>
  </si>
  <si>
    <t>001-0000-160-01-13</t>
  </si>
  <si>
    <t>573675</t>
  </si>
  <si>
    <t>573715</t>
  </si>
  <si>
    <t>573725</t>
  </si>
  <si>
    <t>573745</t>
  </si>
  <si>
    <t>580725</t>
  </si>
  <si>
    <t>$</t>
  </si>
  <si>
    <t>001-0000-160-01-12</t>
  </si>
  <si>
    <t>Bill Ready - Sentinel Lights</t>
  </si>
  <si>
    <t>001-0000-160-01-14</t>
  </si>
  <si>
    <t>Bill Ready - Residential</t>
  </si>
  <si>
    <t>Bill Ready - General Service &lt; 50 kW</t>
  </si>
  <si>
    <t>Receivable Code: M2</t>
  </si>
  <si>
    <t>Receivable Code: M3</t>
  </si>
  <si>
    <t>Receivable Code: M4</t>
  </si>
  <si>
    <t>001-0000-160-01-15</t>
  </si>
  <si>
    <t>Bill Ready - General Service &gt; 50 kW</t>
  </si>
  <si>
    <t>Receivable Code: M5</t>
  </si>
  <si>
    <t>001-0000-209-01-75</t>
  </si>
  <si>
    <t>Bill Ready - HOEP General Service &gt; 50 kW</t>
  </si>
  <si>
    <t>001-0000-209-01-76</t>
  </si>
  <si>
    <t>Bill Ready - HOEP General Service tou</t>
  </si>
  <si>
    <t>Receivable Code: D5</t>
  </si>
  <si>
    <t>Receivable Code: D6</t>
  </si>
  <si>
    <t>001-0000-209-01-77</t>
  </si>
  <si>
    <t>Bill Ready - HOEP Large Use</t>
  </si>
  <si>
    <t>Receivable Code: D7</t>
  </si>
  <si>
    <t>Direct Energy</t>
  </si>
  <si>
    <t>First Source</t>
  </si>
  <si>
    <t>Ontario Hydro Energy</t>
  </si>
  <si>
    <t>OPG</t>
  </si>
  <si>
    <t>Toronto Hydro Energy</t>
  </si>
  <si>
    <t>Ontario Energy Savings</t>
  </si>
  <si>
    <t>Coral Energy</t>
  </si>
  <si>
    <t>OEB Report</t>
  </si>
  <si>
    <t>Losses</t>
  </si>
  <si>
    <t>Energy Sales 01/01/03 - 06/30/03</t>
  </si>
  <si>
    <t>Energy Sales +Losses                  01/01/03 - 06/30/03</t>
  </si>
  <si>
    <t>Energy Sales Dec/03</t>
  </si>
  <si>
    <t>Energy Sales 12/01/02 - 06/30/03</t>
  </si>
  <si>
    <t>Retailers</t>
  </si>
  <si>
    <t>SSS Total</t>
  </si>
  <si>
    <t>2003 Street Lighting</t>
  </si>
  <si>
    <t>Estimated 12/31/03</t>
  </si>
  <si>
    <t>901-03-00</t>
  </si>
  <si>
    <t>901-04-00</t>
  </si>
  <si>
    <t>Total of Above</t>
  </si>
  <si>
    <t>Total G/L</t>
  </si>
  <si>
    <t>902-04-01</t>
  </si>
  <si>
    <t>Total above</t>
  </si>
  <si>
    <t>Distribution 2003 kWh</t>
  </si>
  <si>
    <t>Distribution Revenue 2003</t>
  </si>
  <si>
    <t>Service Charge 2003</t>
  </si>
  <si>
    <t>Distribution kW 2003</t>
  </si>
  <si>
    <t>kWh 2003</t>
  </si>
  <si>
    <t>YTD General Ledger 2003</t>
  </si>
  <si>
    <t>General Ledger 2003</t>
  </si>
  <si>
    <t>kWh - Losses 2003</t>
  </si>
  <si>
    <t>kW 2003</t>
  </si>
  <si>
    <t>Jim missed</t>
  </si>
  <si>
    <t>Jim out</t>
  </si>
  <si>
    <r>
      <t xml:space="preserve">Distribution </t>
    </r>
    <r>
      <rPr>
        <b/>
        <sz val="10"/>
        <color indexed="10"/>
        <rFont val="Arial"/>
        <family val="2"/>
      </rPr>
      <t>$</t>
    </r>
    <r>
      <rPr>
        <b/>
        <sz val="10"/>
        <rFont val="Arial"/>
        <family val="2"/>
      </rPr>
      <t xml:space="preserve"> 2003</t>
    </r>
  </si>
  <si>
    <t>Service Charges 2003</t>
  </si>
  <si>
    <t>Number of Connections 2003</t>
  </si>
  <si>
    <t>2001 Rate</t>
  </si>
  <si>
    <t>2002 Rate</t>
  </si>
  <si>
    <t>RES</t>
  </si>
  <si>
    <t>&lt;50</t>
  </si>
  <si>
    <t>&gt;50 NON</t>
  </si>
  <si>
    <t>&gt;50 TOU</t>
  </si>
  <si>
    <t>LU</t>
  </si>
  <si>
    <t>ST LT</t>
  </si>
  <si>
    <t>PILS RATES AS PER REVISEDMAR/02 RAM</t>
  </si>
  <si>
    <t>On Vble Rate Only</t>
  </si>
  <si>
    <t>2001 PILs portion collected</t>
  </si>
  <si>
    <t>2002 PILs portion collected</t>
  </si>
  <si>
    <t>Total PILs collected in 2003</t>
  </si>
  <si>
    <t>2003 PILs Collected for 2001</t>
  </si>
  <si>
    <t>2003 PILs Collected for 2002</t>
  </si>
  <si>
    <t>2003 PILs Total Collected</t>
  </si>
  <si>
    <t>December 2002 Unbilled</t>
  </si>
  <si>
    <t>December 2003 Unbilled</t>
  </si>
  <si>
    <t>GUELPH HYDRO ELECTRIC SYSTEMS INC.</t>
  </si>
  <si>
    <t>GHESI</t>
  </si>
  <si>
    <t>Summary of PILs Collected in 2003 - 2001 Portion</t>
  </si>
  <si>
    <t>&gt;50</t>
  </si>
  <si>
    <t>TOU</t>
  </si>
  <si>
    <t>TOTAL</t>
  </si>
  <si>
    <t>Summary of PILs Collected in 2003 - 2002 Portion</t>
  </si>
  <si>
    <t>Summary of PILs Collected in 2003 - 2001 &amp; 2002 Portion</t>
  </si>
  <si>
    <t>RESIDENTIAL</t>
  </si>
  <si>
    <t>904-04-00</t>
  </si>
  <si>
    <t>Distribution Rate per kW</t>
  </si>
  <si>
    <t>2003 Sentinel Lighting</t>
  </si>
  <si>
    <t>Sentinel Lighting</t>
  </si>
  <si>
    <t>SENT LT</t>
  </si>
  <si>
    <t>OEB FILING JAN/04 FOR DEC/03 DID NOT INCLUDE SENTINEL LIGHTING BILLED - WILL REVISE DEC/03</t>
  </si>
  <si>
    <t>ORIGINAL USED TO FILE 2004 RATE APPLICATION (DEC/02 BALANCE) DID NOT INCLUDE SENTINEL LIGHTS - HAD NOT BEEN PREVIOUSLY RECORDED -</t>
  </si>
  <si>
    <t>DISCOVERED IN APRIL/04 AND CALCULATED AT THAT POINT - OTHER MONITORING FILINGS WOULD ALSO NOT INCLUDE</t>
  </si>
  <si>
    <t>= G/L</t>
  </si>
  <si>
    <t>905-04-00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</si>
</sst>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(* #,##0.000_);_(* \(#,##0.000\);_(* &quot;-&quot;??_);_(@_)"/>
    <numFmt numFmtId="173" formatCode="_(* #,##0.0000_);_(* \(#,##0.0000\);_(* &quot;-&quot;??_);_(@_)"/>
    <numFmt numFmtId="174" formatCode="_(* #,##0.0000_);_(* \(#,##0.0000\);_(* &quot;-&quot;????_);_(@_)"/>
    <numFmt numFmtId="175" formatCode="0.0%"/>
    <numFmt numFmtId="176" formatCode="_(* #,##0.0_);_(* \(#,##0.0\);_(* &quot;-&quot;??_);_(@_)"/>
    <numFmt numFmtId="177" formatCode="_(* #,##0_);_(* \(#,##0\);_(* &quot;-&quot;??_);_(@_)"/>
    <numFmt numFmtId="178" formatCode="_(* #,##0.00000_);_(* \(#,##0.00000\);_(* &quot;-&quot;??_);_(@_)"/>
    <numFmt numFmtId="179" formatCode="_(* #,##0.000000_);_(* \(#,##0.000000\);_(* &quot;-&quot;??_);_(@_)"/>
    <numFmt numFmtId="180" formatCode="_(* #,##0.0_);_(* \(#,##0.0\);_(* &quot;-&quot;?_);_(@_)"/>
  </numFmts>
  <fonts count="5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0"/>
      <color indexed="4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57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34">
    <xf numFmtId="0" fontId="0" fillId="0" borderId="0" xfId="0" applyAlignment="1">
      <alignment/>
    </xf>
    <xf numFmtId="43" fontId="0" fillId="0" borderId="0" xfId="42" applyFont="1" applyAlignment="1">
      <alignment/>
    </xf>
    <xf numFmtId="173" fontId="0" fillId="0" borderId="0" xfId="42" applyNumberFormat="1" applyFont="1" applyAlignment="1">
      <alignment/>
    </xf>
    <xf numFmtId="43" fontId="0" fillId="0" borderId="0" xfId="0" applyNumberFormat="1" applyAlignment="1">
      <alignment/>
    </xf>
    <xf numFmtId="0" fontId="1" fillId="0" borderId="0" xfId="0" applyFont="1" applyAlignment="1">
      <alignment horizontal="right" wrapText="1"/>
    </xf>
    <xf numFmtId="43" fontId="1" fillId="0" borderId="0" xfId="42" applyFont="1" applyAlignment="1">
      <alignment horizontal="right" wrapText="1"/>
    </xf>
    <xf numFmtId="173" fontId="1" fillId="0" borderId="0" xfId="42" applyNumberFormat="1" applyFont="1" applyAlignment="1">
      <alignment horizontal="right" wrapText="1"/>
    </xf>
    <xf numFmtId="0" fontId="0" fillId="0" borderId="10" xfId="0" applyBorder="1" applyAlignment="1">
      <alignment/>
    </xf>
    <xf numFmtId="43" fontId="0" fillId="0" borderId="10" xfId="42" applyFont="1" applyBorder="1" applyAlignment="1">
      <alignment/>
    </xf>
    <xf numFmtId="173" fontId="0" fillId="0" borderId="10" xfId="42" applyNumberFormat="1" applyFont="1" applyBorder="1" applyAlignment="1">
      <alignment/>
    </xf>
    <xf numFmtId="43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43" fontId="0" fillId="0" borderId="11" xfId="42" applyFont="1" applyBorder="1" applyAlignment="1">
      <alignment/>
    </xf>
    <xf numFmtId="173" fontId="0" fillId="0" borderId="11" xfId="42" applyNumberFormat="1" applyFont="1" applyBorder="1" applyAlignment="1">
      <alignment/>
    </xf>
    <xf numFmtId="43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43" fontId="0" fillId="0" borderId="12" xfId="42" applyFont="1" applyBorder="1" applyAlignment="1">
      <alignment/>
    </xf>
    <xf numFmtId="173" fontId="0" fillId="0" borderId="12" xfId="42" applyNumberFormat="1" applyFont="1" applyBorder="1" applyAlignment="1">
      <alignment/>
    </xf>
    <xf numFmtId="43" fontId="0" fillId="0" borderId="12" xfId="0" applyNumberFormat="1" applyBorder="1" applyAlignment="1">
      <alignment/>
    </xf>
    <xf numFmtId="173" fontId="0" fillId="0" borderId="0" xfId="42" applyNumberFormat="1" applyFont="1" applyBorder="1" applyAlignment="1">
      <alignment/>
    </xf>
    <xf numFmtId="0" fontId="2" fillId="0" borderId="0" xfId="0" applyFont="1" applyAlignment="1">
      <alignment/>
    </xf>
    <xf numFmtId="43" fontId="2" fillId="0" borderId="0" xfId="42" applyFont="1" applyAlignment="1">
      <alignment/>
    </xf>
    <xf numFmtId="0" fontId="1" fillId="0" borderId="0" xfId="0" applyNumberFormat="1" applyFont="1" applyAlignment="1">
      <alignment horizontal="right" wrapText="1"/>
    </xf>
    <xf numFmtId="0" fontId="1" fillId="0" borderId="0" xfId="42" applyNumberFormat="1" applyFont="1" applyAlignment="1">
      <alignment horizontal="right" wrapText="1"/>
    </xf>
    <xf numFmtId="175" fontId="0" fillId="0" borderId="0" xfId="59" applyNumberFormat="1" applyFont="1" applyAlignment="1">
      <alignment/>
    </xf>
    <xf numFmtId="177" fontId="2" fillId="0" borderId="0" xfId="42" applyNumberFormat="1" applyFont="1" applyAlignment="1">
      <alignment/>
    </xf>
    <xf numFmtId="177" fontId="1" fillId="0" borderId="0" xfId="42" applyNumberFormat="1" applyFont="1" applyAlignment="1">
      <alignment horizontal="right" wrapText="1"/>
    </xf>
    <xf numFmtId="177" fontId="0" fillId="0" borderId="0" xfId="42" applyNumberFormat="1" applyFont="1" applyAlignment="1">
      <alignment/>
    </xf>
    <xf numFmtId="177" fontId="0" fillId="0" borderId="10" xfId="42" applyNumberFormat="1" applyFont="1" applyBorder="1" applyAlignment="1">
      <alignment/>
    </xf>
    <xf numFmtId="175" fontId="2" fillId="0" borderId="0" xfId="59" applyNumberFormat="1" applyFont="1" applyAlignment="1">
      <alignment/>
    </xf>
    <xf numFmtId="175" fontId="1" fillId="0" borderId="0" xfId="59" applyNumberFormat="1" applyFont="1" applyAlignment="1">
      <alignment horizontal="right" wrapText="1"/>
    </xf>
    <xf numFmtId="175" fontId="0" fillId="0" borderId="10" xfId="59" applyNumberFormat="1" applyFont="1" applyBorder="1" applyAlignment="1">
      <alignment/>
    </xf>
    <xf numFmtId="0" fontId="1" fillId="0" borderId="0" xfId="0" applyFont="1" applyAlignment="1">
      <alignment horizontal="left" wrapText="1"/>
    </xf>
    <xf numFmtId="0" fontId="1" fillId="0" borderId="0" xfId="0" applyFont="1" applyAlignment="1" quotePrefix="1">
      <alignment/>
    </xf>
    <xf numFmtId="17" fontId="0" fillId="0" borderId="0" xfId="0" applyNumberFormat="1" applyAlignment="1" quotePrefix="1">
      <alignment/>
    </xf>
    <xf numFmtId="43" fontId="3" fillId="0" borderId="0" xfId="42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3" fontId="4" fillId="0" borderId="0" xfId="42" applyFont="1" applyAlignment="1">
      <alignment/>
    </xf>
    <xf numFmtId="172" fontId="4" fillId="0" borderId="0" xfId="42" applyNumberFormat="1" applyFont="1" applyAlignment="1">
      <alignment/>
    </xf>
    <xf numFmtId="43" fontId="4" fillId="0" borderId="0" xfId="0" applyNumberFormat="1" applyFont="1" applyAlignment="1">
      <alignment/>
    </xf>
    <xf numFmtId="173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 wrapText="1"/>
    </xf>
    <xf numFmtId="175" fontId="0" fillId="0" borderId="0" xfId="59" applyNumberFormat="1" applyFont="1" applyAlignment="1">
      <alignment horizontal="right"/>
    </xf>
    <xf numFmtId="0" fontId="0" fillId="0" borderId="0" xfId="0" applyAlignment="1">
      <alignment horizontal="left" indent="1"/>
    </xf>
    <xf numFmtId="0" fontId="1" fillId="0" borderId="0" xfId="0" applyNumberFormat="1" applyFont="1" applyAlignment="1">
      <alignment/>
    </xf>
    <xf numFmtId="0" fontId="1" fillId="0" borderId="0" xfId="42" applyNumberFormat="1" applyFont="1" applyAlignment="1">
      <alignment/>
    </xf>
    <xf numFmtId="10" fontId="0" fillId="0" borderId="10" xfId="59" applyNumberFormat="1" applyFont="1" applyBorder="1" applyAlignment="1">
      <alignment/>
    </xf>
    <xf numFmtId="177" fontId="0" fillId="0" borderId="10" xfId="42" applyNumberFormat="1" applyFont="1" applyFill="1" applyBorder="1" applyAlignment="1">
      <alignment/>
    </xf>
    <xf numFmtId="177" fontId="0" fillId="0" borderId="0" xfId="0" applyNumberFormat="1" applyAlignment="1">
      <alignment/>
    </xf>
    <xf numFmtId="177" fontId="0" fillId="33" borderId="0" xfId="42" applyNumberFormat="1" applyFont="1" applyFill="1" applyAlignment="1">
      <alignment/>
    </xf>
    <xf numFmtId="43" fontId="0" fillId="0" borderId="0" xfId="42" applyFont="1" applyFill="1" applyAlignment="1">
      <alignment/>
    </xf>
    <xf numFmtId="176" fontId="0" fillId="0" borderId="0" xfId="42" applyNumberFormat="1" applyFont="1" applyAlignment="1">
      <alignment/>
    </xf>
    <xf numFmtId="179" fontId="0" fillId="0" borderId="0" xfId="42" applyNumberFormat="1" applyFont="1" applyAlignment="1">
      <alignment horizontal="right"/>
    </xf>
    <xf numFmtId="177" fontId="0" fillId="0" borderId="0" xfId="42" applyNumberFormat="1" applyFont="1" applyAlignment="1">
      <alignment horizontal="right" wrapText="1"/>
    </xf>
    <xf numFmtId="175" fontId="0" fillId="0" borderId="0" xfId="42" applyNumberFormat="1" applyFont="1" applyAlignment="1">
      <alignment/>
    </xf>
    <xf numFmtId="179" fontId="0" fillId="0" borderId="0" xfId="42" applyNumberFormat="1" applyFont="1" applyAlignment="1">
      <alignment/>
    </xf>
    <xf numFmtId="43" fontId="1" fillId="0" borderId="0" xfId="42" applyFont="1" applyAlignment="1">
      <alignment/>
    </xf>
    <xf numFmtId="177" fontId="1" fillId="0" borderId="0" xfId="42" applyNumberFormat="1" applyFont="1" applyAlignment="1">
      <alignment/>
    </xf>
    <xf numFmtId="175" fontId="1" fillId="0" borderId="0" xfId="59" applyNumberFormat="1" applyFont="1" applyAlignment="1">
      <alignment/>
    </xf>
    <xf numFmtId="177" fontId="0" fillId="0" borderId="0" xfId="42" applyNumberFormat="1" applyFont="1" applyAlignment="1">
      <alignment horizontal="left" indent="1"/>
    </xf>
    <xf numFmtId="10" fontId="0" fillId="0" borderId="0" xfId="59" applyNumberFormat="1" applyFont="1" applyAlignment="1">
      <alignment/>
    </xf>
    <xf numFmtId="43" fontId="7" fillId="0" borderId="12" xfId="42" applyFont="1" applyBorder="1" applyAlignment="1">
      <alignment/>
    </xf>
    <xf numFmtId="43" fontId="3" fillId="33" borderId="10" xfId="42" applyFont="1" applyFill="1" applyBorder="1" applyAlignment="1">
      <alignment/>
    </xf>
    <xf numFmtId="43" fontId="3" fillId="33" borderId="0" xfId="42" applyFont="1" applyFill="1" applyAlignment="1">
      <alignment/>
    </xf>
    <xf numFmtId="0" fontId="0" fillId="0" borderId="0" xfId="0" applyAlignment="1" quotePrefix="1">
      <alignment/>
    </xf>
    <xf numFmtId="0" fontId="0" fillId="0" borderId="0" xfId="0" applyNumberFormat="1" applyAlignment="1">
      <alignment/>
    </xf>
    <xf numFmtId="0" fontId="0" fillId="0" borderId="0" xfId="42" applyNumberFormat="1" applyFont="1" applyAlignment="1" quotePrefix="1">
      <alignment/>
    </xf>
    <xf numFmtId="0" fontId="0" fillId="0" borderId="0" xfId="42" applyNumberFormat="1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43" fontId="0" fillId="0" borderId="0" xfId="42" applyFont="1" applyAlignment="1">
      <alignment wrapText="1"/>
    </xf>
    <xf numFmtId="177" fontId="0" fillId="0" borderId="0" xfId="42" applyNumberFormat="1" applyFont="1" applyAlignment="1">
      <alignment wrapText="1"/>
    </xf>
    <xf numFmtId="0" fontId="0" fillId="0" borderId="0" xfId="0" applyBorder="1" applyAlignment="1">
      <alignment/>
    </xf>
    <xf numFmtId="43" fontId="0" fillId="0" borderId="12" xfId="42" applyFont="1" applyFill="1" applyBorder="1" applyAlignment="1">
      <alignment/>
    </xf>
    <xf numFmtId="9" fontId="0" fillId="0" borderId="0" xfId="59" applyFont="1" applyAlignment="1">
      <alignment/>
    </xf>
    <xf numFmtId="178" fontId="0" fillId="0" borderId="0" xfId="0" applyNumberFormat="1" applyAlignment="1">
      <alignment/>
    </xf>
    <xf numFmtId="0" fontId="10" fillId="0" borderId="0" xfId="0" applyFont="1" applyAlignment="1">
      <alignment/>
    </xf>
    <xf numFmtId="0" fontId="1" fillId="0" borderId="0" xfId="0" applyFont="1" applyAlignment="1">
      <alignment horizontal="center"/>
    </xf>
    <xf numFmtId="43" fontId="1" fillId="0" borderId="0" xfId="42" applyFont="1" applyAlignment="1" quotePrefix="1">
      <alignment horizontal="center"/>
    </xf>
    <xf numFmtId="43" fontId="1" fillId="0" borderId="0" xfId="42" applyFont="1" applyAlignment="1">
      <alignment horizontal="center"/>
    </xf>
    <xf numFmtId="173" fontId="1" fillId="0" borderId="0" xfId="42" applyNumberFormat="1" applyFont="1" applyAlignment="1">
      <alignment horizontal="center"/>
    </xf>
    <xf numFmtId="0" fontId="2" fillId="34" borderId="0" xfId="0" applyFont="1" applyFill="1" applyAlignment="1">
      <alignment/>
    </xf>
    <xf numFmtId="0" fontId="2" fillId="35" borderId="0" xfId="0" applyFont="1" applyFill="1" applyAlignment="1">
      <alignment/>
    </xf>
    <xf numFmtId="0" fontId="2" fillId="33" borderId="0" xfId="0" applyFont="1" applyFill="1" applyAlignment="1">
      <alignment/>
    </xf>
    <xf numFmtId="0" fontId="2" fillId="36" borderId="0" xfId="0" applyFont="1" applyFill="1" applyAlignment="1">
      <alignment/>
    </xf>
    <xf numFmtId="0" fontId="2" fillId="37" borderId="0" xfId="0" applyFont="1" applyFill="1" applyAlignment="1">
      <alignment/>
    </xf>
    <xf numFmtId="0" fontId="11" fillId="38" borderId="10" xfId="0" applyFont="1" applyFill="1" applyBorder="1" applyAlignment="1">
      <alignment/>
    </xf>
    <xf numFmtId="0" fontId="1" fillId="38" borderId="0" xfId="0" applyFont="1" applyFill="1" applyAlignment="1">
      <alignment/>
    </xf>
    <xf numFmtId="43" fontId="10" fillId="0" borderId="0" xfId="42" applyFont="1" applyAlignment="1">
      <alignment/>
    </xf>
    <xf numFmtId="0" fontId="10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2" fillId="0" borderId="17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20" xfId="0" applyFont="1" applyBorder="1" applyAlignment="1">
      <alignment/>
    </xf>
    <xf numFmtId="0" fontId="10" fillId="0" borderId="21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34" borderId="17" xfId="0" applyFont="1" applyFill="1" applyBorder="1" applyAlignment="1">
      <alignment/>
    </xf>
    <xf numFmtId="0" fontId="1" fillId="34" borderId="0" xfId="0" applyFont="1" applyFill="1" applyBorder="1" applyAlignment="1">
      <alignment horizontal="center"/>
    </xf>
    <xf numFmtId="0" fontId="1" fillId="34" borderId="18" xfId="0" applyFont="1" applyFill="1" applyBorder="1" applyAlignment="1">
      <alignment/>
    </xf>
    <xf numFmtId="43" fontId="0" fillId="0" borderId="0" xfId="42" applyFont="1" applyBorder="1" applyAlignment="1">
      <alignment/>
    </xf>
    <xf numFmtId="177" fontId="0" fillId="0" borderId="0" xfId="42" applyNumberFormat="1" applyFont="1" applyBorder="1" applyAlignment="1">
      <alignment/>
    </xf>
    <xf numFmtId="177" fontId="0" fillId="0" borderId="0" xfId="0" applyNumberFormat="1" applyBorder="1" applyAlignment="1">
      <alignment/>
    </xf>
    <xf numFmtId="0" fontId="0" fillId="0" borderId="10" xfId="0" applyFill="1" applyBorder="1" applyAlignment="1">
      <alignment/>
    </xf>
    <xf numFmtId="43" fontId="1" fillId="34" borderId="11" xfId="42" applyFont="1" applyFill="1" applyBorder="1" applyAlignment="1">
      <alignment/>
    </xf>
    <xf numFmtId="0" fontId="1" fillId="35" borderId="17" xfId="0" applyFont="1" applyFill="1" applyBorder="1" applyAlignment="1">
      <alignment/>
    </xf>
    <xf numFmtId="0" fontId="1" fillId="35" borderId="0" xfId="0" applyFont="1" applyFill="1" applyBorder="1" applyAlignment="1">
      <alignment horizontal="center"/>
    </xf>
    <xf numFmtId="0" fontId="1" fillId="35" borderId="18" xfId="0" applyFont="1" applyFill="1" applyBorder="1" applyAlignment="1">
      <alignment/>
    </xf>
    <xf numFmtId="175" fontId="0" fillId="0" borderId="0" xfId="59" applyNumberFormat="1" applyFont="1" applyBorder="1" applyAlignment="1">
      <alignment horizontal="right"/>
    </xf>
    <xf numFmtId="175" fontId="0" fillId="0" borderId="0" xfId="59" applyNumberFormat="1" applyFont="1" applyBorder="1" applyAlignment="1">
      <alignment/>
    </xf>
    <xf numFmtId="43" fontId="0" fillId="0" borderId="0" xfId="0" applyNumberFormat="1" applyBorder="1" applyAlignment="1">
      <alignment/>
    </xf>
    <xf numFmtId="43" fontId="1" fillId="35" borderId="11" xfId="42" applyFont="1" applyFill="1" applyBorder="1" applyAlignment="1">
      <alignment/>
    </xf>
    <xf numFmtId="0" fontId="1" fillId="33" borderId="17" xfId="0" applyFont="1" applyFill="1" applyBorder="1" applyAlignment="1">
      <alignment/>
    </xf>
    <xf numFmtId="0" fontId="1" fillId="33" borderId="0" xfId="0" applyFont="1" applyFill="1" applyBorder="1" applyAlignment="1">
      <alignment horizontal="center"/>
    </xf>
    <xf numFmtId="0" fontId="1" fillId="33" borderId="18" xfId="0" applyFont="1" applyFill="1" applyBorder="1" applyAlignment="1">
      <alignment/>
    </xf>
    <xf numFmtId="43" fontId="1" fillId="33" borderId="11" xfId="42" applyFont="1" applyFill="1" applyBorder="1" applyAlignment="1">
      <alignment/>
    </xf>
    <xf numFmtId="0" fontId="1" fillId="36" borderId="17" xfId="0" applyFont="1" applyFill="1" applyBorder="1" applyAlignment="1">
      <alignment/>
    </xf>
    <xf numFmtId="0" fontId="1" fillId="36" borderId="0" xfId="0" applyFont="1" applyFill="1" applyBorder="1" applyAlignment="1">
      <alignment horizontal="center"/>
    </xf>
    <xf numFmtId="0" fontId="1" fillId="36" borderId="18" xfId="0" applyFont="1" applyFill="1" applyBorder="1" applyAlignment="1">
      <alignment/>
    </xf>
    <xf numFmtId="43" fontId="1" fillId="36" borderId="11" xfId="42" applyFont="1" applyFill="1" applyBorder="1" applyAlignment="1">
      <alignment/>
    </xf>
    <xf numFmtId="0" fontId="1" fillId="37" borderId="17" xfId="0" applyFont="1" applyFill="1" applyBorder="1" applyAlignment="1">
      <alignment/>
    </xf>
    <xf numFmtId="0" fontId="1" fillId="37" borderId="0" xfId="0" applyFont="1" applyFill="1" applyBorder="1" applyAlignment="1">
      <alignment horizontal="center"/>
    </xf>
    <xf numFmtId="0" fontId="1" fillId="37" borderId="18" xfId="0" applyFont="1" applyFill="1" applyBorder="1" applyAlignment="1">
      <alignment/>
    </xf>
    <xf numFmtId="43" fontId="1" fillId="37" borderId="11" xfId="42" applyFont="1" applyFill="1" applyBorder="1" applyAlignment="1">
      <alignment/>
    </xf>
    <xf numFmtId="43" fontId="0" fillId="0" borderId="0" xfId="42" applyFont="1" applyAlignment="1">
      <alignment/>
    </xf>
    <xf numFmtId="0" fontId="1" fillId="38" borderId="17" xfId="0" applyFont="1" applyFill="1" applyBorder="1" applyAlignment="1">
      <alignment/>
    </xf>
    <xf numFmtId="0" fontId="1" fillId="38" borderId="0" xfId="0" applyFont="1" applyFill="1" applyBorder="1" applyAlignment="1">
      <alignment horizontal="center"/>
    </xf>
    <xf numFmtId="0" fontId="1" fillId="38" borderId="18" xfId="0" applyFont="1" applyFill="1" applyBorder="1" applyAlignment="1">
      <alignment/>
    </xf>
    <xf numFmtId="43" fontId="1" fillId="38" borderId="11" xfId="42" applyFont="1" applyFill="1" applyBorder="1" applyAlignment="1">
      <alignment/>
    </xf>
    <xf numFmtId="179" fontId="1" fillId="0" borderId="0" xfId="42" applyNumberFormat="1" applyFont="1" applyFill="1" applyBorder="1" applyAlignment="1">
      <alignment/>
    </xf>
    <xf numFmtId="179" fontId="1" fillId="0" borderId="17" xfId="42" applyNumberFormat="1" applyFont="1" applyFill="1" applyBorder="1" applyAlignment="1">
      <alignment/>
    </xf>
    <xf numFmtId="43" fontId="0" fillId="39" borderId="22" xfId="42" applyFont="1" applyFill="1" applyBorder="1" applyAlignment="1">
      <alignment/>
    </xf>
    <xf numFmtId="177" fontId="0" fillId="0" borderId="0" xfId="42" applyNumberFormat="1" applyFont="1" applyAlignment="1">
      <alignment/>
    </xf>
    <xf numFmtId="43" fontId="1" fillId="40" borderId="23" xfId="42" applyFont="1" applyFill="1" applyBorder="1" applyAlignment="1">
      <alignment horizontal="center"/>
    </xf>
    <xf numFmtId="43" fontId="0" fillId="40" borderId="22" xfId="42" applyFont="1" applyFill="1" applyBorder="1" applyAlignment="1">
      <alignment/>
    </xf>
    <xf numFmtId="0" fontId="13" fillId="40" borderId="24" xfId="0" applyFont="1" applyFill="1" applyBorder="1" applyAlignment="1">
      <alignment/>
    </xf>
    <xf numFmtId="0" fontId="14" fillId="0" borderId="0" xfId="0" applyFont="1" applyAlignment="1">
      <alignment/>
    </xf>
    <xf numFmtId="0" fontId="13" fillId="39" borderId="24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43" fontId="0" fillId="0" borderId="0" xfId="42" applyFont="1" applyFill="1" applyBorder="1" applyAlignment="1">
      <alignment/>
    </xf>
    <xf numFmtId="43" fontId="14" fillId="0" borderId="0" xfId="42" applyFont="1" applyFill="1" applyBorder="1" applyAlignment="1">
      <alignment/>
    </xf>
    <xf numFmtId="177" fontId="14" fillId="0" borderId="0" xfId="42" applyNumberFormat="1" applyFont="1" applyAlignment="1">
      <alignment/>
    </xf>
    <xf numFmtId="43" fontId="14" fillId="0" borderId="0" xfId="42" applyFont="1" applyAlignment="1">
      <alignment/>
    </xf>
    <xf numFmtId="175" fontId="14" fillId="0" borderId="0" xfId="59" applyNumberFormat="1" applyFont="1" applyAlignment="1">
      <alignment/>
    </xf>
    <xf numFmtId="177" fontId="0" fillId="39" borderId="22" xfId="42" applyNumberFormat="1" applyFont="1" applyFill="1" applyBorder="1" applyAlignment="1">
      <alignment/>
    </xf>
    <xf numFmtId="43" fontId="13" fillId="35" borderId="11" xfId="42" applyFont="1" applyFill="1" applyBorder="1" applyAlignment="1">
      <alignment/>
    </xf>
    <xf numFmtId="43" fontId="13" fillId="38" borderId="11" xfId="42" applyFont="1" applyFill="1" applyBorder="1" applyAlignment="1">
      <alignment/>
    </xf>
    <xf numFmtId="43" fontId="13" fillId="36" borderId="11" xfId="42" applyFont="1" applyFill="1" applyBorder="1" applyAlignment="1">
      <alignment/>
    </xf>
    <xf numFmtId="177" fontId="0" fillId="40" borderId="22" xfId="42" applyNumberFormat="1" applyFont="1" applyFill="1" applyBorder="1" applyAlignment="1">
      <alignment/>
    </xf>
    <xf numFmtId="0" fontId="13" fillId="0" borderId="13" xfId="0" applyFont="1" applyFill="1" applyBorder="1" applyAlignment="1">
      <alignment/>
    </xf>
    <xf numFmtId="43" fontId="14" fillId="0" borderId="14" xfId="42" applyFont="1" applyFill="1" applyBorder="1" applyAlignment="1">
      <alignment/>
    </xf>
    <xf numFmtId="177" fontId="15" fillId="35" borderId="14" xfId="42" applyNumberFormat="1" applyFont="1" applyFill="1" applyBorder="1" applyAlignment="1">
      <alignment horizontal="center"/>
    </xf>
    <xf numFmtId="43" fontId="13" fillId="36" borderId="14" xfId="42" applyFont="1" applyFill="1" applyBorder="1" applyAlignment="1">
      <alignment horizontal="center"/>
    </xf>
    <xf numFmtId="43" fontId="13" fillId="38" borderId="14" xfId="42" applyFont="1" applyFill="1" applyBorder="1" applyAlignment="1">
      <alignment horizontal="center"/>
    </xf>
    <xf numFmtId="0" fontId="14" fillId="0" borderId="17" xfId="0" applyFont="1" applyBorder="1" applyAlignment="1">
      <alignment/>
    </xf>
    <xf numFmtId="43" fontId="16" fillId="0" borderId="0" xfId="42" applyFont="1" applyBorder="1" applyAlignment="1">
      <alignment horizontal="center"/>
    </xf>
    <xf numFmtId="43" fontId="16" fillId="0" borderId="0" xfId="42" applyFont="1" applyBorder="1" applyAlignment="1">
      <alignment/>
    </xf>
    <xf numFmtId="0" fontId="2" fillId="0" borderId="17" xfId="0" applyFont="1" applyBorder="1" applyAlignment="1">
      <alignment/>
    </xf>
    <xf numFmtId="0" fontId="14" fillId="0" borderId="19" xfId="0" applyFont="1" applyBorder="1" applyAlignment="1">
      <alignment/>
    </xf>
    <xf numFmtId="43" fontId="14" fillId="0" borderId="12" xfId="42" applyFont="1" applyBorder="1" applyAlignment="1">
      <alignment/>
    </xf>
    <xf numFmtId="43" fontId="13" fillId="0" borderId="12" xfId="42" applyFont="1" applyBorder="1" applyAlignment="1">
      <alignment horizontal="center"/>
    </xf>
    <xf numFmtId="177" fontId="15" fillId="34" borderId="25" xfId="42" applyNumberFormat="1" applyFont="1" applyFill="1" applyBorder="1" applyAlignment="1">
      <alignment horizontal="center"/>
    </xf>
    <xf numFmtId="177" fontId="13" fillId="0" borderId="26" xfId="42" applyNumberFormat="1" applyFont="1" applyBorder="1" applyAlignment="1">
      <alignment horizontal="center"/>
    </xf>
    <xf numFmtId="177" fontId="16" fillId="0" borderId="27" xfId="42" applyNumberFormat="1" applyFont="1" applyBorder="1" applyAlignment="1">
      <alignment horizontal="center"/>
    </xf>
    <xf numFmtId="43" fontId="16" fillId="0" borderId="27" xfId="42" applyFont="1" applyBorder="1" applyAlignment="1">
      <alignment horizontal="center"/>
    </xf>
    <xf numFmtId="43" fontId="16" fillId="0" borderId="27" xfId="42" applyFont="1" applyBorder="1" applyAlignment="1">
      <alignment/>
    </xf>
    <xf numFmtId="43" fontId="13" fillId="34" borderId="28" xfId="42" applyFont="1" applyFill="1" applyBorder="1" applyAlignment="1">
      <alignment/>
    </xf>
    <xf numFmtId="177" fontId="0" fillId="0" borderId="27" xfId="42" applyNumberFormat="1" applyFont="1" applyBorder="1" applyAlignment="1">
      <alignment/>
    </xf>
    <xf numFmtId="177" fontId="0" fillId="0" borderId="26" xfId="42" applyNumberFormat="1" applyFont="1" applyBorder="1" applyAlignment="1">
      <alignment/>
    </xf>
    <xf numFmtId="43" fontId="13" fillId="33" borderId="25" xfId="42" applyFont="1" applyFill="1" applyBorder="1" applyAlignment="1">
      <alignment horizontal="center"/>
    </xf>
    <xf numFmtId="43" fontId="13" fillId="0" borderId="26" xfId="42" applyFont="1" applyBorder="1" applyAlignment="1">
      <alignment horizontal="center"/>
    </xf>
    <xf numFmtId="43" fontId="13" fillId="33" borderId="28" xfId="42" applyFont="1" applyFill="1" applyBorder="1" applyAlignment="1">
      <alignment/>
    </xf>
    <xf numFmtId="43" fontId="0" fillId="0" borderId="27" xfId="42" applyFont="1" applyBorder="1" applyAlignment="1">
      <alignment/>
    </xf>
    <xf numFmtId="43" fontId="0" fillId="0" borderId="26" xfId="42" applyFont="1" applyBorder="1" applyAlignment="1">
      <alignment/>
    </xf>
    <xf numFmtId="43" fontId="13" fillId="37" borderId="25" xfId="42" applyFont="1" applyFill="1" applyBorder="1" applyAlignment="1">
      <alignment horizontal="center"/>
    </xf>
    <xf numFmtId="43" fontId="14" fillId="0" borderId="26" xfId="42" applyFont="1" applyBorder="1" applyAlignment="1">
      <alignment/>
    </xf>
    <xf numFmtId="43" fontId="13" fillId="37" borderId="28" xfId="42" applyFont="1" applyFill="1" applyBorder="1" applyAlignment="1">
      <alignment/>
    </xf>
    <xf numFmtId="177" fontId="13" fillId="0" borderId="25" xfId="42" applyNumberFormat="1" applyFont="1" applyBorder="1" applyAlignment="1">
      <alignment horizontal="center"/>
    </xf>
    <xf numFmtId="177" fontId="14" fillId="0" borderId="26" xfId="42" applyNumberFormat="1" applyFont="1" applyBorder="1" applyAlignment="1">
      <alignment/>
    </xf>
    <xf numFmtId="177" fontId="16" fillId="0" borderId="27" xfId="42" applyNumberFormat="1" applyFont="1" applyBorder="1" applyAlignment="1">
      <alignment/>
    </xf>
    <xf numFmtId="43" fontId="13" fillId="0" borderId="28" xfId="42" applyFont="1" applyBorder="1" applyAlignment="1">
      <alignment/>
    </xf>
    <xf numFmtId="0" fontId="1" fillId="40" borderId="0" xfId="0" applyFont="1" applyFill="1" applyAlignment="1">
      <alignment horizontal="right" wrapText="1"/>
    </xf>
    <xf numFmtId="0" fontId="1" fillId="40" borderId="0" xfId="0" applyFont="1" applyFill="1" applyAlignment="1">
      <alignment horizontal="center" wrapText="1"/>
    </xf>
    <xf numFmtId="0" fontId="1" fillId="40" borderId="0" xfId="0" applyFont="1" applyFill="1" applyAlignment="1" quotePrefix="1">
      <alignment/>
    </xf>
    <xf numFmtId="177" fontId="0" fillId="40" borderId="0" xfId="42" applyNumberFormat="1" applyFont="1" applyFill="1" applyAlignment="1">
      <alignment/>
    </xf>
    <xf numFmtId="0" fontId="1" fillId="40" borderId="23" xfId="0" applyFont="1" applyFill="1" applyBorder="1" applyAlignment="1">
      <alignment horizontal="center" wrapText="1"/>
    </xf>
    <xf numFmtId="43" fontId="1" fillId="40" borderId="11" xfId="42" applyFont="1" applyFill="1" applyBorder="1" applyAlignment="1">
      <alignment/>
    </xf>
    <xf numFmtId="0" fontId="1" fillId="40" borderId="17" xfId="0" applyFont="1" applyFill="1" applyBorder="1" applyAlignment="1">
      <alignment/>
    </xf>
    <xf numFmtId="0" fontId="1" fillId="40" borderId="0" xfId="0" applyFont="1" applyFill="1" applyBorder="1" applyAlignment="1">
      <alignment horizontal="center"/>
    </xf>
    <xf numFmtId="0" fontId="1" fillId="40" borderId="18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18" xfId="0" applyFont="1" applyFill="1" applyBorder="1" applyAlignment="1">
      <alignment/>
    </xf>
    <xf numFmtId="0" fontId="14" fillId="0" borderId="26" xfId="0" applyFont="1" applyBorder="1" applyAlignment="1">
      <alignment/>
    </xf>
    <xf numFmtId="177" fontId="16" fillId="0" borderId="17" xfId="42" applyNumberFormat="1" applyFont="1" applyBorder="1" applyAlignment="1">
      <alignment horizontal="center"/>
    </xf>
    <xf numFmtId="177" fontId="0" fillId="0" borderId="17" xfId="42" applyNumberFormat="1" applyFont="1" applyBorder="1" applyAlignment="1">
      <alignment/>
    </xf>
    <xf numFmtId="0" fontId="1" fillId="40" borderId="0" xfId="0" applyFont="1" applyFill="1" applyAlignment="1">
      <alignment/>
    </xf>
    <xf numFmtId="0" fontId="13" fillId="40" borderId="25" xfId="0" applyFont="1" applyFill="1" applyBorder="1" applyAlignment="1">
      <alignment horizontal="center"/>
    </xf>
    <xf numFmtId="43" fontId="13" fillId="40" borderId="11" xfId="42" applyFont="1" applyFill="1" applyBorder="1" applyAlignment="1">
      <alignment/>
    </xf>
    <xf numFmtId="43" fontId="0" fillId="0" borderId="11" xfId="42" applyFont="1" applyBorder="1" applyAlignment="1">
      <alignment/>
    </xf>
    <xf numFmtId="43" fontId="1" fillId="0" borderId="11" xfId="42" applyFont="1" applyBorder="1" applyAlignment="1">
      <alignment/>
    </xf>
    <xf numFmtId="177" fontId="0" fillId="0" borderId="11" xfId="42" applyNumberFormat="1" applyFont="1" applyBorder="1" applyAlignment="1">
      <alignment/>
    </xf>
    <xf numFmtId="177" fontId="1" fillId="0" borderId="11" xfId="42" applyNumberFormat="1" applyFont="1" applyBorder="1" applyAlignment="1">
      <alignment/>
    </xf>
    <xf numFmtId="0" fontId="10" fillId="0" borderId="0" xfId="0" applyFont="1" applyFill="1" applyAlignment="1">
      <alignment/>
    </xf>
    <xf numFmtId="43" fontId="10" fillId="0" borderId="0" xfId="42" applyFont="1" applyFill="1" applyAlignment="1">
      <alignment/>
    </xf>
    <xf numFmtId="177" fontId="0" fillId="0" borderId="0" xfId="42" applyNumberFormat="1" applyFont="1" applyFill="1" applyAlignment="1">
      <alignment/>
    </xf>
    <xf numFmtId="177" fontId="0" fillId="0" borderId="0" xfId="42" applyNumberFormat="1" applyFont="1" applyFill="1" applyBorder="1" applyAlignment="1">
      <alignment/>
    </xf>
    <xf numFmtId="0" fontId="2" fillId="0" borderId="17" xfId="0" applyFont="1" applyFill="1" applyBorder="1" applyAlignment="1" quotePrefix="1">
      <alignment/>
    </xf>
    <xf numFmtId="43" fontId="10" fillId="0" borderId="0" xfId="42" applyFont="1" applyFill="1" applyBorder="1" applyAlignment="1">
      <alignment horizontal="center"/>
    </xf>
    <xf numFmtId="177" fontId="16" fillId="0" borderId="27" xfId="42" applyNumberFormat="1" applyFont="1" applyFill="1" applyBorder="1" applyAlignment="1">
      <alignment horizontal="center"/>
    </xf>
    <xf numFmtId="43" fontId="16" fillId="0" borderId="0" xfId="42" applyFont="1" applyFill="1" applyBorder="1" applyAlignment="1">
      <alignment horizontal="center"/>
    </xf>
    <xf numFmtId="43" fontId="16" fillId="0" borderId="27" xfId="42" applyFont="1" applyFill="1" applyBorder="1" applyAlignment="1">
      <alignment horizontal="center"/>
    </xf>
    <xf numFmtId="43" fontId="16" fillId="0" borderId="27" xfId="42" applyFont="1" applyFill="1" applyBorder="1" applyAlignment="1">
      <alignment/>
    </xf>
    <xf numFmtId="43" fontId="16" fillId="0" borderId="0" xfId="42" applyFont="1" applyFill="1" applyBorder="1" applyAlignment="1">
      <alignment/>
    </xf>
    <xf numFmtId="177" fontId="0" fillId="0" borderId="27" xfId="42" applyNumberFormat="1" applyFont="1" applyFill="1" applyBorder="1" applyAlignment="1">
      <alignment/>
    </xf>
    <xf numFmtId="177" fontId="16" fillId="0" borderId="27" xfId="42" applyNumberFormat="1" applyFont="1" applyFill="1" applyBorder="1" applyAlignment="1">
      <alignment/>
    </xf>
    <xf numFmtId="175" fontId="0" fillId="0" borderId="0" xfId="59" applyNumberFormat="1" applyFont="1" applyFill="1" applyAlignment="1">
      <alignment/>
    </xf>
    <xf numFmtId="0" fontId="0" fillId="0" borderId="0" xfId="0" applyFill="1" applyAlignment="1">
      <alignment/>
    </xf>
    <xf numFmtId="0" fontId="2" fillId="0" borderId="17" xfId="0" applyFont="1" applyFill="1" applyBorder="1" applyAlignment="1">
      <alignment/>
    </xf>
    <xf numFmtId="177" fontId="16" fillId="0" borderId="17" xfId="42" applyNumberFormat="1" applyFont="1" applyFill="1" applyBorder="1" applyAlignment="1">
      <alignment horizontal="center"/>
    </xf>
    <xf numFmtId="43" fontId="3" fillId="0" borderId="0" xfId="42" applyFont="1" applyFill="1" applyAlignment="1">
      <alignment/>
    </xf>
    <xf numFmtId="43" fontId="0" fillId="0" borderId="0" xfId="42" applyFont="1" applyAlignment="1" quotePrefix="1">
      <alignment horizontal="center"/>
    </xf>
    <xf numFmtId="0" fontId="0" fillId="0" borderId="0" xfId="0" applyAlignment="1" quotePrefix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externalLink" Target="externalLinks/externalLink4.xml" /><Relationship Id="rId18" Type="http://schemas.openxmlformats.org/officeDocument/2006/relationships/externalLink" Target="externalLinks/externalLink5.xml" /><Relationship Id="rId19" Type="http://schemas.openxmlformats.org/officeDocument/2006/relationships/externalLink" Target="externalLinks/externalLink6.xml" /><Relationship Id="rId20" Type="http://schemas.openxmlformats.org/officeDocument/2006/relationships/externalLink" Target="externalLinks/externalLink7.xml" /><Relationship Id="rId21" Type="http://schemas.openxmlformats.org/officeDocument/2006/relationships/externalLink" Target="externalLinks/externalLink8.xml" /><Relationship Id="rId22" Type="http://schemas.openxmlformats.org/officeDocument/2006/relationships/externalLink" Target="externalLinks/externalLink9.xml" /><Relationship Id="rId23" Type="http://schemas.openxmlformats.org/officeDocument/2006/relationships/externalLink" Target="externalLinks/externalLink10.xml" /><Relationship Id="rId24" Type="http://schemas.openxmlformats.org/officeDocument/2006/relationships/externalLink" Target="externalLinks/externalLink11.xml" /><Relationship Id="rId25" Type="http://schemas.openxmlformats.org/officeDocument/2006/relationships/externalLink" Target="externalLinks/externalLink12.xml" /><Relationship Id="rId26" Type="http://schemas.openxmlformats.org/officeDocument/2006/relationships/externalLink" Target="externalLinks/externalLink13.xml" /><Relationship Id="rId27" Type="http://schemas.openxmlformats.org/officeDocument/2006/relationships/externalLink" Target="externalLinks/externalLink14.xml" /><Relationship Id="rId28" Type="http://schemas.openxmlformats.org/officeDocument/2006/relationships/externalLink" Target="externalLinks/externalLink15.xml" /><Relationship Id="rId29" Type="http://schemas.openxmlformats.org/officeDocument/2006/relationships/externalLink" Target="externalLinks/externalLink16.xml" /><Relationship Id="rId3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33</xdr:row>
      <xdr:rowOff>66675</xdr:rowOff>
    </xdr:from>
    <xdr:to>
      <xdr:col>1</xdr:col>
      <xdr:colOff>190500</xdr:colOff>
      <xdr:row>33</xdr:row>
      <xdr:rowOff>66675</xdr:rowOff>
    </xdr:to>
    <xdr:sp>
      <xdr:nvSpPr>
        <xdr:cNvPr id="1" name="Line 7"/>
        <xdr:cNvSpPr>
          <a:spLocks/>
        </xdr:cNvSpPr>
      </xdr:nvSpPr>
      <xdr:spPr>
        <a:xfrm>
          <a:off x="685800" y="57912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notesFFF692\JD\YE%20Dec%2031%2002\GHESI\Unbilled%20Revenue\Summary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notesFFF692\jfg0403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notesFFF692\JD\YE%20Dec%2031%2002\GHESI\Stats\Summary%202002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notesFFF692\jfr0503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notesFFF692\jfg0503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notesFFF692\jfr0603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notesFFF692\jfg0603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notesFFF692\JD\YE%20Dec%2031%2003\GHESI\Budget%202004\Revenue%20Budget%2020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notesFFF692\JD\YE%20Dec%2031%2002\GHESI\Stats\GH%20kWh%20Purchases%20200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notesFFF692\jf030228g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notesFFF692\jf030228r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notesFFF692\jfr010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notesFFF692\jfg01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notesFFF692\jfg0303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notesFFF692\jfr0303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notesFFF692\jfr04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St Ltg"/>
      <sheetName val="Sent"/>
      <sheetName val="Res"/>
      <sheetName val="GS&lt;50"/>
      <sheetName val="GS&gt;50"/>
      <sheetName val="TOU"/>
      <sheetName val="LU"/>
      <sheetName val="MUSH"/>
      <sheetName val="RETAILER"/>
    </sheetNames>
    <sheetDataSet>
      <sheetData sheetId="0">
        <row r="41">
          <cell r="E41">
            <v>45510749.04999994</v>
          </cell>
        </row>
        <row r="57">
          <cell r="E57">
            <v>16818588.77</v>
          </cell>
        </row>
        <row r="73">
          <cell r="E73">
            <v>38986219.20999999</v>
          </cell>
        </row>
        <row r="89">
          <cell r="E89">
            <v>28520328.36</v>
          </cell>
        </row>
        <row r="105">
          <cell r="E105">
            <v>16903395.63</v>
          </cell>
        </row>
        <row r="122">
          <cell r="E122">
            <v>701243.79</v>
          </cell>
        </row>
        <row r="137">
          <cell r="E137">
            <v>11682.130000000001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t Lght"/>
      <sheetName val="Sent"/>
      <sheetName val="GS&lt;50"/>
      <sheetName val="GS&gt;50"/>
      <sheetName val="TOU"/>
      <sheetName val="LU"/>
    </sheetNames>
    <sheetDataSet>
      <sheetData sheetId="1">
        <row r="3">
          <cell r="AH3">
            <v>1855.08</v>
          </cell>
        </row>
        <row r="5">
          <cell r="AE5">
            <v>862613.22</v>
          </cell>
        </row>
      </sheetData>
      <sheetData sheetId="3">
        <row r="5880">
          <cell r="K5880">
            <v>239953.05000000008</v>
          </cell>
          <cell r="AE5880">
            <v>12432782.639999999</v>
          </cell>
        </row>
        <row r="11750">
          <cell r="J11750">
            <v>-1569.77</v>
          </cell>
          <cell r="K11750">
            <v>-81335</v>
          </cell>
        </row>
      </sheetData>
      <sheetData sheetId="4">
        <row r="1375">
          <cell r="K1375">
            <v>235612.93999999986</v>
          </cell>
          <cell r="AH1375">
            <v>89284.57999999997</v>
          </cell>
        </row>
        <row r="1839">
          <cell r="AE1839">
            <v>1131715.190000001</v>
          </cell>
        </row>
        <row r="2303">
          <cell r="K2303">
            <v>190350.07000000007</v>
          </cell>
          <cell r="AE2303">
            <v>35474066.22</v>
          </cell>
        </row>
        <row r="2435">
          <cell r="J2435">
            <v>-179.45</v>
          </cell>
          <cell r="Y2435">
            <v>-68</v>
          </cell>
        </row>
        <row r="2437">
          <cell r="K2437">
            <v>-19840</v>
          </cell>
        </row>
        <row r="2438">
          <cell r="K2438">
            <v>-632.89</v>
          </cell>
        </row>
        <row r="2440">
          <cell r="J2440">
            <v>-106.46000000000001</v>
          </cell>
        </row>
      </sheetData>
      <sheetData sheetId="5">
        <row r="128">
          <cell r="K128">
            <v>146614.9</v>
          </cell>
          <cell r="AH128">
            <v>72646.34999999999</v>
          </cell>
        </row>
        <row r="172">
          <cell r="AE172">
            <v>1124874.33</v>
          </cell>
        </row>
        <row r="216">
          <cell r="K216">
            <v>189154.71000000002</v>
          </cell>
          <cell r="AE216">
            <v>35251030.39</v>
          </cell>
        </row>
        <row r="312">
          <cell r="J312">
            <v>-9102.96</v>
          </cell>
          <cell r="Y312">
            <v>-4510.4400000000005</v>
          </cell>
        </row>
        <row r="319">
          <cell r="K319">
            <v>-84101.2</v>
          </cell>
        </row>
        <row r="326">
          <cell r="J326">
            <v>-14138.36</v>
          </cell>
          <cell r="K326">
            <v>-2634816.69</v>
          </cell>
        </row>
      </sheetData>
      <sheetData sheetId="6">
        <row r="17">
          <cell r="K17">
            <v>80411.95</v>
          </cell>
          <cell r="AH17">
            <v>44650.98</v>
          </cell>
        </row>
        <row r="24">
          <cell r="AE24">
            <v>223763.94999999998</v>
          </cell>
        </row>
        <row r="31">
          <cell r="K31">
            <v>136599.41</v>
          </cell>
          <cell r="AE31">
            <v>26045353.619999997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tats"/>
      <sheetName val="Summary"/>
      <sheetName val="Res"/>
      <sheetName val="GS&lt;50"/>
      <sheetName val="GS&gt;50"/>
      <sheetName val="GS TOU"/>
      <sheetName val="LU"/>
      <sheetName val="ST LGT"/>
    </sheetNames>
    <sheetDataSet>
      <sheetData sheetId="1">
        <row r="5">
          <cell r="H5">
            <v>368741.24</v>
          </cell>
          <cell r="I5">
            <v>237029.78</v>
          </cell>
          <cell r="J5">
            <v>24186393.93</v>
          </cell>
        </row>
        <row r="6">
          <cell r="H6">
            <v>459158.73000000004</v>
          </cell>
          <cell r="I6">
            <v>352596.94</v>
          </cell>
          <cell r="J6">
            <v>35979038.24</v>
          </cell>
        </row>
        <row r="7">
          <cell r="H7">
            <v>356280.48</v>
          </cell>
          <cell r="I7">
            <v>261358.99</v>
          </cell>
          <cell r="J7">
            <v>23922821.02</v>
          </cell>
        </row>
        <row r="8">
          <cell r="H8">
            <v>466972.91</v>
          </cell>
          <cell r="I8">
            <v>492443</v>
          </cell>
          <cell r="J8">
            <v>32033147.630000003</v>
          </cell>
        </row>
        <row r="9">
          <cell r="H9">
            <v>349749.23</v>
          </cell>
          <cell r="I9">
            <v>348122.12000000005</v>
          </cell>
          <cell r="J9">
            <v>19241422.74</v>
          </cell>
        </row>
        <row r="10">
          <cell r="H10">
            <v>415120.72000000003</v>
          </cell>
          <cell r="I10">
            <v>423815.85</v>
          </cell>
          <cell r="J10">
            <v>23412446.23</v>
          </cell>
        </row>
        <row r="11">
          <cell r="H11">
            <v>408298.04</v>
          </cell>
          <cell r="I11">
            <v>391703.74</v>
          </cell>
          <cell r="J11">
            <v>21622844.150000002</v>
          </cell>
        </row>
        <row r="12">
          <cell r="H12">
            <v>449578.21</v>
          </cell>
          <cell r="I12">
            <v>537612.4199999999</v>
          </cell>
          <cell r="J12">
            <v>29703009</v>
          </cell>
        </row>
        <row r="13">
          <cell r="H13">
            <v>408813.76</v>
          </cell>
          <cell r="I13">
            <v>497828.09</v>
          </cell>
          <cell r="J13">
            <v>27504463.99</v>
          </cell>
        </row>
        <row r="14">
          <cell r="H14">
            <v>441784.76</v>
          </cell>
          <cell r="I14">
            <v>487906.43999999994</v>
          </cell>
          <cell r="J14">
            <v>26952152.98</v>
          </cell>
        </row>
        <row r="15">
          <cell r="H15">
            <v>512265.61</v>
          </cell>
          <cell r="I15">
            <v>519060.11000000004</v>
          </cell>
          <cell r="J15">
            <v>28677299.94</v>
          </cell>
        </row>
        <row r="16">
          <cell r="H16">
            <v>365799.23000000004</v>
          </cell>
          <cell r="I16">
            <v>417513.06999999995</v>
          </cell>
          <cell r="J16">
            <v>23066981</v>
          </cell>
        </row>
        <row r="46">
          <cell r="B46">
            <v>14235023.56</v>
          </cell>
        </row>
        <row r="47">
          <cell r="B47">
            <v>12098748.47</v>
          </cell>
        </row>
        <row r="48">
          <cell r="B48">
            <v>10769433.6</v>
          </cell>
        </row>
        <row r="49">
          <cell r="B49">
            <v>12542603.5</v>
          </cell>
        </row>
        <row r="50">
          <cell r="B50">
            <v>1662905.9000000001</v>
          </cell>
        </row>
        <row r="51">
          <cell r="B51">
            <v>10346585.7</v>
          </cell>
        </row>
        <row r="52">
          <cell r="B52">
            <v>11562479.999999998</v>
          </cell>
        </row>
        <row r="53">
          <cell r="B53">
            <v>12690713.200000001</v>
          </cell>
        </row>
        <row r="54">
          <cell r="B54">
            <v>12784640.7</v>
          </cell>
        </row>
        <row r="55">
          <cell r="B55">
            <v>12277745.2</v>
          </cell>
        </row>
        <row r="56">
          <cell r="B56">
            <v>12015335.39</v>
          </cell>
        </row>
        <row r="57">
          <cell r="B57">
            <v>10351606.34</v>
          </cell>
        </row>
        <row r="88">
          <cell r="B88">
            <v>81335.76</v>
          </cell>
        </row>
        <row r="89">
          <cell r="B89">
            <v>65541.65999999999</v>
          </cell>
        </row>
        <row r="90">
          <cell r="B90">
            <v>69622.18</v>
          </cell>
        </row>
        <row r="91">
          <cell r="B91">
            <v>76120.55</v>
          </cell>
        </row>
        <row r="92">
          <cell r="B92">
            <v>38276.329999999994</v>
          </cell>
        </row>
        <row r="93">
          <cell r="B93">
            <v>78920.88</v>
          </cell>
        </row>
        <row r="94">
          <cell r="B94">
            <v>81118.73</v>
          </cell>
        </row>
        <row r="95">
          <cell r="B95">
            <v>82272.65</v>
          </cell>
        </row>
        <row r="96">
          <cell r="B96">
            <v>79621.42000000001</v>
          </cell>
        </row>
        <row r="97">
          <cell r="B97">
            <v>88372.22</v>
          </cell>
        </row>
        <row r="98">
          <cell r="B98">
            <v>81256.24</v>
          </cell>
        </row>
        <row r="99">
          <cell r="B99">
            <v>80528.87</v>
          </cell>
        </row>
        <row r="129">
          <cell r="B129">
            <v>70337.71</v>
          </cell>
        </row>
        <row r="130">
          <cell r="B130">
            <v>71365.11</v>
          </cell>
        </row>
        <row r="131">
          <cell r="B131">
            <v>70544.19</v>
          </cell>
        </row>
        <row r="132">
          <cell r="B132">
            <v>72009.33</v>
          </cell>
        </row>
        <row r="133">
          <cell r="B133">
            <v>75290.03</v>
          </cell>
        </row>
        <row r="134">
          <cell r="B134">
            <v>71598.94</v>
          </cell>
        </row>
        <row r="135">
          <cell r="B135">
            <v>74192.33</v>
          </cell>
        </row>
        <row r="136">
          <cell r="B136">
            <v>74208.23</v>
          </cell>
        </row>
        <row r="137">
          <cell r="B137">
            <v>74474.56</v>
          </cell>
        </row>
        <row r="138">
          <cell r="B138">
            <v>74317.92</v>
          </cell>
        </row>
        <row r="139">
          <cell r="B139">
            <v>74136.13</v>
          </cell>
        </row>
        <row r="140">
          <cell r="B140">
            <v>69938.18</v>
          </cell>
        </row>
        <row r="211">
          <cell r="B211">
            <v>31178.46</v>
          </cell>
        </row>
        <row r="212">
          <cell r="B212">
            <v>31288.55</v>
          </cell>
        </row>
        <row r="213">
          <cell r="B213">
            <v>31555.06</v>
          </cell>
        </row>
        <row r="214">
          <cell r="B214">
            <v>31342.01</v>
          </cell>
        </row>
        <row r="215">
          <cell r="B215">
            <v>35663.85</v>
          </cell>
        </row>
        <row r="216">
          <cell r="B216">
            <v>34778.5</v>
          </cell>
        </row>
        <row r="217">
          <cell r="B217">
            <v>36257.26</v>
          </cell>
        </row>
        <row r="218">
          <cell r="B218">
            <v>38016.68</v>
          </cell>
        </row>
        <row r="219">
          <cell r="B219">
            <v>36614.25</v>
          </cell>
        </row>
        <row r="220">
          <cell r="B220">
            <v>37696.32</v>
          </cell>
        </row>
        <row r="221">
          <cell r="B221">
            <v>37228.05</v>
          </cell>
        </row>
        <row r="222">
          <cell r="B222">
            <v>31930.47</v>
          </cell>
        </row>
        <row r="252">
          <cell r="C252">
            <v>1862.3</v>
          </cell>
        </row>
        <row r="253">
          <cell r="C253">
            <v>1862.3</v>
          </cell>
        </row>
        <row r="254">
          <cell r="C254">
            <v>1865.94</v>
          </cell>
        </row>
        <row r="255">
          <cell r="C255">
            <v>1865.94</v>
          </cell>
        </row>
        <row r="256">
          <cell r="C256">
            <v>1827.069152609253</v>
          </cell>
        </row>
        <row r="257">
          <cell r="C257">
            <v>1825.83</v>
          </cell>
        </row>
        <row r="258">
          <cell r="C258">
            <v>1825.83</v>
          </cell>
        </row>
        <row r="259">
          <cell r="C259">
            <v>1825.83</v>
          </cell>
        </row>
        <row r="260">
          <cell r="C260">
            <v>1832.84</v>
          </cell>
        </row>
        <row r="261">
          <cell r="C261">
            <v>1844.26</v>
          </cell>
        </row>
        <row r="262">
          <cell r="C262">
            <v>1846.59</v>
          </cell>
        </row>
      </sheetData>
      <sheetData sheetId="2">
        <row r="73">
          <cell r="L73">
            <v>23066981</v>
          </cell>
        </row>
      </sheetData>
      <sheetData sheetId="3">
        <row r="71">
          <cell r="C71">
            <v>10351606.34</v>
          </cell>
        </row>
      </sheetData>
      <sheetData sheetId="4">
        <row r="177">
          <cell r="C177">
            <v>28577944.88</v>
          </cell>
          <cell r="D177">
            <v>911706.03</v>
          </cell>
        </row>
      </sheetData>
      <sheetData sheetId="5">
        <row r="178">
          <cell r="C178">
            <v>32493153.02</v>
          </cell>
          <cell r="D178">
            <v>1036846.02</v>
          </cell>
        </row>
      </sheetData>
      <sheetData sheetId="6">
        <row r="186">
          <cell r="C186">
            <v>18762111.72</v>
          </cell>
          <cell r="D186">
            <v>83387.15</v>
          </cell>
        </row>
      </sheetData>
      <sheetData sheetId="7">
        <row r="19">
          <cell r="D19">
            <v>678623.02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jfr0503"/>
    </sheetNames>
    <sheetDataSet>
      <sheetData sheetId="0">
        <row r="22966">
          <cell r="K22966">
            <v>528950.3599999996</v>
          </cell>
          <cell r="AE22966">
            <v>29223725.88</v>
          </cell>
        </row>
        <row r="23056">
          <cell r="J23056">
            <v>-2931.7300000000005</v>
          </cell>
          <cell r="K23056">
            <v>-161975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ST"/>
      <sheetName val="Sent"/>
      <sheetName val="GS&lt;50"/>
      <sheetName val="GS&gt;50"/>
      <sheetName val="TOU"/>
      <sheetName val="LU"/>
    </sheetNames>
    <sheetDataSet>
      <sheetData sheetId="0">
        <row r="3">
          <cell r="AH3">
            <v>1855.08</v>
          </cell>
        </row>
        <row r="5">
          <cell r="AE5">
            <v>626090.31</v>
          </cell>
        </row>
      </sheetData>
      <sheetData sheetId="2">
        <row r="5930">
          <cell r="K5930">
            <v>232563.85000000076</v>
          </cell>
          <cell r="AE5930">
            <v>12049925.6</v>
          </cell>
        </row>
        <row r="5959">
          <cell r="J5959">
            <v>-1760.66</v>
          </cell>
          <cell r="K5959">
            <v>-91226.7</v>
          </cell>
        </row>
      </sheetData>
      <sheetData sheetId="3">
        <row r="1398">
          <cell r="K1398">
            <v>259556.48000000027</v>
          </cell>
          <cell r="AH1398">
            <v>98357.88999999994</v>
          </cell>
        </row>
        <row r="1425">
          <cell r="J1425">
            <v>-36969.619999999995</v>
          </cell>
          <cell r="Y1425">
            <v>-14009.48</v>
          </cell>
        </row>
        <row r="1905">
          <cell r="AE1905">
            <v>1085199.17</v>
          </cell>
        </row>
        <row r="2372">
          <cell r="K2372">
            <v>182527.82000000007</v>
          </cell>
          <cell r="AE2372">
            <v>34016292.97</v>
          </cell>
        </row>
        <row r="2387">
          <cell r="K2387">
            <v>-42415.97</v>
          </cell>
        </row>
        <row r="2402">
          <cell r="J2402">
            <v>-7133.8899999999985</v>
          </cell>
          <cell r="K2402">
            <v>-1329481.48</v>
          </cell>
        </row>
      </sheetData>
      <sheetData sheetId="4">
        <row r="126">
          <cell r="K126">
            <v>146356.4</v>
          </cell>
          <cell r="AH126">
            <v>72518.28</v>
          </cell>
        </row>
        <row r="131">
          <cell r="J131">
            <v>-2203.81</v>
          </cell>
          <cell r="Y131">
            <v>-1091.97</v>
          </cell>
        </row>
        <row r="176">
          <cell r="AE176">
            <v>1061139.1</v>
          </cell>
        </row>
        <row r="218">
          <cell r="K218">
            <v>178438.52999999997</v>
          </cell>
          <cell r="AE218">
            <v>33253962.8</v>
          </cell>
        </row>
        <row r="223">
          <cell r="K223">
            <v>-646338.02</v>
          </cell>
        </row>
        <row r="228">
          <cell r="J228">
            <v>-3468.22</v>
          </cell>
          <cell r="K228">
            <v>-20629.5</v>
          </cell>
        </row>
      </sheetData>
      <sheetData sheetId="5">
        <row r="19">
          <cell r="K19">
            <v>163604.31</v>
          </cell>
          <cell r="AH19">
            <v>90845.85999999999</v>
          </cell>
        </row>
        <row r="28">
          <cell r="AE28">
            <v>185230.33000000002</v>
          </cell>
        </row>
        <row r="34">
          <cell r="K34">
            <v>94553.72</v>
          </cell>
          <cell r="AE34">
            <v>17998177.229999997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jfr0603"/>
    </sheetNames>
    <sheetDataSet>
      <sheetData sheetId="0">
        <row r="19988">
          <cell r="K19988">
            <v>417065.5400000007</v>
          </cell>
          <cell r="AE19988">
            <v>23042241.990000002</v>
          </cell>
        </row>
        <row r="20063">
          <cell r="J20063">
            <v>-2466.6299999999997</v>
          </cell>
          <cell r="K20063">
            <v>-138546.89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St Lgt"/>
      <sheetName val="Sent"/>
      <sheetName val="GS&lt;50"/>
      <sheetName val="GS&gt;50"/>
      <sheetName val="TOU"/>
      <sheetName val="LU"/>
    </sheetNames>
    <sheetDataSet>
      <sheetData sheetId="0">
        <row r="3">
          <cell r="AH3">
            <v>1855.08</v>
          </cell>
        </row>
        <row r="5">
          <cell r="AE5">
            <v>646959.99</v>
          </cell>
        </row>
      </sheetData>
      <sheetData sheetId="2">
        <row r="5868">
          <cell r="K5868">
            <v>198137.32000000018</v>
          </cell>
          <cell r="AE5868">
            <v>10266177.4</v>
          </cell>
        </row>
        <row r="11707">
          <cell r="J11707">
            <v>-1141.5699999999997</v>
          </cell>
          <cell r="K11707">
            <v>-59148</v>
          </cell>
        </row>
      </sheetData>
      <sheetData sheetId="3">
        <row r="1371">
          <cell r="K1371">
            <v>205234.6100000002</v>
          </cell>
          <cell r="AH1371">
            <v>77772.83</v>
          </cell>
        </row>
        <row r="1842">
          <cell r="AE1842">
            <v>884727.2700000004</v>
          </cell>
        </row>
        <row r="2302">
          <cell r="K2302">
            <v>148808.60999999996</v>
          </cell>
          <cell r="AE2302">
            <v>27732281.2</v>
          </cell>
        </row>
        <row r="2449">
          <cell r="J2449">
            <v>-811.6700000000001</v>
          </cell>
          <cell r="Y2449">
            <v>-307.58000000000004</v>
          </cell>
        </row>
        <row r="2454">
          <cell r="K2454">
            <v>-4149.54</v>
          </cell>
        </row>
        <row r="2459">
          <cell r="J2459">
            <v>-698</v>
          </cell>
          <cell r="K2459">
            <v>-130080</v>
          </cell>
        </row>
      </sheetData>
      <sheetData sheetId="4">
        <row r="114">
          <cell r="K114">
            <v>141644.13999999996</v>
          </cell>
          <cell r="AH114">
            <v>70183.39</v>
          </cell>
        </row>
        <row r="158">
          <cell r="AE158">
            <v>1041511.8300000002</v>
          </cell>
        </row>
        <row r="197">
          <cell r="K197">
            <v>175141.06000000003</v>
          </cell>
          <cell r="AE197">
            <v>32639469.390000004</v>
          </cell>
        </row>
      </sheetData>
      <sheetData sheetId="5">
        <row r="120">
          <cell r="K120">
            <v>44821.880000000005</v>
          </cell>
          <cell r="AH120">
            <v>24888.6</v>
          </cell>
        </row>
        <row r="455">
          <cell r="AE455">
            <v>223849.91</v>
          </cell>
        </row>
        <row r="461">
          <cell r="K461">
            <v>81190.37</v>
          </cell>
          <cell r="AE461">
            <v>15389681.669999998</v>
          </cell>
        </row>
        <row r="482">
          <cell r="J482">
            <v>-119133.66</v>
          </cell>
          <cell r="Y482">
            <v>-66152.29</v>
          </cell>
        </row>
        <row r="484">
          <cell r="K484">
            <v>-4424953.5</v>
          </cell>
        </row>
        <row r="485">
          <cell r="K485">
            <v>-64362.96</v>
          </cell>
        </row>
        <row r="487">
          <cell r="J487">
            <v>-23344.449999999997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Revenue"/>
      <sheetName val="kWh"/>
      <sheetName val="No of Customers"/>
      <sheetName val="Miscellaneous"/>
      <sheetName val="2003 Projection"/>
    </sheetNames>
    <sheetDataSet>
      <sheetData sheetId="1">
        <row r="12">
          <cell r="J12">
            <v>0.08414518664441924</v>
          </cell>
          <cell r="K12">
            <v>0.0883344770922695</v>
          </cell>
        </row>
        <row r="13">
          <cell r="J13">
            <v>0.08282746334919878</v>
          </cell>
          <cell r="K13">
            <v>0.08893926408806838</v>
          </cell>
        </row>
        <row r="14">
          <cell r="J14">
            <v>0.08498021556687134</v>
          </cell>
          <cell r="K14">
            <v>0.08086357890887176</v>
          </cell>
        </row>
        <row r="15">
          <cell r="J15">
            <v>0.08546284393466597</v>
          </cell>
          <cell r="K15">
            <v>0.08445672517802973</v>
          </cell>
        </row>
        <row r="16">
          <cell r="J16">
            <v>0.0855294429531431</v>
          </cell>
          <cell r="K16">
            <v>0.08719605451194223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6">
          <cell r="B16">
            <v>1512984889.1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T LGT"/>
      <sheetName val="SENT"/>
      <sheetName val="GS&lt;50"/>
      <sheetName val="GS&gt;50"/>
      <sheetName val="TOU"/>
      <sheetName val="LU"/>
    </sheetNames>
    <sheetDataSet>
      <sheetData sheetId="0">
        <row r="3">
          <cell r="AH3">
            <v>1849.05</v>
          </cell>
        </row>
        <row r="5">
          <cell r="AE5">
            <v>859810.34</v>
          </cell>
        </row>
      </sheetData>
      <sheetData sheetId="2">
        <row r="11732">
          <cell r="K11732">
            <v>283468.4800000009</v>
          </cell>
          <cell r="AE11732">
            <v>14687460.600000001</v>
          </cell>
        </row>
        <row r="11756">
          <cell r="J11756">
            <v>-10019.46</v>
          </cell>
          <cell r="K11756">
            <v>-519144</v>
          </cell>
        </row>
      </sheetData>
      <sheetData sheetId="3">
        <row r="2564">
          <cell r="K2564">
            <v>215295.40000000023</v>
          </cell>
          <cell r="AH2564">
            <v>81585.28000000004</v>
          </cell>
        </row>
        <row r="2593">
          <cell r="J2593">
            <v>-3548.99</v>
          </cell>
          <cell r="Y2593">
            <v>-1344.88</v>
          </cell>
        </row>
        <row r="3470">
          <cell r="K3470">
            <v>6142.630000000007</v>
          </cell>
          <cell r="AE3470">
            <v>1181254.619999998</v>
          </cell>
        </row>
        <row r="4325">
          <cell r="K4325">
            <v>192542.61000000004</v>
          </cell>
          <cell r="AE4325">
            <v>37027419.7</v>
          </cell>
        </row>
        <row r="4342">
          <cell r="J4342">
            <v>-80.34999999999998</v>
          </cell>
          <cell r="K4342">
            <v>-15449.63</v>
          </cell>
        </row>
        <row r="4359">
          <cell r="J4359">
            <v>-2517.3299999999995</v>
          </cell>
          <cell r="K4359">
            <v>-484103.38</v>
          </cell>
        </row>
        <row r="4561">
          <cell r="K4561">
            <v>-16351.73</v>
          </cell>
          <cell r="AH4561">
            <v>27252.91</v>
          </cell>
        </row>
      </sheetData>
      <sheetData sheetId="4">
        <row r="119">
          <cell r="K119">
            <v>139934.57</v>
          </cell>
          <cell r="AH119">
            <v>69336.33</v>
          </cell>
        </row>
        <row r="160">
          <cell r="AE160">
            <v>1026180.3200000001</v>
          </cell>
        </row>
        <row r="201">
          <cell r="K201">
            <v>172562.25</v>
          </cell>
          <cell r="AE201">
            <v>32158865.529999997</v>
          </cell>
        </row>
        <row r="280">
          <cell r="K280">
            <v>-41601.79</v>
          </cell>
          <cell r="AH280">
            <v>69336.33</v>
          </cell>
        </row>
      </sheetData>
      <sheetData sheetId="5">
        <row r="13">
          <cell r="K13">
            <v>56104.01</v>
          </cell>
          <cell r="AH13">
            <v>31153.32</v>
          </cell>
        </row>
        <row r="19">
          <cell r="AE19">
            <v>18637720.2</v>
          </cell>
        </row>
        <row r="25">
          <cell r="K25">
            <v>97907.75000000001</v>
          </cell>
          <cell r="AE25">
            <v>190695.63999999998</v>
          </cell>
        </row>
        <row r="33">
          <cell r="AH33">
            <v>31153.32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jf030228r"/>
    </sheetNames>
    <sheetDataSet>
      <sheetData sheetId="0">
        <row r="38769">
          <cell r="K38769">
            <v>614044.8900000042</v>
          </cell>
          <cell r="AE38769">
            <v>33924986.5</v>
          </cell>
        </row>
        <row r="38801">
          <cell r="J38801">
            <v>-720.2900000000001</v>
          </cell>
          <cell r="K38801">
            <v>-39795</v>
          </cell>
        </row>
        <row r="38825">
          <cell r="K38825">
            <v>224.71</v>
          </cell>
          <cell r="AE38825">
            <v>22929.399999999998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3"/>
      <sheetName val="B3"/>
    </sheetNames>
    <sheetDataSet>
      <sheetData sheetId="0">
        <row r="33521">
          <cell r="K33521">
            <v>469414.8699999517</v>
          </cell>
        </row>
      </sheetData>
      <sheetData sheetId="1">
        <row r="33498">
          <cell r="K33498">
            <v>536807.5800000018</v>
          </cell>
          <cell r="AE33498">
            <v>29657790.979999997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t Lgt"/>
      <sheetName val="Sent"/>
      <sheetName val="GS&lt;50"/>
      <sheetName val="GS&gt;50"/>
      <sheetName val="TOU"/>
      <sheetName val="LU"/>
    </sheetNames>
    <sheetDataSet>
      <sheetData sheetId="0">
        <row r="2">
          <cell r="K2">
            <v>10737</v>
          </cell>
        </row>
        <row r="4">
          <cell r="AH4">
            <v>1846.59</v>
          </cell>
        </row>
        <row r="6">
          <cell r="AE6">
            <v>701243.79</v>
          </cell>
        </row>
      </sheetData>
      <sheetData sheetId="2">
        <row r="6391">
          <cell r="K6391">
            <v>230907.72000000006</v>
          </cell>
          <cell r="AE6391">
            <v>11964117.3</v>
          </cell>
        </row>
      </sheetData>
      <sheetData sheetId="3">
        <row r="1372">
          <cell r="K1372">
            <v>220590.09000000005</v>
          </cell>
          <cell r="AH1372">
            <v>83591.75000000001</v>
          </cell>
        </row>
        <row r="1835">
          <cell r="AE1835">
            <v>983829.2899999993</v>
          </cell>
        </row>
        <row r="2298">
          <cell r="K2298">
            <v>165478.05</v>
          </cell>
          <cell r="AE2298">
            <v>30838858.94</v>
          </cell>
        </row>
        <row r="2421">
          <cell r="K2421">
            <v>-16339.249999999998</v>
          </cell>
          <cell r="AH2421">
            <v>27232.109999999997</v>
          </cell>
        </row>
      </sheetData>
      <sheetData sheetId="4">
        <row r="125">
          <cell r="K125">
            <v>146670.47</v>
          </cell>
          <cell r="AH125">
            <v>72673.90000000001</v>
          </cell>
        </row>
        <row r="168">
          <cell r="AE168">
            <v>961065.5800000001</v>
          </cell>
        </row>
        <row r="211">
          <cell r="K211">
            <v>161607.79</v>
          </cell>
          <cell r="AE211">
            <v>30117354.779999994</v>
          </cell>
        </row>
      </sheetData>
      <sheetData sheetId="5">
        <row r="14">
          <cell r="K14">
            <v>55718.91</v>
          </cell>
          <cell r="AH14">
            <v>30939.48</v>
          </cell>
        </row>
        <row r="20">
          <cell r="AE20">
            <v>75126.19</v>
          </cell>
        </row>
        <row r="26">
          <cell r="K26">
            <v>88288.32</v>
          </cell>
          <cell r="AE26">
            <v>16903395.63</v>
          </cell>
        </row>
        <row r="35">
          <cell r="K35">
            <v>-18563.68</v>
          </cell>
          <cell r="AH35">
            <v>30939.48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jfg0303"/>
    </sheetNames>
    <sheetDataSet>
      <sheetData sheetId="0">
        <row r="1">
          <cell r="AH1">
            <v>1854.82</v>
          </cell>
        </row>
        <row r="3046">
          <cell r="K3046">
            <v>251658.44999999917</v>
          </cell>
          <cell r="AE3046">
            <v>13039283.4</v>
          </cell>
        </row>
        <row r="3062">
          <cell r="J3062">
            <v>-600.1899999999999</v>
          </cell>
          <cell r="K3062">
            <v>-31097</v>
          </cell>
        </row>
        <row r="3963">
          <cell r="K3963">
            <v>220941.50000000032</v>
          </cell>
          <cell r="AH3963">
            <v>83724.92</v>
          </cell>
        </row>
        <row r="3972">
          <cell r="J3972">
            <v>-320.89</v>
          </cell>
          <cell r="Y3972">
            <v>-121.6</v>
          </cell>
        </row>
        <row r="4047">
          <cell r="K4047">
            <v>134821.35999999996</v>
          </cell>
          <cell r="AH4047">
            <v>66802.76999999999</v>
          </cell>
        </row>
        <row r="4056">
          <cell r="K4056">
            <v>54954.049999999996</v>
          </cell>
          <cell r="AH4056">
            <v>30514.769999999997</v>
          </cell>
        </row>
        <row r="4058">
          <cell r="AE4058">
            <v>779024.63</v>
          </cell>
        </row>
        <row r="10582">
          <cell r="AE10582">
            <v>1057881.009999999</v>
          </cell>
        </row>
        <row r="11041">
          <cell r="K11041">
            <v>177933.27999999982</v>
          </cell>
          <cell r="AE11041">
            <v>33160041.38000001</v>
          </cell>
        </row>
        <row r="11047">
          <cell r="K11047">
            <v>-4144.44</v>
          </cell>
        </row>
        <row r="11053">
          <cell r="J11053">
            <v>-697.1299999999999</v>
          </cell>
          <cell r="K11053">
            <v>-129920</v>
          </cell>
        </row>
        <row r="11092">
          <cell r="AE11092">
            <v>943114.64</v>
          </cell>
        </row>
        <row r="11131">
          <cell r="K11131">
            <v>158594.73</v>
          </cell>
          <cell r="AE11131">
            <v>29555875.2</v>
          </cell>
        </row>
        <row r="11137">
          <cell r="AE11137">
            <v>172373.11</v>
          </cell>
        </row>
        <row r="11143">
          <cell r="K11143">
            <v>91262.18</v>
          </cell>
          <cell r="AE11143">
            <v>17378046.18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jfr0303"/>
    </sheetNames>
    <sheetDataSet>
      <sheetData sheetId="0">
        <row r="25916">
          <cell r="K25916">
            <v>515885.8800000017</v>
          </cell>
          <cell r="AE25916">
            <v>28501941.979999997</v>
          </cell>
        </row>
        <row r="26004">
          <cell r="J26004">
            <v>-1800.2499999999995</v>
          </cell>
          <cell r="K26004">
            <v>-98445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jfr0403"/>
    </sheetNames>
    <sheetDataSet>
      <sheetData sheetId="0">
        <row r="17785">
          <cell r="K17785">
            <v>500465.53999999736</v>
          </cell>
          <cell r="AE17785">
            <v>27649930.950000003</v>
          </cell>
        </row>
        <row r="17840">
          <cell r="J17840">
            <v>-1508.81</v>
          </cell>
          <cell r="K17840">
            <v>-83358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4"/>
  <sheetViews>
    <sheetView zoomScale="75" zoomScaleNormal="75" zoomScalePageLayoutView="0" workbookViewId="0" topLeftCell="A43">
      <selection activeCell="A5" sqref="A5"/>
    </sheetView>
  </sheetViews>
  <sheetFormatPr defaultColWidth="9.140625" defaultRowHeight="12.75"/>
  <cols>
    <col min="1" max="1" width="23.8515625" style="0" bestFit="1" customWidth="1"/>
    <col min="2" max="3" width="14.00390625" style="27" bestFit="1" customWidth="1"/>
    <col min="5" max="5" width="14.00390625" style="0" bestFit="1" customWidth="1"/>
    <col min="6" max="6" width="15.00390625" style="0" bestFit="1" customWidth="1"/>
  </cols>
  <sheetData>
    <row r="1" spans="2:3" s="46" customFormat="1" ht="12.75">
      <c r="B1" s="47">
        <v>2002</v>
      </c>
      <c r="C1" s="47">
        <v>2001</v>
      </c>
    </row>
    <row r="2" ht="12.75">
      <c r="A2" t="s">
        <v>81</v>
      </c>
    </row>
    <row r="4" spans="1:7" ht="12.75">
      <c r="A4" s="45" t="s">
        <v>69</v>
      </c>
      <c r="B4" s="27">
        <f>'Summary DNU'!J18</f>
        <v>317479968.13911605</v>
      </c>
      <c r="C4" s="27">
        <v>307813129</v>
      </c>
      <c r="D4" s="24">
        <f aca="true" t="shared" si="0" ref="D4:D12">B4/C4-1</f>
        <v>0.0314048954653785</v>
      </c>
      <c r="E4" s="3"/>
      <c r="F4" s="3"/>
      <c r="G4" s="24"/>
    </row>
    <row r="5" spans="1:7" ht="12.75">
      <c r="A5" s="45" t="s">
        <v>46</v>
      </c>
      <c r="B5" s="27">
        <f>'Summary DNU'!$B$59</f>
        <v>139494818.2672539</v>
      </c>
      <c r="C5" s="27">
        <v>138210622</v>
      </c>
      <c r="D5" s="24">
        <f t="shared" si="0"/>
        <v>0.009291588798825412</v>
      </c>
      <c r="E5" s="3"/>
      <c r="F5" s="3"/>
      <c r="G5" s="24"/>
    </row>
    <row r="6" spans="1:4" ht="12.75">
      <c r="A6" s="45" t="s">
        <v>48</v>
      </c>
      <c r="B6" s="27">
        <f>'Summary DNU'!$G$99</f>
        <v>225866514.84</v>
      </c>
      <c r="C6" s="27">
        <v>378968532</v>
      </c>
      <c r="D6" s="24">
        <f t="shared" si="0"/>
        <v>-0.4039966494104582</v>
      </c>
    </row>
    <row r="7" spans="1:4" ht="12.75">
      <c r="A7" s="45" t="s">
        <v>52</v>
      </c>
      <c r="B7" s="27">
        <f>'Summary DNU'!$G$139</f>
        <v>222060731.97000003</v>
      </c>
      <c r="C7" s="27">
        <v>372617634</v>
      </c>
      <c r="D7" s="24">
        <f t="shared" si="0"/>
        <v>-0.40405200476904957</v>
      </c>
    </row>
    <row r="8" spans="1:4" ht="12.75">
      <c r="A8" s="45" t="s">
        <v>54</v>
      </c>
      <c r="B8" s="27">
        <f>'Summary DNU'!$G$220</f>
        <v>127443429.8</v>
      </c>
      <c r="C8" s="27">
        <v>233648784</v>
      </c>
      <c r="D8" s="24">
        <f t="shared" si="0"/>
        <v>-0.45455128155085966</v>
      </c>
    </row>
    <row r="9" spans="1:4" ht="12.75">
      <c r="A9" s="45" t="s">
        <v>76</v>
      </c>
      <c r="B9" s="27">
        <f>'Summary DNU'!$D$260</f>
        <v>5101832.59</v>
      </c>
      <c r="C9" s="27">
        <v>8005508</v>
      </c>
      <c r="D9" s="24">
        <f t="shared" si="0"/>
        <v>-0.3627097006211224</v>
      </c>
    </row>
    <row r="10" spans="1:4" ht="12.75">
      <c r="A10" s="45" t="s">
        <v>82</v>
      </c>
      <c r="B10" s="28">
        <v>0</v>
      </c>
      <c r="C10" s="28">
        <v>0</v>
      </c>
      <c r="D10" s="24"/>
    </row>
    <row r="11" ht="12.75">
      <c r="D11" s="24"/>
    </row>
    <row r="12" spans="2:4" ht="12.75">
      <c r="B12" s="28">
        <f>SUM(B4:B11)</f>
        <v>1037447295.60637</v>
      </c>
      <c r="C12" s="28">
        <f>SUM(C4:C11)</f>
        <v>1439264209</v>
      </c>
      <c r="D12" s="24">
        <f t="shared" si="0"/>
        <v>-0.2791821757818964</v>
      </c>
    </row>
    <row r="14" ht="12.75">
      <c r="A14" t="s">
        <v>83</v>
      </c>
    </row>
    <row r="16" spans="1:3" ht="12.75">
      <c r="A16" s="45" t="s">
        <v>69</v>
      </c>
      <c r="B16" s="27">
        <f>C28</f>
        <v>34998854</v>
      </c>
      <c r="C16" s="27">
        <v>34921174</v>
      </c>
    </row>
    <row r="17" spans="1:5" ht="12.75">
      <c r="A17" s="45" t="s">
        <v>46</v>
      </c>
      <c r="B17" s="27">
        <v>5321298</v>
      </c>
      <c r="C17" s="27">
        <f>23574339*E17</f>
        <v>7094808.890704973</v>
      </c>
      <c r="E17" s="3">
        <f>B17/(B17+B18)</f>
        <v>0.3009547326313146</v>
      </c>
    </row>
    <row r="18" spans="1:5" ht="12.75">
      <c r="A18" s="45" t="s">
        <v>48</v>
      </c>
      <c r="B18" s="27">
        <v>12360092</v>
      </c>
      <c r="C18" s="27">
        <f>23574339*E18</f>
        <v>16479530.109295025</v>
      </c>
      <c r="E18" s="3">
        <f>1-E17</f>
        <v>0.6990452673686853</v>
      </c>
    </row>
    <row r="19" spans="1:3" ht="12.75">
      <c r="A19" s="45" t="s">
        <v>52</v>
      </c>
      <c r="B19" s="27">
        <v>27999025</v>
      </c>
      <c r="C19" s="27">
        <v>25814191</v>
      </c>
    </row>
    <row r="20" spans="1:3" ht="12.75">
      <c r="A20" s="45" t="s">
        <v>54</v>
      </c>
      <c r="B20" s="27">
        <v>16455276</v>
      </c>
      <c r="C20" s="27">
        <v>18288255</v>
      </c>
    </row>
    <row r="21" spans="1:3" ht="12.75">
      <c r="A21" s="45" t="s">
        <v>76</v>
      </c>
      <c r="B21" s="27">
        <v>0</v>
      </c>
      <c r="C21" s="27">
        <v>0</v>
      </c>
    </row>
    <row r="22" spans="1:3" ht="12.75">
      <c r="A22" s="45" t="s">
        <v>82</v>
      </c>
      <c r="B22" s="28">
        <v>0</v>
      </c>
      <c r="C22" s="28">
        <v>0</v>
      </c>
    </row>
    <row r="24" spans="2:3" ht="12.75">
      <c r="B24" s="28">
        <f>SUM(B16:B23)</f>
        <v>97134545</v>
      </c>
      <c r="C24" s="28">
        <f>SUM(C16:C23)</f>
        <v>102597959</v>
      </c>
    </row>
    <row r="26" ht="12.75">
      <c r="A26" t="s">
        <v>84</v>
      </c>
    </row>
    <row r="28" spans="1:3" ht="12.75">
      <c r="A28" s="45" t="s">
        <v>69</v>
      </c>
      <c r="B28" s="27">
        <f>'[1]Summary'!$E$41</f>
        <v>45510749.04999994</v>
      </c>
      <c r="C28" s="27">
        <v>34998854</v>
      </c>
    </row>
    <row r="29" spans="1:5" ht="12.75">
      <c r="A29" s="45" t="s">
        <v>46</v>
      </c>
      <c r="B29" s="51">
        <f>'[1]Summary'!$E$57+'[1]Summary'!$E$137</f>
        <v>16830270.9</v>
      </c>
      <c r="C29" s="27">
        <v>5321298</v>
      </c>
      <c r="E29" s="3">
        <f>B29/C29</f>
        <v>3.1628130768094547</v>
      </c>
    </row>
    <row r="30" spans="1:5" ht="12.75">
      <c r="A30" s="45" t="s">
        <v>48</v>
      </c>
      <c r="B30" s="27">
        <f>'[1]Summary'!$E$73</f>
        <v>38986219.20999999</v>
      </c>
      <c r="C30" s="27">
        <v>12360092</v>
      </c>
      <c r="E30" s="3">
        <f>B30/C30</f>
        <v>3.1542013773036635</v>
      </c>
    </row>
    <row r="31" spans="1:3" ht="12.75">
      <c r="A31" s="45" t="s">
        <v>52</v>
      </c>
      <c r="B31" s="27">
        <f>'[1]Summary'!$E$89</f>
        <v>28520328.36</v>
      </c>
      <c r="C31" s="27">
        <v>27999025</v>
      </c>
    </row>
    <row r="32" spans="1:3" ht="12.75">
      <c r="A32" s="45" t="s">
        <v>54</v>
      </c>
      <c r="B32" s="27">
        <f>'[1]Summary'!$E$105</f>
        <v>16903395.63</v>
      </c>
      <c r="C32" s="27">
        <v>16455276</v>
      </c>
    </row>
    <row r="33" spans="1:3" ht="12.75">
      <c r="A33" s="45" t="s">
        <v>76</v>
      </c>
      <c r="B33" s="27">
        <f>'[1]Summary'!$E$122</f>
        <v>701243.79</v>
      </c>
      <c r="C33" s="27">
        <v>0</v>
      </c>
    </row>
    <row r="34" spans="1:3" ht="12.75">
      <c r="A34" s="45" t="s">
        <v>82</v>
      </c>
      <c r="B34" s="28"/>
      <c r="C34" s="28">
        <v>0</v>
      </c>
    </row>
    <row r="36" spans="2:3" ht="12.75">
      <c r="B36" s="28">
        <f>SUM(B28:B35)</f>
        <v>147452206.93999994</v>
      </c>
      <c r="C36" s="28">
        <f>SUM(C28:C35)</f>
        <v>97134545</v>
      </c>
    </row>
    <row r="38" ht="12.75">
      <c r="A38" t="s">
        <v>85</v>
      </c>
    </row>
    <row r="40" spans="1:4" ht="12.75">
      <c r="A40" s="45" t="s">
        <v>69</v>
      </c>
      <c r="B40" s="27">
        <f>B4-B16+B28</f>
        <v>327991863.189116</v>
      </c>
      <c r="C40" s="27">
        <f>C4-C16+C28</f>
        <v>307890809</v>
      </c>
      <c r="D40" s="24">
        <f aca="true" t="shared" si="1" ref="D40:D45">B40/C40-1</f>
        <v>0.06528630800770663</v>
      </c>
    </row>
    <row r="41" spans="1:7" ht="12.75">
      <c r="A41" s="45" t="s">
        <v>46</v>
      </c>
      <c r="B41" s="27">
        <f aca="true" t="shared" si="2" ref="B41:C46">B5-B17+B29</f>
        <v>151003791.1672539</v>
      </c>
      <c r="C41" s="27">
        <f t="shared" si="2"/>
        <v>136437111.109295</v>
      </c>
      <c r="D41" s="24">
        <f t="shared" si="1"/>
        <v>0.10676479397376015</v>
      </c>
      <c r="E41" s="50">
        <f>B41+B42+B43</f>
        <v>626078468.547254</v>
      </c>
      <c r="F41" s="50">
        <f>C41+C42+C43</f>
        <v>886088673</v>
      </c>
      <c r="G41" s="24">
        <f>E41/F41-1</f>
        <v>-0.29343587428156415</v>
      </c>
    </row>
    <row r="42" spans="1:4" ht="12.75">
      <c r="A42" s="45" t="s">
        <v>48</v>
      </c>
      <c r="B42" s="27">
        <f>B6-B18+B30</f>
        <v>252492642.05</v>
      </c>
      <c r="C42" s="27">
        <f t="shared" si="2"/>
        <v>374849093.890705</v>
      </c>
      <c r="D42" s="24">
        <f t="shared" si="1"/>
        <v>-0.326415226380087</v>
      </c>
    </row>
    <row r="43" spans="1:4" ht="12.75">
      <c r="A43" s="45" t="s">
        <v>52</v>
      </c>
      <c r="B43" s="27">
        <f t="shared" si="2"/>
        <v>222582035.33000004</v>
      </c>
      <c r="C43" s="27">
        <f t="shared" si="2"/>
        <v>374802468</v>
      </c>
      <c r="D43" s="24">
        <f t="shared" si="1"/>
        <v>-0.4061350862556219</v>
      </c>
    </row>
    <row r="44" spans="1:4" ht="12.75">
      <c r="A44" s="45" t="s">
        <v>54</v>
      </c>
      <c r="B44" s="27">
        <f t="shared" si="2"/>
        <v>127891549.42999999</v>
      </c>
      <c r="C44" s="27">
        <f t="shared" si="2"/>
        <v>231815805</v>
      </c>
      <c r="D44" s="24">
        <f t="shared" si="1"/>
        <v>-0.4483053067499</v>
      </c>
    </row>
    <row r="45" spans="1:4" ht="12.75">
      <c r="A45" s="45" t="s">
        <v>76</v>
      </c>
      <c r="B45" s="27">
        <f t="shared" si="2"/>
        <v>5803076.38</v>
      </c>
      <c r="C45" s="27">
        <f t="shared" si="2"/>
        <v>8005508</v>
      </c>
      <c r="D45" s="24">
        <f t="shared" si="1"/>
        <v>-0.2751145361418663</v>
      </c>
    </row>
    <row r="46" spans="1:4" ht="12.75">
      <c r="A46" s="45" t="s">
        <v>82</v>
      </c>
      <c r="B46" s="28">
        <f t="shared" si="2"/>
        <v>0</v>
      </c>
      <c r="C46" s="28">
        <f t="shared" si="2"/>
        <v>0</v>
      </c>
      <c r="D46" s="24"/>
    </row>
    <row r="48" spans="2:4" ht="12.75">
      <c r="B48" s="28">
        <f>SUM(B40:B47)</f>
        <v>1087764957.54637</v>
      </c>
      <c r="C48" s="28">
        <f>SUM(C40:C47)</f>
        <v>1433800795</v>
      </c>
      <c r="D48" s="24">
        <f>B48/C48-1</f>
        <v>-0.2413416415030164</v>
      </c>
    </row>
    <row r="50" spans="1:4" ht="12.75">
      <c r="A50" t="s">
        <v>86</v>
      </c>
      <c r="B50" s="49">
        <f>'[2]Sheet1'!$B$16</f>
        <v>1512984889.1</v>
      </c>
      <c r="C50" s="28">
        <v>1467454913</v>
      </c>
      <c r="D50" s="24">
        <f>B50/C50-1</f>
        <v>0.031026490624451508</v>
      </c>
    </row>
    <row r="52" spans="1:4" ht="12.75">
      <c r="A52" t="s">
        <v>87</v>
      </c>
      <c r="B52" s="28">
        <f>B50-B48</f>
        <v>425219931.5536299</v>
      </c>
      <c r="C52" s="28">
        <f>C50-C48</f>
        <v>33654118</v>
      </c>
      <c r="D52" s="24">
        <f>B52/C52-1</f>
        <v>11.635004475637421</v>
      </c>
    </row>
    <row r="54" spans="1:4" ht="12.75">
      <c r="A54" t="s">
        <v>88</v>
      </c>
      <c r="B54" s="48">
        <f>B52/B50</f>
        <v>0.28104704456537716</v>
      </c>
      <c r="C54" s="48">
        <f>C52/C50</f>
        <v>0.022933664061404794</v>
      </c>
      <c r="D54" s="24">
        <f>B54/C54-1</f>
        <v>11.254781608942855</v>
      </c>
    </row>
  </sheetData>
  <sheetProtection/>
  <printOptions/>
  <pageMargins left="0.75" right="0.75" top="1" bottom="1" header="0.5" footer="0.5"/>
  <pageSetup fitToHeight="1" fitToWidth="1" horizontalDpi="300" verticalDpi="300" orientation="portrait" scale="9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0"/>
  <sheetViews>
    <sheetView zoomScalePageLayoutView="0" workbookViewId="0" topLeftCell="A13">
      <selection activeCell="C22" sqref="C22:C27"/>
    </sheetView>
  </sheetViews>
  <sheetFormatPr defaultColWidth="9.140625" defaultRowHeight="12.75"/>
  <cols>
    <col min="1" max="1" width="14.140625" style="0" bestFit="1" customWidth="1"/>
    <col min="2" max="2" width="12.421875" style="27" bestFit="1" customWidth="1"/>
    <col min="3" max="3" width="12.00390625" style="1" bestFit="1" customWidth="1"/>
    <col min="4" max="4" width="14.8515625" style="1" bestFit="1" customWidth="1"/>
    <col min="5" max="5" width="14.8515625" style="1" customWidth="1"/>
    <col min="6" max="6" width="11.57421875" style="0" bestFit="1" customWidth="1"/>
    <col min="7" max="8" width="11.28125" style="0" customWidth="1"/>
    <col min="9" max="9" width="11.28125" style="1" bestFit="1" customWidth="1"/>
    <col min="10" max="11" width="11.8515625" style="1" customWidth="1"/>
    <col min="12" max="12" width="13.140625" style="1" bestFit="1" customWidth="1"/>
    <col min="14" max="14" width="12.00390625" style="0" bestFit="1" customWidth="1"/>
    <col min="15" max="15" width="15.28125" style="0" bestFit="1" customWidth="1"/>
  </cols>
  <sheetData>
    <row r="1" spans="1:4" ht="13.5" thickBot="1">
      <c r="A1" s="194" t="s">
        <v>215</v>
      </c>
      <c r="B1" s="195"/>
      <c r="C1" s="196" t="s">
        <v>205</v>
      </c>
      <c r="D1" s="80" t="s">
        <v>213</v>
      </c>
    </row>
    <row r="4" spans="1:12" s="4" customFormat="1" ht="38.25">
      <c r="A4" s="32" t="s">
        <v>59</v>
      </c>
      <c r="B4" s="26" t="s">
        <v>58</v>
      </c>
      <c r="C4" s="5" t="s">
        <v>180</v>
      </c>
      <c r="D4" s="4" t="s">
        <v>60</v>
      </c>
      <c r="E4" s="4" t="s">
        <v>214</v>
      </c>
      <c r="F4" s="5" t="s">
        <v>183</v>
      </c>
      <c r="I4" s="5"/>
      <c r="K4" s="5"/>
      <c r="L4" s="5"/>
    </row>
    <row r="5" spans="4:6" ht="12.75">
      <c r="D5"/>
      <c r="E5"/>
      <c r="F5" s="1"/>
    </row>
    <row r="6" spans="1:6" ht="12.75">
      <c r="A6" s="34"/>
      <c r="D6"/>
      <c r="E6"/>
      <c r="F6" s="1"/>
    </row>
    <row r="7" spans="4:6" ht="12.75">
      <c r="D7"/>
      <c r="E7"/>
      <c r="F7" s="1"/>
    </row>
    <row r="8" spans="1:15" ht="12.75">
      <c r="A8" t="s">
        <v>3</v>
      </c>
      <c r="B8" s="27">
        <f aca="true" t="shared" si="0" ref="B8:B19">+I8/D8</f>
        <v>0</v>
      </c>
      <c r="C8" s="1">
        <f aca="true" t="shared" si="1" ref="C8:C19">+F8/E8</f>
        <v>32.036715900257136</v>
      </c>
      <c r="D8">
        <v>5.55</v>
      </c>
      <c r="E8">
        <v>6.6892</v>
      </c>
      <c r="F8" s="1">
        <v>214.3</v>
      </c>
      <c r="N8" s="3"/>
      <c r="O8" s="3"/>
    </row>
    <row r="9" spans="1:15" ht="12.75">
      <c r="A9" t="s">
        <v>4</v>
      </c>
      <c r="B9" s="27">
        <f t="shared" si="0"/>
        <v>0</v>
      </c>
      <c r="C9" s="1">
        <f t="shared" si="1"/>
        <v>29.151468038031457</v>
      </c>
      <c r="D9">
        <v>5.55</v>
      </c>
      <c r="E9">
        <v>6.6892</v>
      </c>
      <c r="F9" s="1">
        <v>195</v>
      </c>
      <c r="N9" s="3"/>
      <c r="O9" s="3"/>
    </row>
    <row r="10" spans="1:15" ht="12.75">
      <c r="A10" t="s">
        <v>5</v>
      </c>
      <c r="B10" s="27">
        <f t="shared" si="0"/>
        <v>0</v>
      </c>
      <c r="C10" s="1">
        <f t="shared" si="1"/>
        <v>31.888716139448665</v>
      </c>
      <c r="D10">
        <v>5.55</v>
      </c>
      <c r="E10">
        <v>6.6892</v>
      </c>
      <c r="F10" s="1">
        <f>622.61-409.3</f>
        <v>213.31</v>
      </c>
      <c r="N10" s="3"/>
      <c r="O10" s="3"/>
    </row>
    <row r="11" spans="1:15" ht="12.75">
      <c r="A11" t="s">
        <v>6</v>
      </c>
      <c r="B11" s="27">
        <f t="shared" si="0"/>
        <v>0</v>
      </c>
      <c r="C11" s="1">
        <f t="shared" si="1"/>
        <v>29.52669975482868</v>
      </c>
      <c r="D11">
        <v>5.55</v>
      </c>
      <c r="E11">
        <v>6.6892</v>
      </c>
      <c r="F11" s="1">
        <v>197.51</v>
      </c>
      <c r="N11" s="3"/>
      <c r="O11" s="3"/>
    </row>
    <row r="12" spans="1:15" s="37" customFormat="1" ht="12.75">
      <c r="A12" s="37" t="s">
        <v>7</v>
      </c>
      <c r="B12" s="27">
        <f t="shared" si="0"/>
        <v>0</v>
      </c>
      <c r="C12" s="1">
        <f t="shared" si="1"/>
        <v>31.506009687257055</v>
      </c>
      <c r="D12">
        <v>5.55</v>
      </c>
      <c r="E12">
        <v>6.6892</v>
      </c>
      <c r="F12" s="1">
        <f>1030.87-820.12</f>
        <v>210.7499999999999</v>
      </c>
      <c r="H12" s="39"/>
      <c r="I12" s="1"/>
      <c r="K12" s="38"/>
      <c r="L12" s="38"/>
      <c r="N12" s="40"/>
      <c r="O12" s="40"/>
    </row>
    <row r="13" spans="1:15" ht="12.75">
      <c r="A13" t="s">
        <v>8</v>
      </c>
      <c r="B13" s="27">
        <f t="shared" si="0"/>
        <v>0</v>
      </c>
      <c r="C13" s="1">
        <f t="shared" si="1"/>
        <v>29.52669975482868</v>
      </c>
      <c r="D13">
        <v>5.55</v>
      </c>
      <c r="E13">
        <v>6.6892</v>
      </c>
      <c r="F13" s="1">
        <v>197.51</v>
      </c>
      <c r="N13" s="3"/>
      <c r="O13" s="3"/>
    </row>
    <row r="14" spans="1:15" ht="12.75">
      <c r="A14" t="s">
        <v>9</v>
      </c>
      <c r="B14" s="27">
        <f t="shared" si="0"/>
        <v>0</v>
      </c>
      <c r="C14" s="1">
        <f t="shared" si="1"/>
        <v>31.506009687257073</v>
      </c>
      <c r="D14">
        <v>5.55</v>
      </c>
      <c r="E14">
        <v>6.6892</v>
      </c>
      <c r="F14" s="35">
        <f>1439.13-1228.38</f>
        <v>210.75</v>
      </c>
      <c r="H14" s="36"/>
      <c r="I14" s="52"/>
      <c r="K14" s="35"/>
      <c r="L14" s="35"/>
      <c r="N14" s="3"/>
      <c r="O14" s="3"/>
    </row>
    <row r="15" spans="1:15" ht="12.75">
      <c r="A15" t="s">
        <v>10</v>
      </c>
      <c r="B15" s="27">
        <f t="shared" si="0"/>
        <v>0</v>
      </c>
      <c r="C15" s="1">
        <f t="shared" si="1"/>
        <v>28.37708545117503</v>
      </c>
      <c r="D15">
        <v>5.55</v>
      </c>
      <c r="E15">
        <v>6.6892</v>
      </c>
      <c r="F15" s="1">
        <v>189.82</v>
      </c>
      <c r="I15" s="52"/>
      <c r="N15" s="3"/>
      <c r="O15" s="3"/>
    </row>
    <row r="16" spans="1:15" ht="12.75">
      <c r="A16" t="s">
        <v>11</v>
      </c>
      <c r="B16" s="27">
        <f t="shared" si="0"/>
        <v>0</v>
      </c>
      <c r="C16" s="1">
        <f t="shared" si="1"/>
        <v>31.256353525085203</v>
      </c>
      <c r="D16">
        <v>5.55</v>
      </c>
      <c r="E16">
        <v>6.6892</v>
      </c>
      <c r="F16" s="35">
        <f>1838.03-1628.95</f>
        <v>209.07999999999993</v>
      </c>
      <c r="I16" s="52"/>
      <c r="K16" s="35"/>
      <c r="N16" s="3"/>
      <c r="O16" s="3"/>
    </row>
    <row r="17" spans="1:15" ht="12.75">
      <c r="A17" t="s">
        <v>12</v>
      </c>
      <c r="B17" s="27">
        <f t="shared" si="0"/>
        <v>0</v>
      </c>
      <c r="C17" s="1">
        <f t="shared" si="1"/>
        <v>29.277043592656824</v>
      </c>
      <c r="D17">
        <v>5.55</v>
      </c>
      <c r="E17">
        <v>6.6892</v>
      </c>
      <c r="F17" s="1">
        <v>195.84</v>
      </c>
      <c r="I17" s="52"/>
      <c r="N17" s="3"/>
      <c r="O17" s="3"/>
    </row>
    <row r="18" spans="1:15" ht="12.75">
      <c r="A18" t="s">
        <v>13</v>
      </c>
      <c r="B18" s="27">
        <f t="shared" si="0"/>
        <v>0</v>
      </c>
      <c r="C18" s="1">
        <f t="shared" si="1"/>
        <v>29.456437242121627</v>
      </c>
      <c r="D18">
        <v>5.55</v>
      </c>
      <c r="E18">
        <v>6.6892</v>
      </c>
      <c r="F18" s="1">
        <f>2230.91-2033.87</f>
        <v>197.03999999999996</v>
      </c>
      <c r="I18" s="52"/>
      <c r="N18" s="3"/>
      <c r="O18" s="3"/>
    </row>
    <row r="19" spans="1:15" ht="12.75">
      <c r="A19" t="s">
        <v>14</v>
      </c>
      <c r="B19" s="27">
        <f t="shared" si="0"/>
        <v>0</v>
      </c>
      <c r="C19" s="1">
        <f t="shared" si="1"/>
        <v>29.277043592656824</v>
      </c>
      <c r="D19">
        <v>5.55</v>
      </c>
      <c r="E19">
        <v>6.6892</v>
      </c>
      <c r="F19" s="1">
        <v>195.84</v>
      </c>
      <c r="I19" s="52"/>
      <c r="N19" s="3"/>
      <c r="O19" s="3"/>
    </row>
    <row r="20" spans="4:6" ht="12.75">
      <c r="D20"/>
      <c r="E20"/>
      <c r="F20" s="1"/>
    </row>
    <row r="21" spans="2:8" ht="13.5" thickBot="1">
      <c r="B21" s="27">
        <f>SUM(B8:B19)</f>
        <v>0</v>
      </c>
      <c r="C21" s="12">
        <f>SUM(C8:C19)</f>
        <v>362.7862823656042</v>
      </c>
      <c r="D21" s="12"/>
      <c r="E21" s="12"/>
      <c r="F21" s="12">
        <f>SUM(F8:F19)</f>
        <v>2426.75</v>
      </c>
      <c r="H21" s="1"/>
    </row>
    <row r="22" spans="3:6" ht="12.75">
      <c r="C22" s="78"/>
      <c r="F22" s="233" t="s">
        <v>221</v>
      </c>
    </row>
    <row r="23" spans="3:8" ht="12.75">
      <c r="C23" s="78"/>
      <c r="F23" s="1"/>
      <c r="G23" s="1"/>
      <c r="H23" s="1"/>
    </row>
    <row r="24" ht="12.75">
      <c r="C24" s="78"/>
    </row>
    <row r="25" ht="12.75">
      <c r="C25" s="78"/>
    </row>
    <row r="26" ht="12.75">
      <c r="C26" s="78"/>
    </row>
    <row r="27" ht="12.75">
      <c r="C27" s="78"/>
    </row>
    <row r="28" ht="12.75">
      <c r="C28" s="78"/>
    </row>
    <row r="29" ht="12.75">
      <c r="J29" s="90"/>
    </row>
    <row r="30" ht="12.75">
      <c r="J30" s="90"/>
    </row>
  </sheetData>
  <sheetProtection/>
  <printOptions/>
  <pageMargins left="0.75" right="0.75" top="1" bottom="1" header="0.5" footer="0.5"/>
  <pageSetup fitToHeight="1" fitToWidth="1" horizontalDpi="300" verticalDpi="300" orientation="landscape" r:id="rId1"/>
  <headerFooter alignWithMargins="0">
    <oddFooter>&amp;LI:\JD\YE Dec 31 03\GHESI\Stats\&amp;F&amp;A&amp;D&amp;T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Q319"/>
  <sheetViews>
    <sheetView tabSelected="1" zoomScale="75" zoomScaleNormal="75" zoomScalePageLayoutView="0" workbookViewId="0" topLeftCell="F133">
      <selection activeCell="G1" sqref="G1"/>
    </sheetView>
  </sheetViews>
  <sheetFormatPr defaultColWidth="9.140625" defaultRowHeight="12.75"/>
  <cols>
    <col min="1" max="1" width="38.7109375" style="0" bestFit="1" customWidth="1"/>
    <col min="2" max="2" width="15.421875" style="1" bestFit="1" customWidth="1"/>
    <col min="3" max="3" width="14.140625" style="27" bestFit="1" customWidth="1"/>
    <col min="4" max="4" width="15.421875" style="1" bestFit="1" customWidth="1"/>
    <col min="5" max="5" width="14.140625" style="27" bestFit="1" customWidth="1"/>
    <col min="6" max="6" width="13.00390625" style="1" bestFit="1" customWidth="1"/>
    <col min="7" max="7" width="15.140625" style="27" bestFit="1" customWidth="1"/>
    <col min="8" max="8" width="14.00390625" style="1" bestFit="1" customWidth="1"/>
    <col min="9" max="9" width="12.28125" style="27" bestFit="1" customWidth="1"/>
    <col min="10" max="10" width="11.421875" style="1" bestFit="1" customWidth="1"/>
    <col min="11" max="11" width="10.421875" style="27" bestFit="1" customWidth="1"/>
    <col min="12" max="12" width="11.8515625" style="1" bestFit="1" customWidth="1"/>
    <col min="13" max="13" width="10.57421875" style="27" bestFit="1" customWidth="1"/>
    <col min="14" max="14" width="11.421875" style="1" bestFit="1" customWidth="1"/>
    <col min="15" max="15" width="10.421875" style="27" bestFit="1" customWidth="1"/>
    <col min="16" max="16" width="13.28125" style="1" bestFit="1" customWidth="1"/>
    <col min="17" max="17" width="12.28125" style="27" bestFit="1" customWidth="1"/>
  </cols>
  <sheetData>
    <row r="1" ht="12.75">
      <c r="A1" s="66" t="s">
        <v>129</v>
      </c>
    </row>
    <row r="2" ht="12.75">
      <c r="A2" t="s">
        <v>130</v>
      </c>
    </row>
    <row r="3" ht="12.75">
      <c r="A3" t="s">
        <v>134</v>
      </c>
    </row>
    <row r="5" spans="2:17" s="67" customFormat="1" ht="12.75">
      <c r="B5" s="68" t="s">
        <v>123</v>
      </c>
      <c r="C5" s="69"/>
      <c r="D5" s="68" t="s">
        <v>124</v>
      </c>
      <c r="E5" s="69"/>
      <c r="F5" s="68" t="s">
        <v>125</v>
      </c>
      <c r="G5" s="69"/>
      <c r="H5" s="69">
        <v>573735</v>
      </c>
      <c r="I5" s="69"/>
      <c r="J5" s="68" t="s">
        <v>126</v>
      </c>
      <c r="K5" s="69"/>
      <c r="L5" s="68" t="s">
        <v>127</v>
      </c>
      <c r="M5" s="69"/>
      <c r="N5" s="69">
        <v>580745</v>
      </c>
      <c r="O5" s="69"/>
      <c r="P5" s="69" t="s">
        <v>106</v>
      </c>
      <c r="Q5" s="69"/>
    </row>
    <row r="6" spans="2:17" s="67" customFormat="1" ht="12.75">
      <c r="B6" s="69" t="s">
        <v>149</v>
      </c>
      <c r="C6" s="69"/>
      <c r="D6" s="69" t="s">
        <v>150</v>
      </c>
      <c r="E6" s="69"/>
      <c r="F6" s="69" t="s">
        <v>151</v>
      </c>
      <c r="G6" s="69"/>
      <c r="H6" s="69" t="s">
        <v>152</v>
      </c>
      <c r="I6" s="69"/>
      <c r="J6" s="69" t="s">
        <v>153</v>
      </c>
      <c r="K6" s="69"/>
      <c r="L6" s="69" t="s">
        <v>154</v>
      </c>
      <c r="M6" s="69"/>
      <c r="N6" s="69" t="s">
        <v>155</v>
      </c>
      <c r="O6" s="69"/>
      <c r="P6" s="69"/>
      <c r="Q6" s="69"/>
    </row>
    <row r="7" spans="2:17" ht="12.75">
      <c r="B7" s="1" t="s">
        <v>128</v>
      </c>
      <c r="C7" s="27" t="s">
        <v>16</v>
      </c>
      <c r="D7" s="1" t="s">
        <v>128</v>
      </c>
      <c r="E7" s="27" t="s">
        <v>16</v>
      </c>
      <c r="F7" s="1" t="s">
        <v>128</v>
      </c>
      <c r="G7" s="27" t="s">
        <v>16</v>
      </c>
      <c r="H7" s="1" t="s">
        <v>128</v>
      </c>
      <c r="I7" s="27" t="s">
        <v>16</v>
      </c>
      <c r="J7" s="1" t="s">
        <v>128</v>
      </c>
      <c r="K7" s="27" t="s">
        <v>16</v>
      </c>
      <c r="L7" s="1" t="s">
        <v>128</v>
      </c>
      <c r="M7" s="27" t="s">
        <v>16</v>
      </c>
      <c r="N7" s="1" t="s">
        <v>128</v>
      </c>
      <c r="O7" s="27" t="s">
        <v>16</v>
      </c>
      <c r="P7" s="1" t="s">
        <v>128</v>
      </c>
      <c r="Q7" s="27" t="s">
        <v>16</v>
      </c>
    </row>
    <row r="9" spans="1:17" ht="12.75">
      <c r="A9" t="s">
        <v>14</v>
      </c>
      <c r="L9" s="1">
        <v>21.69</v>
      </c>
      <c r="M9" s="27">
        <v>402</v>
      </c>
      <c r="P9" s="1">
        <f>B9+D9+F9+H9+J9+L9+N9</f>
        <v>21.69</v>
      </c>
      <c r="Q9" s="27">
        <f>C9+E9+G9+I9+K9+M9+O9</f>
        <v>402</v>
      </c>
    </row>
    <row r="10" spans="1:17" ht="12.75">
      <c r="A10" t="s">
        <v>3</v>
      </c>
      <c r="L10" s="1">
        <v>25.49</v>
      </c>
      <c r="M10" s="27">
        <v>402</v>
      </c>
      <c r="P10" s="1">
        <f>B10+D10+F10+H10+J10+L10+N10</f>
        <v>25.49</v>
      </c>
      <c r="Q10" s="27">
        <f>C10+E10+G10+I10+K10+M10+O10</f>
        <v>402</v>
      </c>
    </row>
    <row r="11" spans="1:17" ht="12.75">
      <c r="A11" t="s">
        <v>4</v>
      </c>
      <c r="L11" s="1">
        <v>19.55</v>
      </c>
      <c r="M11" s="27">
        <v>402</v>
      </c>
      <c r="P11" s="1">
        <f aca="true" t="shared" si="0" ref="P11:P21">B11+D11+F11+H11+J11+L11+N11</f>
        <v>19.55</v>
      </c>
      <c r="Q11" s="27">
        <f aca="true" t="shared" si="1" ref="Q11:Q21">C11+E11+G11+I11+K11+M11+O11</f>
        <v>402</v>
      </c>
    </row>
    <row r="12" spans="1:17" ht="12.75">
      <c r="A12" t="s">
        <v>5</v>
      </c>
      <c r="L12" s="1">
        <v>33.96</v>
      </c>
      <c r="M12" s="27">
        <v>402</v>
      </c>
      <c r="P12" s="1">
        <f t="shared" si="0"/>
        <v>33.96</v>
      </c>
      <c r="Q12" s="27">
        <f t="shared" si="1"/>
        <v>402</v>
      </c>
    </row>
    <row r="13" spans="1:17" ht="12.75">
      <c r="A13" t="s">
        <v>6</v>
      </c>
      <c r="L13" s="1">
        <v>0</v>
      </c>
      <c r="M13" s="27">
        <v>0</v>
      </c>
      <c r="P13" s="1">
        <f t="shared" si="0"/>
        <v>0</v>
      </c>
      <c r="Q13" s="27">
        <f t="shared" si="1"/>
        <v>0</v>
      </c>
    </row>
    <row r="14" spans="1:17" ht="12.75">
      <c r="A14" t="s">
        <v>7</v>
      </c>
      <c r="L14" s="1">
        <v>65.75</v>
      </c>
      <c r="M14" s="27">
        <v>771</v>
      </c>
      <c r="P14" s="1">
        <f t="shared" si="0"/>
        <v>65.75</v>
      </c>
      <c r="Q14" s="27">
        <f t="shared" si="1"/>
        <v>771</v>
      </c>
    </row>
    <row r="15" spans="1:17" ht="12.75">
      <c r="A15" t="s">
        <v>8</v>
      </c>
      <c r="L15" s="1">
        <v>9.26</v>
      </c>
      <c r="M15" s="27">
        <v>191</v>
      </c>
      <c r="P15" s="1">
        <f t="shared" si="0"/>
        <v>9.26</v>
      </c>
      <c r="Q15" s="27">
        <f t="shared" si="1"/>
        <v>191</v>
      </c>
    </row>
    <row r="16" spans="1:17" ht="12.75">
      <c r="A16" t="s">
        <v>9</v>
      </c>
      <c r="P16" s="1">
        <f t="shared" si="0"/>
        <v>0</v>
      </c>
      <c r="Q16" s="27">
        <f t="shared" si="1"/>
        <v>0</v>
      </c>
    </row>
    <row r="17" spans="1:17" ht="12.75">
      <c r="A17" t="s">
        <v>10</v>
      </c>
      <c r="P17" s="1">
        <f t="shared" si="0"/>
        <v>0</v>
      </c>
      <c r="Q17" s="27">
        <f t="shared" si="1"/>
        <v>0</v>
      </c>
    </row>
    <row r="18" spans="1:17" ht="12.75">
      <c r="A18" t="s">
        <v>11</v>
      </c>
      <c r="P18" s="1">
        <f t="shared" si="0"/>
        <v>0</v>
      </c>
      <c r="Q18" s="27">
        <f t="shared" si="1"/>
        <v>0</v>
      </c>
    </row>
    <row r="19" spans="1:17" ht="12.75">
      <c r="A19" t="s">
        <v>12</v>
      </c>
      <c r="P19" s="1">
        <f t="shared" si="0"/>
        <v>0</v>
      </c>
      <c r="Q19" s="27">
        <f t="shared" si="1"/>
        <v>0</v>
      </c>
    </row>
    <row r="20" spans="1:17" ht="12.75">
      <c r="A20" t="s">
        <v>13</v>
      </c>
      <c r="P20" s="1">
        <f t="shared" si="0"/>
        <v>0</v>
      </c>
      <c r="Q20" s="27">
        <f t="shared" si="1"/>
        <v>0</v>
      </c>
    </row>
    <row r="21" spans="1:17" ht="12.75">
      <c r="A21" t="s">
        <v>14</v>
      </c>
      <c r="P21" s="1">
        <f t="shared" si="0"/>
        <v>0</v>
      </c>
      <c r="Q21" s="27">
        <f t="shared" si="1"/>
        <v>0</v>
      </c>
    </row>
    <row r="23" spans="2:17" ht="12.75">
      <c r="B23" s="1">
        <f aca="true" t="shared" si="2" ref="B23:Q23">SUM(B9:B21)</f>
        <v>0</v>
      </c>
      <c r="C23" s="27">
        <f t="shared" si="2"/>
        <v>0</v>
      </c>
      <c r="D23" s="1">
        <f t="shared" si="2"/>
        <v>0</v>
      </c>
      <c r="E23" s="27">
        <f t="shared" si="2"/>
        <v>0</v>
      </c>
      <c r="F23" s="1">
        <f t="shared" si="2"/>
        <v>0</v>
      </c>
      <c r="G23" s="27">
        <f t="shared" si="2"/>
        <v>0</v>
      </c>
      <c r="H23" s="1">
        <f t="shared" si="2"/>
        <v>0</v>
      </c>
      <c r="I23" s="27">
        <f t="shared" si="2"/>
        <v>0</v>
      </c>
      <c r="J23" s="1">
        <f t="shared" si="2"/>
        <v>0</v>
      </c>
      <c r="K23" s="27">
        <f t="shared" si="2"/>
        <v>0</v>
      </c>
      <c r="L23" s="1">
        <f t="shared" si="2"/>
        <v>175.7</v>
      </c>
      <c r="M23" s="27">
        <f t="shared" si="2"/>
        <v>2570</v>
      </c>
      <c r="N23" s="1">
        <f t="shared" si="2"/>
        <v>0</v>
      </c>
      <c r="O23" s="27">
        <f t="shared" si="2"/>
        <v>0</v>
      </c>
      <c r="P23" s="1">
        <f t="shared" si="2"/>
        <v>175.7</v>
      </c>
      <c r="Q23" s="27">
        <f t="shared" si="2"/>
        <v>2570</v>
      </c>
    </row>
    <row r="25" spans="16:17" ht="12.75">
      <c r="P25" s="1">
        <v>154.01</v>
      </c>
      <c r="Q25" s="27">
        <v>2168</v>
      </c>
    </row>
    <row r="27" spans="16:17" ht="12.75">
      <c r="P27" s="1">
        <f>P23-P25</f>
        <v>21.689999999999998</v>
      </c>
      <c r="Q27" s="27">
        <f>Q23-Q25</f>
        <v>402</v>
      </c>
    </row>
    <row r="43" ht="12.75">
      <c r="A43" s="66" t="s">
        <v>122</v>
      </c>
    </row>
    <row r="44" ht="12.75">
      <c r="A44" t="s">
        <v>132</v>
      </c>
    </row>
    <row r="45" ht="12.75">
      <c r="A45" t="s">
        <v>135</v>
      </c>
    </row>
    <row r="47" spans="2:17" s="67" customFormat="1" ht="12.75">
      <c r="B47" s="68" t="s">
        <v>123</v>
      </c>
      <c r="C47" s="69"/>
      <c r="D47" s="68" t="s">
        <v>124</v>
      </c>
      <c r="E47" s="69"/>
      <c r="F47" s="68" t="s">
        <v>125</v>
      </c>
      <c r="G47" s="69"/>
      <c r="H47" s="69">
        <v>573735</v>
      </c>
      <c r="I47" s="69"/>
      <c r="J47" s="68" t="s">
        <v>126</v>
      </c>
      <c r="K47" s="69"/>
      <c r="L47" s="68" t="s">
        <v>127</v>
      </c>
      <c r="M47" s="69"/>
      <c r="N47" s="69">
        <v>580745</v>
      </c>
      <c r="O47" s="69"/>
      <c r="P47" s="69" t="s">
        <v>106</v>
      </c>
      <c r="Q47" s="69"/>
    </row>
    <row r="48" spans="2:17" s="67" customFormat="1" ht="12.75">
      <c r="B48" s="69" t="s">
        <v>149</v>
      </c>
      <c r="C48" s="69"/>
      <c r="D48" s="69" t="s">
        <v>150</v>
      </c>
      <c r="E48" s="69"/>
      <c r="F48" s="69" t="s">
        <v>151</v>
      </c>
      <c r="G48" s="69"/>
      <c r="H48" s="69" t="s">
        <v>152</v>
      </c>
      <c r="I48" s="69"/>
      <c r="J48" s="69" t="s">
        <v>153</v>
      </c>
      <c r="K48" s="69"/>
      <c r="L48" s="69" t="s">
        <v>154</v>
      </c>
      <c r="M48" s="69"/>
      <c r="N48" s="69" t="s">
        <v>155</v>
      </c>
      <c r="O48" s="69"/>
      <c r="P48" s="69"/>
      <c r="Q48" s="69"/>
    </row>
    <row r="49" spans="2:17" ht="12.75">
      <c r="B49" s="1" t="s">
        <v>128</v>
      </c>
      <c r="C49" s="27" t="s">
        <v>16</v>
      </c>
      <c r="D49" s="1" t="s">
        <v>128</v>
      </c>
      <c r="E49" s="27" t="s">
        <v>16</v>
      </c>
      <c r="F49" s="1" t="s">
        <v>128</v>
      </c>
      <c r="G49" s="27" t="s">
        <v>16</v>
      </c>
      <c r="H49" s="1" t="s">
        <v>128</v>
      </c>
      <c r="I49" s="27" t="s">
        <v>16</v>
      </c>
      <c r="J49" s="1" t="s">
        <v>128</v>
      </c>
      <c r="K49" s="27" t="s">
        <v>16</v>
      </c>
      <c r="L49" s="1" t="s">
        <v>128</v>
      </c>
      <c r="M49" s="27" t="s">
        <v>16</v>
      </c>
      <c r="N49" s="1" t="s">
        <v>128</v>
      </c>
      <c r="O49" s="27" t="s">
        <v>16</v>
      </c>
      <c r="P49" s="1" t="s">
        <v>128</v>
      </c>
      <c r="Q49" s="27" t="s">
        <v>16</v>
      </c>
    </row>
    <row r="51" spans="1:17" ht="12.75">
      <c r="A51" t="s">
        <v>14</v>
      </c>
      <c r="B51" s="1">
        <v>169004.49</v>
      </c>
      <c r="C51" s="27">
        <v>2878452</v>
      </c>
      <c r="D51" s="1">
        <v>220.3</v>
      </c>
      <c r="E51" s="27">
        <v>3270</v>
      </c>
      <c r="F51" s="1">
        <v>35322.63</v>
      </c>
      <c r="G51" s="27">
        <v>593691</v>
      </c>
      <c r="J51" s="1">
        <v>564.8</v>
      </c>
      <c r="K51" s="27">
        <v>9310</v>
      </c>
      <c r="L51" s="1">
        <v>768.94</v>
      </c>
      <c r="M51" s="27">
        <v>14319</v>
      </c>
      <c r="P51" s="1">
        <f>B51+D51+F51+H51+J51+L51+N51</f>
        <v>205881.15999999997</v>
      </c>
      <c r="Q51" s="27">
        <f>C51+E51+G51+I51+K51+M51+O51</f>
        <v>3499042</v>
      </c>
    </row>
    <row r="52" spans="1:17" ht="12.75">
      <c r="A52" t="s">
        <v>3</v>
      </c>
      <c r="B52" s="1">
        <v>304069.84</v>
      </c>
      <c r="C52" s="27">
        <v>5493015</v>
      </c>
      <c r="D52" s="1">
        <v>1629.84</v>
      </c>
      <c r="E52" s="27">
        <v>29442</v>
      </c>
      <c r="F52" s="1">
        <v>95987.94</v>
      </c>
      <c r="G52" s="27">
        <v>1722303</v>
      </c>
      <c r="J52" s="1">
        <v>1897.37</v>
      </c>
      <c r="K52" s="27">
        <v>33693</v>
      </c>
      <c r="L52" s="1">
        <v>5511.58</v>
      </c>
      <c r="M52" s="27">
        <v>97941</v>
      </c>
      <c r="P52" s="1">
        <f>B52+D52+F52+H52+J52+L52+N52</f>
        <v>409096.57000000007</v>
      </c>
      <c r="Q52" s="27">
        <f>C52+E52+G52+I52+K52+M52+O52</f>
        <v>7376394</v>
      </c>
    </row>
    <row r="53" spans="1:17" ht="12.75">
      <c r="A53" t="s">
        <v>4</v>
      </c>
      <c r="B53" s="1">
        <v>94917.78</v>
      </c>
      <c r="C53" s="27">
        <v>1712499</v>
      </c>
      <c r="D53" s="1">
        <v>83.75</v>
      </c>
      <c r="E53" s="27">
        <v>1510</v>
      </c>
      <c r="F53" s="1">
        <v>14346.01</v>
      </c>
      <c r="G53" s="27">
        <v>261447</v>
      </c>
      <c r="J53" s="1">
        <v>368.43</v>
      </c>
      <c r="K53" s="27">
        <v>6791</v>
      </c>
      <c r="L53" s="1">
        <v>3473.42</v>
      </c>
      <c r="M53" s="27">
        <v>60839</v>
      </c>
      <c r="P53" s="1">
        <f aca="true" t="shared" si="3" ref="P53:P63">B53+D53+F53+H53+J53+L53+N53</f>
        <v>113189.38999999998</v>
      </c>
      <c r="Q53" s="27">
        <f aca="true" t="shared" si="4" ref="Q53:Q63">C53+E53+G53+I53+K53+M53+O53</f>
        <v>2043086</v>
      </c>
    </row>
    <row r="54" spans="1:17" ht="12.75">
      <c r="A54" t="s">
        <v>5</v>
      </c>
      <c r="B54" s="1">
        <v>283784.5</v>
      </c>
      <c r="C54" s="27">
        <v>4677958</v>
      </c>
      <c r="D54" s="1">
        <v>669.42</v>
      </c>
      <c r="E54" s="27">
        <v>11011</v>
      </c>
      <c r="F54" s="1">
        <v>94857.26</v>
      </c>
      <c r="G54" s="27">
        <v>1562283</v>
      </c>
      <c r="J54" s="1">
        <v>2083.21</v>
      </c>
      <c r="K54" s="27">
        <v>34197</v>
      </c>
      <c r="L54" s="1">
        <v>14534.15</v>
      </c>
      <c r="M54" s="27">
        <v>239665</v>
      </c>
      <c r="P54" s="1">
        <f t="shared" si="3"/>
        <v>395928.54000000004</v>
      </c>
      <c r="Q54" s="27">
        <f t="shared" si="4"/>
        <v>6525114</v>
      </c>
    </row>
    <row r="55" spans="1:17" ht="12.75">
      <c r="A55" t="s">
        <v>6</v>
      </c>
      <c r="B55" s="1">
        <v>264474.56</v>
      </c>
      <c r="C55" s="27">
        <v>3163111</v>
      </c>
      <c r="D55" s="1">
        <v>1902.88</v>
      </c>
      <c r="E55" s="27">
        <v>23438</v>
      </c>
      <c r="F55" s="1">
        <v>54773.58</v>
      </c>
      <c r="G55" s="27">
        <v>655798</v>
      </c>
      <c r="J55" s="1">
        <v>1258.5</v>
      </c>
      <c r="K55" s="27">
        <v>14689</v>
      </c>
      <c r="L55" s="1">
        <v>17831.04</v>
      </c>
      <c r="M55" s="27">
        <v>226039</v>
      </c>
      <c r="P55" s="1">
        <f t="shared" si="3"/>
        <v>340240.56</v>
      </c>
      <c r="Q55" s="27">
        <f t="shared" si="4"/>
        <v>4083075</v>
      </c>
    </row>
    <row r="56" spans="1:17" ht="12.75">
      <c r="A56" t="s">
        <v>7</v>
      </c>
      <c r="B56" s="1">
        <v>480373.24</v>
      </c>
      <c r="C56" s="27">
        <v>5547372</v>
      </c>
      <c r="D56" s="1">
        <v>2065.87</v>
      </c>
      <c r="E56" s="27">
        <v>26255</v>
      </c>
      <c r="F56" s="1">
        <v>151592.39</v>
      </c>
      <c r="G56" s="27">
        <v>1743037</v>
      </c>
      <c r="J56" s="1">
        <v>3570.41</v>
      </c>
      <c r="K56" s="27">
        <v>40380</v>
      </c>
      <c r="L56" s="1">
        <v>32016.44</v>
      </c>
      <c r="M56" s="27">
        <v>373816</v>
      </c>
      <c r="P56" s="1">
        <f t="shared" si="3"/>
        <v>669618.35</v>
      </c>
      <c r="Q56" s="27">
        <f t="shared" si="4"/>
        <v>7730860</v>
      </c>
    </row>
    <row r="57" spans="1:17" ht="12.75">
      <c r="A57" t="s">
        <v>8</v>
      </c>
      <c r="B57" s="1">
        <v>148449.87</v>
      </c>
      <c r="C57" s="27">
        <v>2257942</v>
      </c>
      <c r="D57" s="1">
        <v>372.4</v>
      </c>
      <c r="E57" s="27">
        <v>5396</v>
      </c>
      <c r="F57" s="1">
        <v>32168.59</v>
      </c>
      <c r="G57" s="27">
        <v>485718</v>
      </c>
      <c r="J57" s="1">
        <v>959.56</v>
      </c>
      <c r="K57" s="27">
        <v>14312</v>
      </c>
      <c r="L57" s="1">
        <v>6895.96</v>
      </c>
      <c r="M57" s="27">
        <v>105687</v>
      </c>
      <c r="P57" s="1">
        <f t="shared" si="3"/>
        <v>188846.37999999998</v>
      </c>
      <c r="Q57" s="27">
        <f t="shared" si="4"/>
        <v>2869055</v>
      </c>
    </row>
    <row r="58" spans="1:17" ht="12.75">
      <c r="A58" t="s">
        <v>9</v>
      </c>
      <c r="P58" s="1">
        <f t="shared" si="3"/>
        <v>0</v>
      </c>
      <c r="Q58" s="27">
        <f t="shared" si="4"/>
        <v>0</v>
      </c>
    </row>
    <row r="59" spans="1:17" ht="12.75">
      <c r="A59" t="s">
        <v>10</v>
      </c>
      <c r="P59" s="1">
        <f t="shared" si="3"/>
        <v>0</v>
      </c>
      <c r="Q59" s="27">
        <f t="shared" si="4"/>
        <v>0</v>
      </c>
    </row>
    <row r="60" spans="1:17" ht="12.75">
      <c r="A60" t="s">
        <v>11</v>
      </c>
      <c r="P60" s="1">
        <f t="shared" si="3"/>
        <v>0</v>
      </c>
      <c r="Q60" s="27">
        <f t="shared" si="4"/>
        <v>0</v>
      </c>
    </row>
    <row r="61" spans="1:17" ht="12.75">
      <c r="A61" t="s">
        <v>12</v>
      </c>
      <c r="P61" s="1">
        <f t="shared" si="3"/>
        <v>0</v>
      </c>
      <c r="Q61" s="27">
        <f t="shared" si="4"/>
        <v>0</v>
      </c>
    </row>
    <row r="62" spans="1:17" ht="12.75">
      <c r="A62" t="s">
        <v>13</v>
      </c>
      <c r="P62" s="1">
        <f t="shared" si="3"/>
        <v>0</v>
      </c>
      <c r="Q62" s="27">
        <f t="shared" si="4"/>
        <v>0</v>
      </c>
    </row>
    <row r="63" spans="1:17" ht="12.75">
      <c r="A63" t="s">
        <v>14</v>
      </c>
      <c r="P63" s="1">
        <f t="shared" si="3"/>
        <v>0</v>
      </c>
      <c r="Q63" s="27">
        <f t="shared" si="4"/>
        <v>0</v>
      </c>
    </row>
    <row r="65" spans="2:17" ht="12.75">
      <c r="B65" s="1">
        <f aca="true" t="shared" si="5" ref="B65:Q65">SUM(B51:B63)</f>
        <v>1745074.2799999998</v>
      </c>
      <c r="C65" s="27">
        <f t="shared" si="5"/>
        <v>25730349</v>
      </c>
      <c r="D65" s="1">
        <f t="shared" si="5"/>
        <v>6944.46</v>
      </c>
      <c r="E65" s="27">
        <f t="shared" si="5"/>
        <v>100322</v>
      </c>
      <c r="F65" s="1">
        <f t="shared" si="5"/>
        <v>479048.4000000001</v>
      </c>
      <c r="G65" s="27">
        <f t="shared" si="5"/>
        <v>7024277</v>
      </c>
      <c r="H65" s="1">
        <f t="shared" si="5"/>
        <v>0</v>
      </c>
      <c r="I65" s="27">
        <f t="shared" si="5"/>
        <v>0</v>
      </c>
      <c r="J65" s="1">
        <f t="shared" si="5"/>
        <v>10702.279999999999</v>
      </c>
      <c r="K65" s="27">
        <f t="shared" si="5"/>
        <v>153372</v>
      </c>
      <c r="L65" s="1">
        <f t="shared" si="5"/>
        <v>81031.53000000001</v>
      </c>
      <c r="M65" s="27">
        <f t="shared" si="5"/>
        <v>1118306</v>
      </c>
      <c r="N65" s="1">
        <f t="shared" si="5"/>
        <v>0</v>
      </c>
      <c r="O65" s="27">
        <f t="shared" si="5"/>
        <v>0</v>
      </c>
      <c r="P65" s="1">
        <f t="shared" si="5"/>
        <v>2322800.95</v>
      </c>
      <c r="Q65" s="27">
        <f t="shared" si="5"/>
        <v>34126626</v>
      </c>
    </row>
    <row r="67" spans="16:17" ht="12.75">
      <c r="P67" s="1">
        <f>2116919.79</f>
        <v>2116919.79</v>
      </c>
      <c r="Q67" s="27">
        <f>7376395+2043086+6525114+4083074+7730859+2869054</f>
        <v>30627582</v>
      </c>
    </row>
    <row r="69" spans="16:17" ht="12.75">
      <c r="P69" s="1">
        <f>P65-P67</f>
        <v>205881.16000000015</v>
      </c>
      <c r="Q69" s="27">
        <f>Q65-Q67</f>
        <v>3499044</v>
      </c>
    </row>
    <row r="85" ht="12.75">
      <c r="A85" s="66" t="s">
        <v>131</v>
      </c>
    </row>
    <row r="86" ht="12.75">
      <c r="A86" t="s">
        <v>133</v>
      </c>
    </row>
    <row r="87" ht="12.75">
      <c r="A87" t="s">
        <v>136</v>
      </c>
    </row>
    <row r="89" spans="2:17" s="67" customFormat="1" ht="12.75">
      <c r="B89" s="68" t="s">
        <v>123</v>
      </c>
      <c r="C89" s="69"/>
      <c r="D89" s="68" t="s">
        <v>124</v>
      </c>
      <c r="E89" s="69"/>
      <c r="F89" s="68" t="s">
        <v>125</v>
      </c>
      <c r="G89" s="69"/>
      <c r="H89" s="69">
        <v>573735</v>
      </c>
      <c r="I89" s="69"/>
      <c r="J89" s="68" t="s">
        <v>126</v>
      </c>
      <c r="K89" s="69"/>
      <c r="L89" s="68" t="s">
        <v>127</v>
      </c>
      <c r="M89" s="69"/>
      <c r="N89" s="69">
        <v>580745</v>
      </c>
      <c r="O89" s="69"/>
      <c r="P89" s="69" t="s">
        <v>106</v>
      </c>
      <c r="Q89" s="69"/>
    </row>
    <row r="90" spans="2:17" s="67" customFormat="1" ht="12.75">
      <c r="B90" s="69" t="s">
        <v>149</v>
      </c>
      <c r="C90" s="69"/>
      <c r="D90" s="69" t="s">
        <v>150</v>
      </c>
      <c r="E90" s="69"/>
      <c r="F90" s="69" t="s">
        <v>151</v>
      </c>
      <c r="G90" s="69"/>
      <c r="H90" s="69" t="s">
        <v>152</v>
      </c>
      <c r="I90" s="69"/>
      <c r="J90" s="69" t="s">
        <v>153</v>
      </c>
      <c r="K90" s="69"/>
      <c r="L90" s="69" t="s">
        <v>154</v>
      </c>
      <c r="M90" s="69"/>
      <c r="N90" s="69" t="s">
        <v>155</v>
      </c>
      <c r="O90" s="69"/>
      <c r="P90" s="69"/>
      <c r="Q90" s="69"/>
    </row>
    <row r="91" spans="2:17" ht="12.75">
      <c r="B91" s="1" t="s">
        <v>128</v>
      </c>
      <c r="C91" s="27" t="s">
        <v>16</v>
      </c>
      <c r="D91" s="1" t="s">
        <v>128</v>
      </c>
      <c r="E91" s="27" t="s">
        <v>16</v>
      </c>
      <c r="F91" s="1" t="s">
        <v>128</v>
      </c>
      <c r="G91" s="27" t="s">
        <v>16</v>
      </c>
      <c r="H91" s="1" t="s">
        <v>128</v>
      </c>
      <c r="I91" s="27" t="s">
        <v>16</v>
      </c>
      <c r="J91" s="1" t="s">
        <v>128</v>
      </c>
      <c r="K91" s="27" t="s">
        <v>16</v>
      </c>
      <c r="L91" s="1" t="s">
        <v>128</v>
      </c>
      <c r="M91" s="27" t="s">
        <v>16</v>
      </c>
      <c r="N91" s="1" t="s">
        <v>128</v>
      </c>
      <c r="O91" s="27" t="s">
        <v>16</v>
      </c>
      <c r="P91" s="1" t="s">
        <v>128</v>
      </c>
      <c r="Q91" s="27" t="s">
        <v>16</v>
      </c>
    </row>
    <row r="93" spans="1:17" ht="12.75">
      <c r="A93" t="s">
        <v>14</v>
      </c>
      <c r="B93" s="1">
        <v>71867.15</v>
      </c>
      <c r="C93" s="27">
        <v>1362135</v>
      </c>
      <c r="D93" s="1">
        <v>7364.37</v>
      </c>
      <c r="E93" s="27">
        <v>140472</v>
      </c>
      <c r="F93" s="1">
        <v>190.74</v>
      </c>
      <c r="G93" s="27">
        <v>3560</v>
      </c>
      <c r="J93" s="1">
        <v>2609.55</v>
      </c>
      <c r="K93" s="27">
        <v>49048</v>
      </c>
      <c r="L93" s="1">
        <v>28166.28</v>
      </c>
      <c r="M93" s="27">
        <v>534030</v>
      </c>
      <c r="N93" s="1">
        <v>1706.05</v>
      </c>
      <c r="O93" s="27">
        <v>32935</v>
      </c>
      <c r="P93" s="1">
        <f>B93+D93+F93+H93+J93+L93+N93</f>
        <v>111904.14</v>
      </c>
      <c r="Q93" s="27">
        <f>C93+E93+G93+I93+K93+M93+O93</f>
        <v>2122180</v>
      </c>
    </row>
    <row r="94" spans="1:17" ht="12.75">
      <c r="A94" t="s">
        <v>3</v>
      </c>
      <c r="B94" s="1">
        <v>97717.85</v>
      </c>
      <c r="C94" s="27">
        <v>1505839</v>
      </c>
      <c r="D94" s="1">
        <v>11478.61</v>
      </c>
      <c r="E94" s="27">
        <v>174972</v>
      </c>
      <c r="F94" s="1">
        <v>237.36</v>
      </c>
      <c r="G94" s="27">
        <v>3695</v>
      </c>
      <c r="J94" s="1">
        <v>3556.47</v>
      </c>
      <c r="K94" s="27">
        <v>55178</v>
      </c>
      <c r="L94" s="1">
        <v>52049.58</v>
      </c>
      <c r="M94" s="27">
        <v>800511</v>
      </c>
      <c r="N94" s="1">
        <v>1882.57</v>
      </c>
      <c r="O94" s="27">
        <v>28258</v>
      </c>
      <c r="P94" s="1">
        <f>B94+D94+F94+H94+J94+L94+N94</f>
        <v>166922.44</v>
      </c>
      <c r="Q94" s="27">
        <f>C94+E94+G94+I94+K94+M94+O94</f>
        <v>2568453</v>
      </c>
    </row>
    <row r="95" spans="1:17" ht="12.75">
      <c r="A95" t="s">
        <v>4</v>
      </c>
      <c r="B95" s="1">
        <v>75963.32</v>
      </c>
      <c r="C95" s="27">
        <v>1556404</v>
      </c>
      <c r="D95" s="1">
        <v>13004.35</v>
      </c>
      <c r="E95" s="27">
        <v>263745</v>
      </c>
      <c r="F95" s="1">
        <v>652.04</v>
      </c>
      <c r="G95" s="27">
        <v>13516</v>
      </c>
      <c r="J95" s="1">
        <v>3068</v>
      </c>
      <c r="K95" s="27">
        <v>63174</v>
      </c>
      <c r="L95" s="1">
        <v>53737.6</v>
      </c>
      <c r="M95" s="27">
        <v>1071854</v>
      </c>
      <c r="N95" s="1">
        <v>2766.97</v>
      </c>
      <c r="O95" s="27">
        <v>50593</v>
      </c>
      <c r="P95" s="1">
        <f aca="true" t="shared" si="6" ref="P95:P105">B95+D95+F95+H95+J95+L95+N95</f>
        <v>149192.28</v>
      </c>
      <c r="Q95" s="27">
        <f aca="true" t="shared" si="7" ref="Q95:Q105">C95+E95+G95+I95+K95+M95+O95</f>
        <v>3019286</v>
      </c>
    </row>
    <row r="96" spans="1:17" ht="12.75">
      <c r="A96" t="s">
        <v>5</v>
      </c>
      <c r="B96" s="1">
        <v>21413.29</v>
      </c>
      <c r="C96" s="27">
        <v>270257</v>
      </c>
      <c r="D96" s="1">
        <v>2351.27</v>
      </c>
      <c r="E96" s="27">
        <v>29541</v>
      </c>
      <c r="F96" s="1">
        <v>76.38</v>
      </c>
      <c r="G96" s="27">
        <v>905</v>
      </c>
      <c r="J96" s="1">
        <v>1646.12</v>
      </c>
      <c r="K96" s="27">
        <v>19504</v>
      </c>
      <c r="L96" s="1">
        <v>13838.41</v>
      </c>
      <c r="M96" s="27">
        <v>166181</v>
      </c>
      <c r="N96" s="1">
        <v>0</v>
      </c>
      <c r="O96" s="27">
        <v>0</v>
      </c>
      <c r="P96" s="1">
        <f t="shared" si="6"/>
        <v>39325.47</v>
      </c>
      <c r="Q96" s="27">
        <f t="shared" si="7"/>
        <v>486388</v>
      </c>
    </row>
    <row r="97" spans="1:17" ht="12.75">
      <c r="A97" t="s">
        <v>6</v>
      </c>
      <c r="B97" s="1">
        <v>103612.18</v>
      </c>
      <c r="C97" s="27">
        <v>1237367</v>
      </c>
      <c r="D97" s="1">
        <v>18175.78</v>
      </c>
      <c r="E97" s="27">
        <v>217371</v>
      </c>
      <c r="F97" s="1">
        <v>1039.03</v>
      </c>
      <c r="G97" s="27">
        <v>12282</v>
      </c>
      <c r="J97" s="1">
        <v>3007.3</v>
      </c>
      <c r="K97" s="27">
        <v>35716</v>
      </c>
      <c r="L97" s="1">
        <v>67139.49</v>
      </c>
      <c r="M97" s="27">
        <v>791447</v>
      </c>
      <c r="N97" s="1">
        <v>2206.02</v>
      </c>
      <c r="O97" s="27">
        <v>27088</v>
      </c>
      <c r="P97" s="1">
        <f t="shared" si="6"/>
        <v>195179.8</v>
      </c>
      <c r="Q97" s="27">
        <f t="shared" si="7"/>
        <v>2321271</v>
      </c>
    </row>
    <row r="98" spans="1:17" ht="12.75">
      <c r="A98" t="s">
        <v>7</v>
      </c>
      <c r="B98" s="1">
        <v>234154.83</v>
      </c>
      <c r="C98" s="27">
        <v>2834115</v>
      </c>
      <c r="D98" s="1">
        <v>32800.96</v>
      </c>
      <c r="E98" s="27">
        <v>396567</v>
      </c>
      <c r="F98" s="1">
        <v>2000.31</v>
      </c>
      <c r="G98" s="27">
        <v>23726</v>
      </c>
      <c r="J98" s="1">
        <v>10131.08</v>
      </c>
      <c r="K98" s="27">
        <v>124262</v>
      </c>
      <c r="L98" s="1">
        <v>149021.33</v>
      </c>
      <c r="M98" s="27">
        <v>1815831</v>
      </c>
      <c r="N98" s="1">
        <v>1238.5</v>
      </c>
      <c r="O98" s="27">
        <v>14998</v>
      </c>
      <c r="P98" s="1">
        <f t="shared" si="6"/>
        <v>429347.01</v>
      </c>
      <c r="Q98" s="27">
        <f t="shared" si="7"/>
        <v>5209499</v>
      </c>
    </row>
    <row r="99" spans="1:17" ht="12.75">
      <c r="A99" t="s">
        <v>8</v>
      </c>
      <c r="B99" s="1">
        <v>28575.09</v>
      </c>
      <c r="C99" s="27">
        <v>577208</v>
      </c>
      <c r="D99" s="1">
        <v>4831.81</v>
      </c>
      <c r="E99" s="27">
        <v>100164</v>
      </c>
      <c r="F99" s="1">
        <v>336.36</v>
      </c>
      <c r="G99" s="27">
        <v>6988</v>
      </c>
      <c r="J99" s="1">
        <v>2763.45</v>
      </c>
      <c r="K99" s="27">
        <v>57439</v>
      </c>
      <c r="L99" s="1">
        <v>22105.31</v>
      </c>
      <c r="M99" s="27">
        <v>449536</v>
      </c>
      <c r="N99" s="1">
        <v>2578.65</v>
      </c>
      <c r="O99" s="27">
        <v>28663</v>
      </c>
      <c r="P99" s="1">
        <f t="shared" si="6"/>
        <v>61190.670000000006</v>
      </c>
      <c r="Q99" s="27">
        <f t="shared" si="7"/>
        <v>1219998</v>
      </c>
    </row>
    <row r="100" spans="1:17" ht="12.75">
      <c r="A100" t="s">
        <v>9</v>
      </c>
      <c r="P100" s="1">
        <f t="shared" si="6"/>
        <v>0</v>
      </c>
      <c r="Q100" s="27">
        <f t="shared" si="7"/>
        <v>0</v>
      </c>
    </row>
    <row r="101" spans="1:17" ht="12.75">
      <c r="A101" t="s">
        <v>10</v>
      </c>
      <c r="P101" s="1">
        <f t="shared" si="6"/>
        <v>0</v>
      </c>
      <c r="Q101" s="27">
        <f t="shared" si="7"/>
        <v>0</v>
      </c>
    </row>
    <row r="102" spans="1:17" ht="12.75">
      <c r="A102" t="s">
        <v>11</v>
      </c>
      <c r="P102" s="1">
        <f t="shared" si="6"/>
        <v>0</v>
      </c>
      <c r="Q102" s="27">
        <f t="shared" si="7"/>
        <v>0</v>
      </c>
    </row>
    <row r="103" spans="1:17" ht="12.75">
      <c r="A103" t="s">
        <v>12</v>
      </c>
      <c r="P103" s="1">
        <f t="shared" si="6"/>
        <v>0</v>
      </c>
      <c r="Q103" s="27">
        <f t="shared" si="7"/>
        <v>0</v>
      </c>
    </row>
    <row r="104" spans="1:17" ht="12.75">
      <c r="A104" t="s">
        <v>13</v>
      </c>
      <c r="P104" s="1">
        <f t="shared" si="6"/>
        <v>0</v>
      </c>
      <c r="Q104" s="27">
        <f t="shared" si="7"/>
        <v>0</v>
      </c>
    </row>
    <row r="105" spans="1:17" ht="12.75">
      <c r="A105" t="s">
        <v>14</v>
      </c>
      <c r="P105" s="1">
        <f t="shared" si="6"/>
        <v>0</v>
      </c>
      <c r="Q105" s="27">
        <f t="shared" si="7"/>
        <v>0</v>
      </c>
    </row>
    <row r="107" spans="2:17" ht="12.75">
      <c r="B107" s="1">
        <f aca="true" t="shared" si="8" ref="B107:Q107">SUM(B93:B105)</f>
        <v>633303.71</v>
      </c>
      <c r="C107" s="27">
        <f t="shared" si="8"/>
        <v>9343325</v>
      </c>
      <c r="D107" s="1">
        <f t="shared" si="8"/>
        <v>90007.15</v>
      </c>
      <c r="E107" s="27">
        <f t="shared" si="8"/>
        <v>1322832</v>
      </c>
      <c r="F107" s="1">
        <f t="shared" si="8"/>
        <v>4532.22</v>
      </c>
      <c r="G107" s="27">
        <f t="shared" si="8"/>
        <v>64672</v>
      </c>
      <c r="H107" s="1">
        <f t="shared" si="8"/>
        <v>0</v>
      </c>
      <c r="I107" s="27">
        <f t="shared" si="8"/>
        <v>0</v>
      </c>
      <c r="J107" s="1">
        <f t="shared" si="8"/>
        <v>26781.969999999998</v>
      </c>
      <c r="K107" s="27">
        <f t="shared" si="8"/>
        <v>404321</v>
      </c>
      <c r="L107" s="1">
        <f t="shared" si="8"/>
        <v>386057.99999999994</v>
      </c>
      <c r="M107" s="27">
        <f t="shared" si="8"/>
        <v>5629390</v>
      </c>
      <c r="N107" s="1">
        <f t="shared" si="8"/>
        <v>12378.76</v>
      </c>
      <c r="O107" s="27">
        <f t="shared" si="8"/>
        <v>182535</v>
      </c>
      <c r="P107" s="1">
        <f t="shared" si="8"/>
        <v>1153061.8099999998</v>
      </c>
      <c r="Q107" s="27">
        <f t="shared" si="8"/>
        <v>16947075</v>
      </c>
    </row>
    <row r="109" spans="16:17" ht="12.75">
      <c r="P109" s="1">
        <v>1041157.67</v>
      </c>
      <c r="Q109" s="27">
        <f>2568452+3019286+486388+2321270+5209499+1219998</f>
        <v>14824893</v>
      </c>
    </row>
    <row r="111" spans="16:17" ht="12.75">
      <c r="P111" s="1">
        <f>P107-P109</f>
        <v>111904.13999999978</v>
      </c>
      <c r="Q111" s="27">
        <f>Q107-Q109</f>
        <v>2122182</v>
      </c>
    </row>
    <row r="127" ht="12.75">
      <c r="A127" s="66" t="s">
        <v>137</v>
      </c>
    </row>
    <row r="128" ht="12.75">
      <c r="A128" t="s">
        <v>138</v>
      </c>
    </row>
    <row r="129" ht="12.75">
      <c r="A129" t="s">
        <v>139</v>
      </c>
    </row>
    <row r="131" spans="2:17" s="67" customFormat="1" ht="12.75">
      <c r="B131" s="68" t="s">
        <v>123</v>
      </c>
      <c r="C131" s="69"/>
      <c r="D131" s="68" t="s">
        <v>124</v>
      </c>
      <c r="E131" s="69"/>
      <c r="F131" s="68" t="s">
        <v>125</v>
      </c>
      <c r="G131" s="69"/>
      <c r="H131" s="69">
        <v>573735</v>
      </c>
      <c r="I131" s="69"/>
      <c r="J131" s="68" t="s">
        <v>126</v>
      </c>
      <c r="K131" s="69"/>
      <c r="L131" s="68" t="s">
        <v>127</v>
      </c>
      <c r="M131" s="69"/>
      <c r="N131" s="69">
        <v>580745</v>
      </c>
      <c r="O131" s="69"/>
      <c r="P131" s="69" t="s">
        <v>106</v>
      </c>
      <c r="Q131" s="69"/>
    </row>
    <row r="132" spans="2:17" s="67" customFormat="1" ht="12.75">
      <c r="B132" s="69" t="s">
        <v>149</v>
      </c>
      <c r="C132" s="69"/>
      <c r="D132" s="69" t="s">
        <v>150</v>
      </c>
      <c r="E132" s="69"/>
      <c r="F132" s="69" t="s">
        <v>151</v>
      </c>
      <c r="G132" s="69"/>
      <c r="H132" s="69" t="s">
        <v>152</v>
      </c>
      <c r="I132" s="69"/>
      <c r="J132" s="69" t="s">
        <v>153</v>
      </c>
      <c r="K132" s="69"/>
      <c r="L132" s="69" t="s">
        <v>154</v>
      </c>
      <c r="M132" s="69"/>
      <c r="N132" s="69" t="s">
        <v>155</v>
      </c>
      <c r="O132" s="69"/>
      <c r="P132" s="69"/>
      <c r="Q132" s="69"/>
    </row>
    <row r="133" spans="2:17" ht="12.75">
      <c r="B133" s="1" t="s">
        <v>128</v>
      </c>
      <c r="C133" s="27" t="s">
        <v>16</v>
      </c>
      <c r="D133" s="1" t="s">
        <v>128</v>
      </c>
      <c r="E133" s="27" t="s">
        <v>16</v>
      </c>
      <c r="F133" s="1" t="s">
        <v>128</v>
      </c>
      <c r="G133" s="27" t="s">
        <v>16</v>
      </c>
      <c r="H133" s="1" t="s">
        <v>128</v>
      </c>
      <c r="I133" s="27" t="s">
        <v>16</v>
      </c>
      <c r="J133" s="1" t="s">
        <v>128</v>
      </c>
      <c r="K133" s="27" t="s">
        <v>16</v>
      </c>
      <c r="L133" s="1" t="s">
        <v>128</v>
      </c>
      <c r="M133" s="27" t="s">
        <v>16</v>
      </c>
      <c r="N133" s="1" t="s">
        <v>128</v>
      </c>
      <c r="O133" s="27" t="s">
        <v>16</v>
      </c>
      <c r="P133" s="1" t="s">
        <v>128</v>
      </c>
      <c r="Q133" s="27" t="s">
        <v>16</v>
      </c>
    </row>
    <row r="135" spans="1:17" ht="12.75">
      <c r="A135" t="s">
        <v>14</v>
      </c>
      <c r="B135" s="1">
        <v>77988.84</v>
      </c>
      <c r="C135" s="27">
        <v>1480570</v>
      </c>
      <c r="D135" s="1">
        <v>16091.77</v>
      </c>
      <c r="E135" s="27">
        <v>304080</v>
      </c>
      <c r="H135" s="1">
        <v>11366.59</v>
      </c>
      <c r="I135" s="27">
        <v>213810</v>
      </c>
      <c r="J135" s="1">
        <v>16479.53</v>
      </c>
      <c r="K135" s="27">
        <v>310396</v>
      </c>
      <c r="L135" s="1">
        <v>26633.41</v>
      </c>
      <c r="M135" s="27">
        <v>506085</v>
      </c>
      <c r="P135" s="1">
        <f>B135+D135+F135+H135+J135+L135+N135</f>
        <v>148560.13999999998</v>
      </c>
      <c r="Q135" s="27">
        <f>C135+E135+G135+I135+K135+M135+O135</f>
        <v>2814941</v>
      </c>
    </row>
    <row r="136" spans="1:17" ht="12.75">
      <c r="A136" t="s">
        <v>3</v>
      </c>
      <c r="B136" s="1">
        <v>30120.9</v>
      </c>
      <c r="C136" s="27">
        <v>463034</v>
      </c>
      <c r="D136" s="1">
        <v>12446.06</v>
      </c>
      <c r="E136" s="27">
        <v>191851</v>
      </c>
      <c r="H136" s="1">
        <v>13993.71</v>
      </c>
      <c r="I136" s="27">
        <v>215873</v>
      </c>
      <c r="J136" s="1">
        <v>23297.24</v>
      </c>
      <c r="K136" s="27">
        <v>360298</v>
      </c>
      <c r="L136" s="1">
        <v>42624.26</v>
      </c>
      <c r="M136" s="27">
        <v>656825</v>
      </c>
      <c r="P136" s="1">
        <f>B136+D136+F136+H136+J136+L136+N136</f>
        <v>122482.17000000001</v>
      </c>
      <c r="Q136" s="27">
        <f>C136+E136+G136+I136+K136+M136+O136</f>
        <v>1887881</v>
      </c>
    </row>
    <row r="137" spans="1:17" ht="12.75">
      <c r="A137" t="s">
        <v>4</v>
      </c>
      <c r="B137" s="1">
        <v>186747.9</v>
      </c>
      <c r="C137" s="27">
        <v>3359564</v>
      </c>
      <c r="D137" s="1">
        <v>35152.03</v>
      </c>
      <c r="E137" s="27">
        <v>658889</v>
      </c>
      <c r="H137" s="1">
        <v>12356.58</v>
      </c>
      <c r="I137" s="27">
        <v>258801</v>
      </c>
      <c r="J137" s="1">
        <v>21042.95</v>
      </c>
      <c r="K137" s="27">
        <v>429642</v>
      </c>
      <c r="L137" s="1">
        <v>164334.25</v>
      </c>
      <c r="M137" s="27">
        <v>3082884</v>
      </c>
      <c r="P137" s="1">
        <f aca="true" t="shared" si="9" ref="P137:P147">B137+D137+F137+H137+J137+L137+N137</f>
        <v>419633.70999999996</v>
      </c>
      <c r="Q137" s="27">
        <f aca="true" t="shared" si="10" ref="Q137:Q147">C137+E137+G137+I137+K137+M137+O137</f>
        <v>7789780</v>
      </c>
    </row>
    <row r="138" spans="1:17" ht="12.75">
      <c r="A138" t="s">
        <v>5</v>
      </c>
      <c r="B138" s="1">
        <v>14721.87</v>
      </c>
      <c r="C138" s="27">
        <v>187579</v>
      </c>
      <c r="D138" s="1">
        <v>1482.97</v>
      </c>
      <c r="E138" s="27">
        <v>24146</v>
      </c>
      <c r="H138" s="1">
        <v>13602.99</v>
      </c>
      <c r="I138" s="27">
        <v>214222</v>
      </c>
      <c r="L138" s="1">
        <v>13118.35</v>
      </c>
      <c r="M138" s="27">
        <v>155198</v>
      </c>
      <c r="P138" s="1">
        <f t="shared" si="9"/>
        <v>42926.18</v>
      </c>
      <c r="Q138" s="27">
        <f t="shared" si="10"/>
        <v>581145</v>
      </c>
    </row>
    <row r="139" spans="1:17" ht="12.75">
      <c r="A139" t="s">
        <v>6</v>
      </c>
      <c r="B139" s="1">
        <v>145554.41</v>
      </c>
      <c r="C139" s="27">
        <v>1729177</v>
      </c>
      <c r="D139" s="1">
        <v>39967.81</v>
      </c>
      <c r="E139" s="27">
        <v>474922</v>
      </c>
      <c r="H139" s="1">
        <v>11187.86</v>
      </c>
      <c r="I139" s="27">
        <v>134147</v>
      </c>
      <c r="J139" s="1">
        <v>33151.34</v>
      </c>
      <c r="K139" s="27">
        <v>392039</v>
      </c>
      <c r="L139" s="1">
        <v>170271.06</v>
      </c>
      <c r="M139" s="27">
        <v>2021038</v>
      </c>
      <c r="P139" s="1">
        <f t="shared" si="9"/>
        <v>400132.48</v>
      </c>
      <c r="Q139" s="27">
        <f t="shared" si="10"/>
        <v>4751323</v>
      </c>
    </row>
    <row r="140" spans="1:17" ht="12.75">
      <c r="A140" t="s">
        <v>7</v>
      </c>
      <c r="B140" s="1">
        <v>297095.78</v>
      </c>
      <c r="C140" s="27">
        <v>3595381</v>
      </c>
      <c r="D140" s="1">
        <v>75019.08</v>
      </c>
      <c r="E140" s="27">
        <v>915089</v>
      </c>
      <c r="H140" s="1">
        <v>65939.77</v>
      </c>
      <c r="I140" s="27">
        <v>791261</v>
      </c>
      <c r="J140" s="1">
        <v>70101.56</v>
      </c>
      <c r="K140" s="27">
        <v>877652</v>
      </c>
      <c r="L140" s="1">
        <v>349960.35</v>
      </c>
      <c r="M140" s="27">
        <v>4265792</v>
      </c>
      <c r="P140" s="1">
        <f t="shared" si="9"/>
        <v>858116.54</v>
      </c>
      <c r="Q140" s="27">
        <f t="shared" si="10"/>
        <v>10445175</v>
      </c>
    </row>
    <row r="141" spans="1:17" ht="12.75">
      <c r="A141" t="s">
        <v>8</v>
      </c>
      <c r="B141" s="1">
        <v>36368.37</v>
      </c>
      <c r="C141" s="27">
        <v>745891</v>
      </c>
      <c r="D141" s="1">
        <v>11937.8</v>
      </c>
      <c r="E141" s="27">
        <v>248069</v>
      </c>
      <c r="H141" s="1">
        <v>15616.03</v>
      </c>
      <c r="I141" s="27">
        <v>323604</v>
      </c>
      <c r="J141" s="1">
        <v>11444.27</v>
      </c>
      <c r="K141" s="27">
        <v>237626</v>
      </c>
      <c r="L141" s="1">
        <v>52170.18</v>
      </c>
      <c r="M141" s="27">
        <v>1084981</v>
      </c>
      <c r="P141" s="1">
        <f t="shared" si="9"/>
        <v>127536.65</v>
      </c>
      <c r="Q141" s="27">
        <f t="shared" si="10"/>
        <v>2640171</v>
      </c>
    </row>
    <row r="142" spans="1:17" ht="12.75">
      <c r="A142" t="s">
        <v>9</v>
      </c>
      <c r="P142" s="1">
        <f t="shared" si="9"/>
        <v>0</v>
      </c>
      <c r="Q142" s="27">
        <f t="shared" si="10"/>
        <v>0</v>
      </c>
    </row>
    <row r="143" spans="1:17" ht="12.75">
      <c r="A143" t="s">
        <v>10</v>
      </c>
      <c r="P143" s="1">
        <f t="shared" si="9"/>
        <v>0</v>
      </c>
      <c r="Q143" s="27">
        <f t="shared" si="10"/>
        <v>0</v>
      </c>
    </row>
    <row r="144" spans="1:17" ht="12.75">
      <c r="A144" t="s">
        <v>11</v>
      </c>
      <c r="P144" s="1">
        <f t="shared" si="9"/>
        <v>0</v>
      </c>
      <c r="Q144" s="27">
        <f t="shared" si="10"/>
        <v>0</v>
      </c>
    </row>
    <row r="145" spans="1:17" ht="12.75">
      <c r="A145" t="s">
        <v>12</v>
      </c>
      <c r="P145" s="1">
        <f t="shared" si="9"/>
        <v>0</v>
      </c>
      <c r="Q145" s="27">
        <f t="shared" si="10"/>
        <v>0</v>
      </c>
    </row>
    <row r="146" spans="1:17" ht="12.75">
      <c r="A146" t="s">
        <v>13</v>
      </c>
      <c r="P146" s="1">
        <f t="shared" si="9"/>
        <v>0</v>
      </c>
      <c r="Q146" s="27">
        <f t="shared" si="10"/>
        <v>0</v>
      </c>
    </row>
    <row r="147" spans="1:17" ht="12.75">
      <c r="A147" t="s">
        <v>14</v>
      </c>
      <c r="P147" s="1">
        <f t="shared" si="9"/>
        <v>0</v>
      </c>
      <c r="Q147" s="27">
        <f t="shared" si="10"/>
        <v>0</v>
      </c>
    </row>
    <row r="149" spans="2:17" ht="12.75">
      <c r="B149" s="1">
        <f aca="true" t="shared" si="11" ref="B149:Q149">SUM(B135:B147)</f>
        <v>788598.0700000001</v>
      </c>
      <c r="C149" s="27">
        <f t="shared" si="11"/>
        <v>11561196</v>
      </c>
      <c r="D149" s="1">
        <f t="shared" si="11"/>
        <v>192097.52</v>
      </c>
      <c r="E149" s="27">
        <f t="shared" si="11"/>
        <v>2817046</v>
      </c>
      <c r="F149" s="1">
        <f t="shared" si="11"/>
        <v>0</v>
      </c>
      <c r="G149" s="27">
        <f t="shared" si="11"/>
        <v>0</v>
      </c>
      <c r="H149" s="1">
        <f t="shared" si="11"/>
        <v>144063.53</v>
      </c>
      <c r="I149" s="27">
        <f t="shared" si="11"/>
        <v>2151718</v>
      </c>
      <c r="J149" s="1">
        <f t="shared" si="11"/>
        <v>175516.88999999998</v>
      </c>
      <c r="K149" s="27">
        <f t="shared" si="11"/>
        <v>2607653</v>
      </c>
      <c r="L149" s="1">
        <f t="shared" si="11"/>
        <v>819111.86</v>
      </c>
      <c r="M149" s="27">
        <f t="shared" si="11"/>
        <v>11772803</v>
      </c>
      <c r="N149" s="1">
        <f t="shared" si="11"/>
        <v>0</v>
      </c>
      <c r="O149" s="27">
        <f t="shared" si="11"/>
        <v>0</v>
      </c>
      <c r="P149" s="1">
        <f t="shared" si="11"/>
        <v>2119387.87</v>
      </c>
      <c r="Q149" s="27">
        <f t="shared" si="11"/>
        <v>30910416</v>
      </c>
    </row>
    <row r="151" spans="16:17" ht="12.75">
      <c r="P151" s="1">
        <v>1970827.73</v>
      </c>
      <c r="Q151" s="27">
        <f>1887882+7789779+581145+4751323+10445174+2640171</f>
        <v>28095474</v>
      </c>
    </row>
    <row r="153" spans="16:17" ht="12.75">
      <c r="P153" s="1">
        <f>P149-P151</f>
        <v>148560.14000000013</v>
      </c>
      <c r="Q153" s="27">
        <f>Q149-Q151</f>
        <v>2814942</v>
      </c>
    </row>
    <row r="169" ht="12.75">
      <c r="A169" s="66" t="s">
        <v>140</v>
      </c>
    </row>
    <row r="170" ht="12.75">
      <c r="A170" t="s">
        <v>141</v>
      </c>
    </row>
    <row r="171" ht="12.75">
      <c r="A171" t="s">
        <v>144</v>
      </c>
    </row>
    <row r="173" spans="2:17" s="67" customFormat="1" ht="12.75">
      <c r="B173" s="68" t="s">
        <v>123</v>
      </c>
      <c r="C173" s="69"/>
      <c r="D173" s="68" t="s">
        <v>124</v>
      </c>
      <c r="E173" s="69"/>
      <c r="F173" s="68" t="s">
        <v>125</v>
      </c>
      <c r="G173" s="69"/>
      <c r="H173" s="69">
        <v>573735</v>
      </c>
      <c r="I173" s="69"/>
      <c r="J173" s="68" t="s">
        <v>126</v>
      </c>
      <c r="K173" s="69"/>
      <c r="L173" s="68" t="s">
        <v>127</v>
      </c>
      <c r="M173" s="69"/>
      <c r="N173" s="69">
        <v>580745</v>
      </c>
      <c r="O173" s="69"/>
      <c r="P173" s="69" t="s">
        <v>106</v>
      </c>
      <c r="Q173" s="69"/>
    </row>
    <row r="174" spans="2:17" s="67" customFormat="1" ht="12.75">
      <c r="B174" s="69" t="s">
        <v>149</v>
      </c>
      <c r="C174" s="69"/>
      <c r="D174" s="69" t="s">
        <v>150</v>
      </c>
      <c r="E174" s="69"/>
      <c r="F174" s="69" t="s">
        <v>151</v>
      </c>
      <c r="G174" s="69"/>
      <c r="H174" s="69" t="s">
        <v>152</v>
      </c>
      <c r="I174" s="69"/>
      <c r="J174" s="69" t="s">
        <v>153</v>
      </c>
      <c r="K174" s="69"/>
      <c r="L174" s="69" t="s">
        <v>154</v>
      </c>
      <c r="M174" s="69"/>
      <c r="N174" s="69" t="s">
        <v>155</v>
      </c>
      <c r="O174" s="69"/>
      <c r="P174" s="69"/>
      <c r="Q174" s="69"/>
    </row>
    <row r="175" spans="2:17" ht="12.75">
      <c r="B175" s="1" t="s">
        <v>128</v>
      </c>
      <c r="C175" s="27" t="s">
        <v>16</v>
      </c>
      <c r="D175" s="1" t="s">
        <v>128</v>
      </c>
      <c r="E175" s="27" t="s">
        <v>16</v>
      </c>
      <c r="F175" s="1" t="s">
        <v>128</v>
      </c>
      <c r="G175" s="27" t="s">
        <v>16</v>
      </c>
      <c r="H175" s="1" t="s">
        <v>128</v>
      </c>
      <c r="I175" s="27" t="s">
        <v>16</v>
      </c>
      <c r="J175" s="1" t="s">
        <v>128</v>
      </c>
      <c r="K175" s="27" t="s">
        <v>16</v>
      </c>
      <c r="L175" s="1" t="s">
        <v>128</v>
      </c>
      <c r="M175" s="27" t="s">
        <v>16</v>
      </c>
      <c r="N175" s="1" t="s">
        <v>128</v>
      </c>
      <c r="O175" s="27" t="s">
        <v>16</v>
      </c>
      <c r="P175" s="1" t="s">
        <v>128</v>
      </c>
      <c r="Q175" s="27" t="s">
        <v>16</v>
      </c>
    </row>
    <row r="177" spans="1:17" ht="12.75">
      <c r="A177" t="s">
        <v>14</v>
      </c>
      <c r="P177" s="1">
        <f>B177+D177+F177+H177+J177+L177+N177</f>
        <v>0</v>
      </c>
      <c r="Q177" s="27">
        <f>C177+E177+G177+I177+K177+M177+O177</f>
        <v>0</v>
      </c>
    </row>
    <row r="178" spans="1:17" ht="12.75">
      <c r="A178" t="s">
        <v>3</v>
      </c>
      <c r="H178" s="1">
        <v>91242.14</v>
      </c>
      <c r="I178" s="27">
        <v>1566215</v>
      </c>
      <c r="J178" s="1">
        <v>7626.12</v>
      </c>
      <c r="K178" s="27">
        <v>125139</v>
      </c>
      <c r="L178" s="1">
        <v>26262.75</v>
      </c>
      <c r="M178" s="27">
        <v>392304</v>
      </c>
      <c r="N178" s="1">
        <v>16235.86</v>
      </c>
      <c r="O178" s="27">
        <v>255647</v>
      </c>
      <c r="P178" s="1">
        <f>B178+D178+F178+H178+J178+L178+N178</f>
        <v>141366.87</v>
      </c>
      <c r="Q178" s="27">
        <f>C178+E178+G178+I178+K178+M178+O178</f>
        <v>2339305</v>
      </c>
    </row>
    <row r="179" spans="1:17" ht="12.75">
      <c r="A179" t="s">
        <v>4</v>
      </c>
      <c r="H179" s="1">
        <v>0</v>
      </c>
      <c r="I179" s="27">
        <v>0</v>
      </c>
      <c r="J179" s="1">
        <v>0</v>
      </c>
      <c r="K179" s="27">
        <v>0</v>
      </c>
      <c r="L179" s="1">
        <v>22581.95</v>
      </c>
      <c r="M179" s="27">
        <v>410560</v>
      </c>
      <c r="N179" s="1">
        <v>0</v>
      </c>
      <c r="O179" s="27">
        <v>0</v>
      </c>
      <c r="P179" s="1">
        <f aca="true" t="shared" si="12" ref="P179:P189">B179+D179+F179+H179+J179+L179+N179</f>
        <v>22581.95</v>
      </c>
      <c r="Q179" s="27">
        <f aca="true" t="shared" si="13" ref="Q179:Q189">C179+E179+G179+I179+K179+M179+O179</f>
        <v>410560</v>
      </c>
    </row>
    <row r="180" spans="1:17" ht="12.75">
      <c r="A180" t="s">
        <v>5</v>
      </c>
      <c r="H180" s="1">
        <v>99936.99</v>
      </c>
      <c r="I180" s="27">
        <v>1610773</v>
      </c>
      <c r="J180" s="1">
        <v>9274.76</v>
      </c>
      <c r="K180" s="27">
        <v>144239</v>
      </c>
      <c r="L180" s="1">
        <v>40780.86</v>
      </c>
      <c r="M180" s="27">
        <v>639997</v>
      </c>
      <c r="N180" s="1">
        <v>21333.6</v>
      </c>
      <c r="O180" s="27">
        <v>340403</v>
      </c>
      <c r="P180" s="1">
        <f t="shared" si="12"/>
        <v>171326.21</v>
      </c>
      <c r="Q180" s="27">
        <f t="shared" si="13"/>
        <v>2735412</v>
      </c>
    </row>
    <row r="181" spans="1:17" ht="12.75">
      <c r="A181" t="s">
        <v>6</v>
      </c>
      <c r="H181" s="1">
        <v>129906.62</v>
      </c>
      <c r="I181" s="27">
        <v>1471758</v>
      </c>
      <c r="J181" s="1">
        <v>12443.34</v>
      </c>
      <c r="K181" s="27">
        <v>137049</v>
      </c>
      <c r="L181" s="1">
        <v>55451.08</v>
      </c>
      <c r="M181" s="27">
        <v>619159</v>
      </c>
      <c r="N181" s="1">
        <v>27197.1</v>
      </c>
      <c r="O181" s="27">
        <v>308586</v>
      </c>
      <c r="P181" s="1">
        <f t="shared" si="12"/>
        <v>224998.13999999998</v>
      </c>
      <c r="Q181" s="27">
        <f t="shared" si="13"/>
        <v>2536552</v>
      </c>
    </row>
    <row r="182" spans="1:17" ht="12.75">
      <c r="A182" t="s">
        <v>7</v>
      </c>
      <c r="H182" s="1">
        <v>219069.01</v>
      </c>
      <c r="I182" s="27">
        <v>2995674</v>
      </c>
      <c r="J182" s="1">
        <v>20103.04</v>
      </c>
      <c r="K182" s="27">
        <v>262139</v>
      </c>
      <c r="L182" s="1">
        <v>93941.14</v>
      </c>
      <c r="M182" s="27">
        <v>1239288</v>
      </c>
      <c r="N182" s="1">
        <v>42845.43</v>
      </c>
      <c r="O182" s="27">
        <v>579798</v>
      </c>
      <c r="P182" s="1">
        <f t="shared" si="12"/>
        <v>375958.62</v>
      </c>
      <c r="Q182" s="27">
        <f t="shared" si="13"/>
        <v>5076899</v>
      </c>
    </row>
    <row r="183" spans="1:17" ht="12.75">
      <c r="A183" t="s">
        <v>8</v>
      </c>
      <c r="H183" s="1">
        <v>0</v>
      </c>
      <c r="I183" s="27">
        <v>0</v>
      </c>
      <c r="J183" s="1">
        <v>0</v>
      </c>
      <c r="K183" s="27">
        <v>0</v>
      </c>
      <c r="L183" s="1">
        <v>0</v>
      </c>
      <c r="M183" s="27">
        <v>0</v>
      </c>
      <c r="N183" s="1">
        <v>0</v>
      </c>
      <c r="O183" s="27">
        <v>0</v>
      </c>
      <c r="P183" s="1">
        <f t="shared" si="12"/>
        <v>0</v>
      </c>
      <c r="Q183" s="27">
        <f t="shared" si="13"/>
        <v>0</v>
      </c>
    </row>
    <row r="184" spans="1:17" ht="12.75">
      <c r="A184" t="s">
        <v>9</v>
      </c>
      <c r="P184" s="1">
        <f t="shared" si="12"/>
        <v>0</v>
      </c>
      <c r="Q184" s="27">
        <f t="shared" si="13"/>
        <v>0</v>
      </c>
    </row>
    <row r="185" spans="1:17" ht="12.75">
      <c r="A185" t="s">
        <v>10</v>
      </c>
      <c r="P185" s="1">
        <f t="shared" si="12"/>
        <v>0</v>
      </c>
      <c r="Q185" s="27">
        <f t="shared" si="13"/>
        <v>0</v>
      </c>
    </row>
    <row r="186" spans="1:17" ht="12.75">
      <c r="A186" t="s">
        <v>11</v>
      </c>
      <c r="P186" s="1">
        <f t="shared" si="12"/>
        <v>0</v>
      </c>
      <c r="Q186" s="27">
        <f t="shared" si="13"/>
        <v>0</v>
      </c>
    </row>
    <row r="187" spans="1:17" ht="12.75">
      <c r="A187" t="s">
        <v>12</v>
      </c>
      <c r="P187" s="1">
        <f t="shared" si="12"/>
        <v>0</v>
      </c>
      <c r="Q187" s="27">
        <f t="shared" si="13"/>
        <v>0</v>
      </c>
    </row>
    <row r="188" spans="1:17" ht="12.75">
      <c r="A188" t="s">
        <v>13</v>
      </c>
      <c r="P188" s="1">
        <f t="shared" si="12"/>
        <v>0</v>
      </c>
      <c r="Q188" s="27">
        <f t="shared" si="13"/>
        <v>0</v>
      </c>
    </row>
    <row r="189" spans="1:17" ht="12.75">
      <c r="A189" t="s">
        <v>14</v>
      </c>
      <c r="P189" s="1">
        <f t="shared" si="12"/>
        <v>0</v>
      </c>
      <c r="Q189" s="27">
        <f t="shared" si="13"/>
        <v>0</v>
      </c>
    </row>
    <row r="191" spans="2:17" ht="12.75">
      <c r="B191" s="1">
        <f aca="true" t="shared" si="14" ref="B191:Q191">SUM(B177:B189)</f>
        <v>0</v>
      </c>
      <c r="C191" s="27">
        <f t="shared" si="14"/>
        <v>0</v>
      </c>
      <c r="D191" s="1">
        <f t="shared" si="14"/>
        <v>0</v>
      </c>
      <c r="E191" s="27">
        <f t="shared" si="14"/>
        <v>0</v>
      </c>
      <c r="F191" s="1">
        <f t="shared" si="14"/>
        <v>0</v>
      </c>
      <c r="G191" s="27">
        <f t="shared" si="14"/>
        <v>0</v>
      </c>
      <c r="H191" s="1">
        <f t="shared" si="14"/>
        <v>540154.76</v>
      </c>
      <c r="I191" s="27">
        <f t="shared" si="14"/>
        <v>7644420</v>
      </c>
      <c r="J191" s="1">
        <f t="shared" si="14"/>
        <v>49447.26</v>
      </c>
      <c r="K191" s="27">
        <f t="shared" si="14"/>
        <v>668566</v>
      </c>
      <c r="L191" s="1">
        <f t="shared" si="14"/>
        <v>239017.78000000003</v>
      </c>
      <c r="M191" s="27">
        <f t="shared" si="14"/>
        <v>3301308</v>
      </c>
      <c r="N191" s="1">
        <f t="shared" si="14"/>
        <v>107611.98999999999</v>
      </c>
      <c r="O191" s="27">
        <f t="shared" si="14"/>
        <v>1484434</v>
      </c>
      <c r="P191" s="1">
        <f t="shared" si="14"/>
        <v>936231.79</v>
      </c>
      <c r="Q191" s="27">
        <f t="shared" si="14"/>
        <v>13098728</v>
      </c>
    </row>
    <row r="193" spans="16:17" ht="12.75">
      <c r="P193" s="1">
        <v>936231.79</v>
      </c>
      <c r="Q193" s="27">
        <f>2339305+410560+2735412+2536552+5076898</f>
        <v>13098727</v>
      </c>
    </row>
    <row r="195" spans="16:17" ht="12.75">
      <c r="P195" s="1">
        <f>P191-P193</f>
        <v>0</v>
      </c>
      <c r="Q195" s="27">
        <f>Q191-Q193</f>
        <v>1</v>
      </c>
    </row>
    <row r="211" ht="12.75">
      <c r="A211" s="66" t="s">
        <v>142</v>
      </c>
    </row>
    <row r="212" ht="12.75">
      <c r="A212" t="s">
        <v>143</v>
      </c>
    </row>
    <row r="213" ht="12.75">
      <c r="A213" t="s">
        <v>145</v>
      </c>
    </row>
    <row r="215" spans="2:17" s="67" customFormat="1" ht="12.75">
      <c r="B215" s="68" t="s">
        <v>123</v>
      </c>
      <c r="C215" s="69"/>
      <c r="D215" s="68" t="s">
        <v>124</v>
      </c>
      <c r="E215" s="69"/>
      <c r="F215" s="68" t="s">
        <v>125</v>
      </c>
      <c r="G215" s="69"/>
      <c r="H215" s="69">
        <v>573735</v>
      </c>
      <c r="I215" s="69"/>
      <c r="J215" s="68" t="s">
        <v>126</v>
      </c>
      <c r="K215" s="69"/>
      <c r="L215" s="68" t="s">
        <v>127</v>
      </c>
      <c r="M215" s="69"/>
      <c r="N215" s="69">
        <v>580745</v>
      </c>
      <c r="O215" s="69"/>
      <c r="P215" s="69" t="s">
        <v>106</v>
      </c>
      <c r="Q215" s="69"/>
    </row>
    <row r="216" spans="2:17" s="67" customFormat="1" ht="12.75">
      <c r="B216" s="69" t="s">
        <v>149</v>
      </c>
      <c r="C216" s="69"/>
      <c r="D216" s="69" t="s">
        <v>150</v>
      </c>
      <c r="E216" s="69"/>
      <c r="F216" s="69" t="s">
        <v>151</v>
      </c>
      <c r="G216" s="69"/>
      <c r="H216" s="69" t="s">
        <v>152</v>
      </c>
      <c r="I216" s="69"/>
      <c r="J216" s="69" t="s">
        <v>153</v>
      </c>
      <c r="K216" s="69"/>
      <c r="L216" s="69" t="s">
        <v>154</v>
      </c>
      <c r="M216" s="69"/>
      <c r="N216" s="69" t="s">
        <v>155</v>
      </c>
      <c r="O216" s="69"/>
      <c r="P216" s="69"/>
      <c r="Q216" s="69"/>
    </row>
    <row r="217" spans="2:17" ht="12.75">
      <c r="B217" s="1" t="s">
        <v>128</v>
      </c>
      <c r="C217" s="27" t="s">
        <v>16</v>
      </c>
      <c r="D217" s="1" t="s">
        <v>128</v>
      </c>
      <c r="E217" s="27" t="s">
        <v>16</v>
      </c>
      <c r="F217" s="1" t="s">
        <v>128</v>
      </c>
      <c r="G217" s="27" t="s">
        <v>16</v>
      </c>
      <c r="H217" s="1" t="s">
        <v>128</v>
      </c>
      <c r="I217" s="27" t="s">
        <v>16</v>
      </c>
      <c r="J217" s="1" t="s">
        <v>128</v>
      </c>
      <c r="K217" s="27" t="s">
        <v>16</v>
      </c>
      <c r="L217" s="1" t="s">
        <v>128</v>
      </c>
      <c r="M217" s="27" t="s">
        <v>16</v>
      </c>
      <c r="N217" s="1" t="s">
        <v>128</v>
      </c>
      <c r="O217" s="27" t="s">
        <v>16</v>
      </c>
      <c r="P217" s="1" t="s">
        <v>128</v>
      </c>
      <c r="Q217" s="27" t="s">
        <v>16</v>
      </c>
    </row>
    <row r="219" spans="1:17" ht="12.75">
      <c r="A219" t="s">
        <v>14</v>
      </c>
      <c r="P219" s="1">
        <f>B219+D219+F219+H219+J219+L219+N219</f>
        <v>0</v>
      </c>
      <c r="Q219" s="27">
        <f>C219+E219+G219+I219+K219+M219+O219</f>
        <v>0</v>
      </c>
    </row>
    <row r="220" spans="1:17" ht="12.75">
      <c r="A220" t="s">
        <v>3</v>
      </c>
      <c r="N220" s="1">
        <v>34909.15</v>
      </c>
      <c r="O220" s="27">
        <v>615341</v>
      </c>
      <c r="P220" s="1">
        <f>B220+D220+F220+H220+J220+L220+N220</f>
        <v>34909.15</v>
      </c>
      <c r="Q220" s="27">
        <f>C220+E220+G220+I220+K220+M220+O220</f>
        <v>615341</v>
      </c>
    </row>
    <row r="221" spans="1:17" ht="12.75">
      <c r="A221" t="s">
        <v>4</v>
      </c>
      <c r="N221" s="1">
        <v>0</v>
      </c>
      <c r="O221" s="27">
        <v>0</v>
      </c>
      <c r="P221" s="1">
        <f aca="true" t="shared" si="15" ref="P221:P231">B221+D221+F221+H221+J221+L221+N221</f>
        <v>0</v>
      </c>
      <c r="Q221" s="27">
        <f aca="true" t="shared" si="16" ref="Q221:Q231">C221+E221+G221+I221+K221+M221+O221</f>
        <v>0</v>
      </c>
    </row>
    <row r="222" spans="1:17" ht="12.75">
      <c r="A222" t="s">
        <v>5</v>
      </c>
      <c r="N222" s="1">
        <v>36909.03</v>
      </c>
      <c r="O222" s="27">
        <v>610444</v>
      </c>
      <c r="P222" s="1">
        <f t="shared" si="15"/>
        <v>36909.03</v>
      </c>
      <c r="Q222" s="27">
        <f t="shared" si="16"/>
        <v>610444</v>
      </c>
    </row>
    <row r="223" spans="1:17" ht="12.75">
      <c r="A223" t="s">
        <v>6</v>
      </c>
      <c r="J223" s="1">
        <v>51137.29</v>
      </c>
      <c r="K223" s="27">
        <v>587245</v>
      </c>
      <c r="N223" s="1">
        <v>48115.27</v>
      </c>
      <c r="O223" s="27">
        <v>554531</v>
      </c>
      <c r="P223" s="1">
        <f t="shared" si="15"/>
        <v>99252.56</v>
      </c>
      <c r="Q223" s="27">
        <f t="shared" si="16"/>
        <v>1141776</v>
      </c>
    </row>
    <row r="224" spans="1:17" ht="12.75">
      <c r="A224" t="s">
        <v>7</v>
      </c>
      <c r="J224" s="1">
        <v>88768.79</v>
      </c>
      <c r="K224" s="27">
        <v>1237155</v>
      </c>
      <c r="N224" s="1">
        <v>90256.71</v>
      </c>
      <c r="O224" s="27">
        <v>1277816</v>
      </c>
      <c r="P224" s="1">
        <f t="shared" si="15"/>
        <v>179025.5</v>
      </c>
      <c r="Q224" s="27">
        <f t="shared" si="16"/>
        <v>2514971</v>
      </c>
    </row>
    <row r="225" spans="1:17" ht="12.75">
      <c r="A225" t="s">
        <v>8</v>
      </c>
      <c r="N225" s="1">
        <v>0</v>
      </c>
      <c r="O225" s="27">
        <v>0</v>
      </c>
      <c r="P225" s="1">
        <f t="shared" si="15"/>
        <v>0</v>
      </c>
      <c r="Q225" s="27">
        <f t="shared" si="16"/>
        <v>0</v>
      </c>
    </row>
    <row r="226" spans="1:17" ht="12.75">
      <c r="A226" t="s">
        <v>9</v>
      </c>
      <c r="P226" s="1">
        <f t="shared" si="15"/>
        <v>0</v>
      </c>
      <c r="Q226" s="27">
        <f t="shared" si="16"/>
        <v>0</v>
      </c>
    </row>
    <row r="227" spans="1:17" ht="12.75">
      <c r="A227" t="s">
        <v>10</v>
      </c>
      <c r="P227" s="1">
        <f t="shared" si="15"/>
        <v>0</v>
      </c>
      <c r="Q227" s="27">
        <f t="shared" si="16"/>
        <v>0</v>
      </c>
    </row>
    <row r="228" spans="1:17" ht="12.75">
      <c r="A228" t="s">
        <v>11</v>
      </c>
      <c r="P228" s="1">
        <f t="shared" si="15"/>
        <v>0</v>
      </c>
      <c r="Q228" s="27">
        <f t="shared" si="16"/>
        <v>0</v>
      </c>
    </row>
    <row r="229" spans="1:17" ht="12.75">
      <c r="A229" t="s">
        <v>12</v>
      </c>
      <c r="P229" s="1">
        <f t="shared" si="15"/>
        <v>0</v>
      </c>
      <c r="Q229" s="27">
        <f t="shared" si="16"/>
        <v>0</v>
      </c>
    </row>
    <row r="230" spans="1:17" ht="12.75">
      <c r="A230" t="s">
        <v>13</v>
      </c>
      <c r="P230" s="1">
        <f t="shared" si="15"/>
        <v>0</v>
      </c>
      <c r="Q230" s="27">
        <f t="shared" si="16"/>
        <v>0</v>
      </c>
    </row>
    <row r="231" spans="1:17" ht="12.75">
      <c r="A231" t="s">
        <v>14</v>
      </c>
      <c r="P231" s="1">
        <f t="shared" si="15"/>
        <v>0</v>
      </c>
      <c r="Q231" s="27">
        <f t="shared" si="16"/>
        <v>0</v>
      </c>
    </row>
    <row r="233" spans="2:17" ht="12.75">
      <c r="B233" s="1">
        <f aca="true" t="shared" si="17" ref="B233:Q233">SUM(B219:B231)</f>
        <v>0</v>
      </c>
      <c r="C233" s="27">
        <f t="shared" si="17"/>
        <v>0</v>
      </c>
      <c r="D233" s="1">
        <f t="shared" si="17"/>
        <v>0</v>
      </c>
      <c r="E233" s="27">
        <f t="shared" si="17"/>
        <v>0</v>
      </c>
      <c r="F233" s="1">
        <f t="shared" si="17"/>
        <v>0</v>
      </c>
      <c r="G233" s="27">
        <f t="shared" si="17"/>
        <v>0</v>
      </c>
      <c r="H233" s="1">
        <f t="shared" si="17"/>
        <v>0</v>
      </c>
      <c r="I233" s="27">
        <f t="shared" si="17"/>
        <v>0</v>
      </c>
      <c r="J233" s="1">
        <f t="shared" si="17"/>
        <v>139906.08</v>
      </c>
      <c r="K233" s="27">
        <f t="shared" si="17"/>
        <v>1824400</v>
      </c>
      <c r="L233" s="1">
        <f t="shared" si="17"/>
        <v>0</v>
      </c>
      <c r="M233" s="27">
        <f t="shared" si="17"/>
        <v>0</v>
      </c>
      <c r="N233" s="1">
        <f t="shared" si="17"/>
        <v>210190.15999999997</v>
      </c>
      <c r="O233" s="27">
        <f t="shared" si="17"/>
        <v>3058132</v>
      </c>
      <c r="P233" s="1">
        <f t="shared" si="17"/>
        <v>350096.24</v>
      </c>
      <c r="Q233" s="27">
        <f t="shared" si="17"/>
        <v>4882532</v>
      </c>
    </row>
    <row r="235" spans="16:17" ht="12.75">
      <c r="P235" s="1">
        <v>350096.24</v>
      </c>
      <c r="Q235" s="27">
        <f>615341+610444+1141776+2514971</f>
        <v>4882532</v>
      </c>
    </row>
    <row r="237" spans="16:17" ht="12.75">
      <c r="P237" s="1">
        <f>P233-P235</f>
        <v>0</v>
      </c>
      <c r="Q237" s="27">
        <f>Q233-Q235</f>
        <v>0</v>
      </c>
    </row>
    <row r="253" ht="12.75">
      <c r="A253" s="66" t="s">
        <v>146</v>
      </c>
    </row>
    <row r="254" ht="12.75">
      <c r="A254" t="s">
        <v>147</v>
      </c>
    </row>
    <row r="255" ht="12.75">
      <c r="A255" t="s">
        <v>148</v>
      </c>
    </row>
    <row r="257" spans="2:17" s="67" customFormat="1" ht="12.75">
      <c r="B257" s="68" t="s">
        <v>123</v>
      </c>
      <c r="C257" s="69"/>
      <c r="D257" s="68" t="s">
        <v>124</v>
      </c>
      <c r="E257" s="69"/>
      <c r="F257" s="68" t="s">
        <v>125</v>
      </c>
      <c r="G257" s="69"/>
      <c r="H257" s="69">
        <v>573735</v>
      </c>
      <c r="I257" s="69"/>
      <c r="J257" s="68" t="s">
        <v>126</v>
      </c>
      <c r="K257" s="69"/>
      <c r="L257" s="68" t="s">
        <v>127</v>
      </c>
      <c r="M257" s="69"/>
      <c r="N257" s="69">
        <v>580745</v>
      </c>
      <c r="O257" s="69"/>
      <c r="P257" s="69" t="s">
        <v>106</v>
      </c>
      <c r="Q257" s="69"/>
    </row>
    <row r="258" spans="2:17" s="67" customFormat="1" ht="12.75">
      <c r="B258" s="69" t="s">
        <v>149</v>
      </c>
      <c r="C258" s="69"/>
      <c r="D258" s="69" t="s">
        <v>150</v>
      </c>
      <c r="E258" s="69"/>
      <c r="F258" s="69" t="s">
        <v>151</v>
      </c>
      <c r="G258" s="69"/>
      <c r="H258" s="69" t="s">
        <v>152</v>
      </c>
      <c r="I258" s="69"/>
      <c r="J258" s="69" t="s">
        <v>153</v>
      </c>
      <c r="K258" s="69"/>
      <c r="L258" s="69" t="s">
        <v>154</v>
      </c>
      <c r="M258" s="69"/>
      <c r="N258" s="69" t="s">
        <v>155</v>
      </c>
      <c r="O258" s="69"/>
      <c r="P258" s="69"/>
      <c r="Q258" s="69"/>
    </row>
    <row r="259" spans="2:17" ht="12.75">
      <c r="B259" s="1" t="s">
        <v>128</v>
      </c>
      <c r="C259" s="27" t="s">
        <v>16</v>
      </c>
      <c r="D259" s="1" t="s">
        <v>128</v>
      </c>
      <c r="E259" s="27" t="s">
        <v>16</v>
      </c>
      <c r="F259" s="1" t="s">
        <v>128</v>
      </c>
      <c r="G259" s="27" t="s">
        <v>16</v>
      </c>
      <c r="H259" s="1" t="s">
        <v>128</v>
      </c>
      <c r="I259" s="27" t="s">
        <v>16</v>
      </c>
      <c r="J259" s="1" t="s">
        <v>128</v>
      </c>
      <c r="K259" s="27" t="s">
        <v>16</v>
      </c>
      <c r="L259" s="1" t="s">
        <v>128</v>
      </c>
      <c r="M259" s="27" t="s">
        <v>16</v>
      </c>
      <c r="N259" s="1" t="s">
        <v>128</v>
      </c>
      <c r="O259" s="27" t="s">
        <v>16</v>
      </c>
      <c r="P259" s="1" t="s">
        <v>128</v>
      </c>
      <c r="Q259" s="27" t="s">
        <v>16</v>
      </c>
    </row>
    <row r="261" spans="1:17" ht="12.75">
      <c r="A261" t="s">
        <v>14</v>
      </c>
      <c r="P261" s="1">
        <f>B261+D261+F261+H261+J261+L261+N261</f>
        <v>0</v>
      </c>
      <c r="Q261" s="27">
        <f>C261+E261+G261+I261+K261+M261+O261</f>
        <v>0</v>
      </c>
    </row>
    <row r="262" spans="1:17" ht="12.75">
      <c r="A262" t="s">
        <v>3</v>
      </c>
      <c r="H262" s="1">
        <v>437668.36</v>
      </c>
      <c r="I262" s="27">
        <v>7325694</v>
      </c>
      <c r="P262" s="1">
        <f>B262+D262+F262+H262+J262+L262+N262</f>
        <v>437668.36</v>
      </c>
      <c r="Q262" s="27">
        <f>C262+E262+G262+I262+K262+M262+O262</f>
        <v>7325694</v>
      </c>
    </row>
    <row r="263" spans="1:17" ht="12.75">
      <c r="A263" t="s">
        <v>4</v>
      </c>
      <c r="P263" s="1">
        <f aca="true" t="shared" si="18" ref="P263:P273">B263+D263+F263+H263+J263+L263+N263</f>
        <v>0</v>
      </c>
      <c r="Q263" s="27">
        <f aca="true" t="shared" si="19" ref="Q263:Q273">C263+E263+G263+I263+K263+M263+O263</f>
        <v>0</v>
      </c>
    </row>
    <row r="264" spans="1:17" ht="12.75">
      <c r="A264" t="s">
        <v>5</v>
      </c>
      <c r="H264" s="1">
        <v>507472.1</v>
      </c>
      <c r="I264" s="27">
        <v>8075217</v>
      </c>
      <c r="P264" s="1">
        <f t="shared" si="18"/>
        <v>507472.1</v>
      </c>
      <c r="Q264" s="27">
        <f t="shared" si="19"/>
        <v>8075217</v>
      </c>
    </row>
    <row r="265" spans="1:17" ht="12.75">
      <c r="A265" t="s">
        <v>6</v>
      </c>
      <c r="H265" s="1">
        <v>646602.73</v>
      </c>
      <c r="I265" s="27">
        <v>7357473</v>
      </c>
      <c r="P265" s="1">
        <f t="shared" si="18"/>
        <v>646602.73</v>
      </c>
      <c r="Q265" s="27">
        <f t="shared" si="19"/>
        <v>7357473</v>
      </c>
    </row>
    <row r="266" spans="1:17" ht="12.75">
      <c r="A266" t="s">
        <v>7</v>
      </c>
      <c r="H266" s="1">
        <v>1165271.2</v>
      </c>
      <c r="I266" s="27">
        <v>15908325</v>
      </c>
      <c r="P266" s="1">
        <f t="shared" si="18"/>
        <v>1165271.2</v>
      </c>
      <c r="Q266" s="27">
        <f t="shared" si="19"/>
        <v>15908325</v>
      </c>
    </row>
    <row r="267" spans="1:17" ht="12.75">
      <c r="A267" t="s">
        <v>8</v>
      </c>
      <c r="H267" s="1">
        <v>355066.44</v>
      </c>
      <c r="I267" s="27">
        <f>8078850.45+257870.37</f>
        <v>8336720.82</v>
      </c>
      <c r="P267" s="1">
        <f t="shared" si="18"/>
        <v>355066.44</v>
      </c>
      <c r="Q267" s="27">
        <f t="shared" si="19"/>
        <v>8336720.82</v>
      </c>
    </row>
    <row r="268" spans="1:17" ht="12.75">
      <c r="A268" t="s">
        <v>9</v>
      </c>
      <c r="P268" s="1">
        <f t="shared" si="18"/>
        <v>0</v>
      </c>
      <c r="Q268" s="27">
        <f t="shared" si="19"/>
        <v>0</v>
      </c>
    </row>
    <row r="269" spans="1:17" ht="12.75">
      <c r="A269" t="s">
        <v>10</v>
      </c>
      <c r="P269" s="1">
        <f t="shared" si="18"/>
        <v>0</v>
      </c>
      <c r="Q269" s="27">
        <f t="shared" si="19"/>
        <v>0</v>
      </c>
    </row>
    <row r="270" spans="1:17" ht="12.75">
      <c r="A270" t="s">
        <v>11</v>
      </c>
      <c r="P270" s="1">
        <f t="shared" si="18"/>
        <v>0</v>
      </c>
      <c r="Q270" s="27">
        <f t="shared" si="19"/>
        <v>0</v>
      </c>
    </row>
    <row r="271" spans="1:17" ht="12.75">
      <c r="A271" t="s">
        <v>12</v>
      </c>
      <c r="P271" s="1">
        <f t="shared" si="18"/>
        <v>0</v>
      </c>
      <c r="Q271" s="27">
        <f t="shared" si="19"/>
        <v>0</v>
      </c>
    </row>
    <row r="272" spans="1:17" ht="12.75">
      <c r="A272" t="s">
        <v>13</v>
      </c>
      <c r="P272" s="1">
        <f t="shared" si="18"/>
        <v>0</v>
      </c>
      <c r="Q272" s="27">
        <f t="shared" si="19"/>
        <v>0</v>
      </c>
    </row>
    <row r="273" spans="1:17" ht="12.75">
      <c r="A273" t="s">
        <v>14</v>
      </c>
      <c r="P273" s="1">
        <f t="shared" si="18"/>
        <v>0</v>
      </c>
      <c r="Q273" s="27">
        <f t="shared" si="19"/>
        <v>0</v>
      </c>
    </row>
    <row r="275" spans="2:17" ht="12.75">
      <c r="B275" s="1">
        <f aca="true" t="shared" si="20" ref="B275:Q275">SUM(B261:B273)</f>
        <v>0</v>
      </c>
      <c r="C275" s="27">
        <f t="shared" si="20"/>
        <v>0</v>
      </c>
      <c r="D275" s="1">
        <f t="shared" si="20"/>
        <v>0</v>
      </c>
      <c r="E275" s="27">
        <f t="shared" si="20"/>
        <v>0</v>
      </c>
      <c r="F275" s="1">
        <f t="shared" si="20"/>
        <v>0</v>
      </c>
      <c r="G275" s="27">
        <f t="shared" si="20"/>
        <v>0</v>
      </c>
      <c r="H275" s="1">
        <f t="shared" si="20"/>
        <v>3112080.8299999996</v>
      </c>
      <c r="I275" s="27">
        <f t="shared" si="20"/>
        <v>47003429.82</v>
      </c>
      <c r="J275" s="1">
        <f t="shared" si="20"/>
        <v>0</v>
      </c>
      <c r="K275" s="27">
        <f t="shared" si="20"/>
        <v>0</v>
      </c>
      <c r="L275" s="1">
        <f t="shared" si="20"/>
        <v>0</v>
      </c>
      <c r="M275" s="27">
        <f t="shared" si="20"/>
        <v>0</v>
      </c>
      <c r="N275" s="1">
        <f t="shared" si="20"/>
        <v>0</v>
      </c>
      <c r="O275" s="27">
        <f t="shared" si="20"/>
        <v>0</v>
      </c>
      <c r="P275" s="1">
        <f t="shared" si="20"/>
        <v>3112080.8299999996</v>
      </c>
      <c r="Q275" s="27">
        <f t="shared" si="20"/>
        <v>47003429.82</v>
      </c>
    </row>
    <row r="277" spans="16:17" ht="12.75">
      <c r="P277" s="1">
        <v>3112080.83</v>
      </c>
      <c r="Q277" s="27">
        <f>7325694+8075217+7357473+15908325+8078850+257870</f>
        <v>47003429</v>
      </c>
    </row>
    <row r="279" spans="16:17" ht="12.75">
      <c r="P279" s="1">
        <f>P275-P277</f>
        <v>0</v>
      </c>
      <c r="Q279" s="27">
        <f>Q275-Q277</f>
        <v>0.8200000002980232</v>
      </c>
    </row>
    <row r="295" ht="12.75">
      <c r="A295" t="s">
        <v>156</v>
      </c>
    </row>
    <row r="297" spans="2:17" s="71" customFormat="1" ht="51">
      <c r="B297" s="72" t="s">
        <v>158</v>
      </c>
      <c r="C297" s="73" t="s">
        <v>157</v>
      </c>
      <c r="D297" s="72" t="s">
        <v>159</v>
      </c>
      <c r="E297" s="73" t="s">
        <v>160</v>
      </c>
      <c r="F297" s="72" t="s">
        <v>157</v>
      </c>
      <c r="G297" s="73" t="s">
        <v>161</v>
      </c>
      <c r="H297" s="72" t="s">
        <v>162</v>
      </c>
      <c r="I297" s="73" t="s">
        <v>163</v>
      </c>
      <c r="J297" s="72"/>
      <c r="K297" s="73"/>
      <c r="L297" s="72"/>
      <c r="M297" s="73"/>
      <c r="N297" s="72"/>
      <c r="O297" s="73"/>
      <c r="P297" s="72"/>
      <c r="Q297" s="73"/>
    </row>
    <row r="299" spans="1:9" ht="12.75">
      <c r="A299" s="70" t="s">
        <v>69</v>
      </c>
      <c r="B299" s="27">
        <f>Res!E81</f>
        <v>317479968.13911605</v>
      </c>
      <c r="C299" s="27">
        <f>B299*0.0319</f>
        <v>10127610.9836378</v>
      </c>
      <c r="D299" s="27">
        <f>B299+C299</f>
        <v>327607579.12275386</v>
      </c>
      <c r="E299" s="27">
        <f>'[11]Res'!$L$73</f>
        <v>23066981</v>
      </c>
      <c r="F299" s="27">
        <f>E299*0.0319</f>
        <v>735836.6939</v>
      </c>
      <c r="G299" s="27">
        <f>SUM(D299:F299)</f>
        <v>351410396.81665385</v>
      </c>
      <c r="H299" s="27">
        <f>Q65</f>
        <v>34126626</v>
      </c>
      <c r="I299" s="27">
        <f>G299-H299</f>
        <v>317283770.81665385</v>
      </c>
    </row>
    <row r="300" spans="1:9" ht="12.75">
      <c r="A300" s="70" t="s">
        <v>46</v>
      </c>
      <c r="B300" s="27">
        <f>'GS&lt;50'!C73</f>
        <v>139494818.2672539</v>
      </c>
      <c r="C300" s="27">
        <f>B300*0.0319</f>
        <v>4449884.702725399</v>
      </c>
      <c r="D300" s="27">
        <f>B300+C300</f>
        <v>143944702.96997932</v>
      </c>
      <c r="E300" s="27">
        <f>'[11]GS&lt;50'!$C$71</f>
        <v>10351606.34</v>
      </c>
      <c r="F300" s="27">
        <f>E300*0.0319</f>
        <v>330216.242246</v>
      </c>
      <c r="G300" s="27">
        <f aca="true" t="shared" si="21" ref="G300:G305">SUM(D300:F300)</f>
        <v>154626525.55222532</v>
      </c>
      <c r="H300" s="27">
        <f>Q107</f>
        <v>16947075</v>
      </c>
      <c r="I300" s="27">
        <f aca="true" t="shared" si="22" ref="I300:I305">G300-H300</f>
        <v>137679450.55222532</v>
      </c>
    </row>
    <row r="301" spans="1:9" ht="12.75">
      <c r="A301" s="70" t="s">
        <v>48</v>
      </c>
      <c r="B301" s="27">
        <f>'GS&gt;50'!C140</f>
        <v>225866514.84</v>
      </c>
      <c r="C301" s="27">
        <f>'GS&gt;50'!D140</f>
        <v>7205673.369999999</v>
      </c>
      <c r="D301" s="27">
        <f>B301+C301</f>
        <v>233072188.21</v>
      </c>
      <c r="E301" s="27">
        <f>'[11]GS&gt;50'!$C$177</f>
        <v>28577944.88</v>
      </c>
      <c r="F301" s="27">
        <f>'[11]GS&gt;50'!$D$177</f>
        <v>911706.03</v>
      </c>
      <c r="G301" s="27">
        <f t="shared" si="21"/>
        <v>262561839.12</v>
      </c>
      <c r="H301" s="27">
        <f>Q149+Q191</f>
        <v>44009144</v>
      </c>
      <c r="I301" s="27">
        <f t="shared" si="22"/>
        <v>218552695.12</v>
      </c>
    </row>
    <row r="302" spans="1:9" ht="12.75">
      <c r="A302" s="70" t="s">
        <v>52</v>
      </c>
      <c r="B302" s="27">
        <f>'GS TOU'!C148</f>
        <v>222060731.97000003</v>
      </c>
      <c r="C302" s="27">
        <f>'GS TOU'!D148</f>
        <v>7085926.83</v>
      </c>
      <c r="D302" s="27">
        <f>B302+C302</f>
        <v>229146658.80000004</v>
      </c>
      <c r="E302" s="27">
        <f>'[11]GS TOU'!$C$178</f>
        <v>32493153.02</v>
      </c>
      <c r="F302" s="27">
        <f>'[11]GS TOU'!$D$178</f>
        <v>1036846.02</v>
      </c>
      <c r="G302" s="27">
        <f t="shared" si="21"/>
        <v>262676657.84000006</v>
      </c>
      <c r="H302" s="27">
        <f>Q233</f>
        <v>4882532</v>
      </c>
      <c r="I302" s="27">
        <f t="shared" si="22"/>
        <v>257794125.84000006</v>
      </c>
    </row>
    <row r="303" spans="1:9" ht="12.75">
      <c r="A303" s="70" t="s">
        <v>54</v>
      </c>
      <c r="B303" s="27">
        <f>LU!C153</f>
        <v>126752509.61999999</v>
      </c>
      <c r="C303" s="27">
        <f>LU!D153</f>
        <v>1203261.13</v>
      </c>
      <c r="D303" s="27">
        <f>B303+C303</f>
        <v>127955770.74999999</v>
      </c>
      <c r="E303" s="27">
        <f>'[11]LU'!$C$186</f>
        <v>18762111.72</v>
      </c>
      <c r="F303" s="27">
        <f>'[11]LU'!$D$186</f>
        <v>83387.15</v>
      </c>
      <c r="G303" s="27">
        <f t="shared" si="21"/>
        <v>146801269.61999997</v>
      </c>
      <c r="H303" s="27">
        <f>Q275</f>
        <v>47003429.82</v>
      </c>
      <c r="I303" s="27">
        <f t="shared" si="22"/>
        <v>99797839.79999998</v>
      </c>
    </row>
    <row r="304" spans="1:9" ht="12.75">
      <c r="A304" s="70" t="s">
        <v>76</v>
      </c>
      <c r="B304" s="27"/>
      <c r="D304" s="27">
        <f>'ST LGT'!D21</f>
        <v>5101832.59</v>
      </c>
      <c r="E304" s="27">
        <f>'[11]ST LGT'!$D$19</f>
        <v>678623.02</v>
      </c>
      <c r="F304" s="27"/>
      <c r="G304" s="27">
        <f t="shared" si="21"/>
        <v>5780455.609999999</v>
      </c>
      <c r="H304" s="27">
        <v>0</v>
      </c>
      <c r="I304" s="27">
        <f t="shared" si="22"/>
        <v>5780455.609999999</v>
      </c>
    </row>
    <row r="305" spans="1:9" ht="12.75">
      <c r="A305" s="70" t="s">
        <v>82</v>
      </c>
      <c r="B305" s="27"/>
      <c r="D305" s="27">
        <f>B305+C305</f>
        <v>0</v>
      </c>
      <c r="F305" s="27"/>
      <c r="G305" s="27">
        <f t="shared" si="21"/>
        <v>0</v>
      </c>
      <c r="H305" s="27"/>
      <c r="I305" s="27">
        <f t="shared" si="22"/>
        <v>0</v>
      </c>
    </row>
    <row r="306" spans="2:8" ht="12.75">
      <c r="B306" s="27"/>
      <c r="D306" s="27"/>
      <c r="F306" s="27"/>
      <c r="H306" s="27"/>
    </row>
    <row r="307" spans="2:9" ht="12.75">
      <c r="B307" s="27">
        <f aca="true" t="shared" si="23" ref="B307:G307">SUM(B299:B306)</f>
        <v>1031654542.83637</v>
      </c>
      <c r="C307" s="27">
        <f t="shared" si="23"/>
        <v>30072357.0163632</v>
      </c>
      <c r="D307" s="27">
        <f t="shared" si="23"/>
        <v>1066828732.4427333</v>
      </c>
      <c r="E307" s="27">
        <f t="shared" si="23"/>
        <v>113930419.97999999</v>
      </c>
      <c r="F307" s="27">
        <f t="shared" si="23"/>
        <v>3097992.136146</v>
      </c>
      <c r="G307" s="27">
        <f t="shared" si="23"/>
        <v>1183857144.5588791</v>
      </c>
      <c r="H307" s="27">
        <f>SUM(H299:H306)</f>
        <v>146968806.82</v>
      </c>
      <c r="I307" s="27">
        <f>SUM(I299:I306)</f>
        <v>1036888337.7388792</v>
      </c>
    </row>
    <row r="308" spans="2:4" ht="12.75">
      <c r="B308" s="27"/>
      <c r="D308" s="27"/>
    </row>
    <row r="309" spans="2:4" ht="12.75">
      <c r="B309" s="27"/>
      <c r="D309" s="27"/>
    </row>
    <row r="310" spans="2:4" ht="12.75">
      <c r="B310" s="27"/>
      <c r="D310" s="27"/>
    </row>
    <row r="311" spans="2:4" ht="12.75">
      <c r="B311" s="27"/>
      <c r="D311" s="27"/>
    </row>
    <row r="312" spans="2:4" ht="12.75">
      <c r="B312" s="27"/>
      <c r="D312" s="27"/>
    </row>
    <row r="313" spans="2:4" ht="12.75">
      <c r="B313" s="27"/>
      <c r="D313" s="27"/>
    </row>
    <row r="314" spans="2:4" ht="12.75">
      <c r="B314" s="27"/>
      <c r="D314" s="27"/>
    </row>
    <row r="315" spans="2:4" ht="12.75">
      <c r="B315" s="27"/>
      <c r="D315" s="27"/>
    </row>
    <row r="316" spans="2:4" ht="12.75">
      <c r="B316" s="27"/>
      <c r="D316" s="27"/>
    </row>
    <row r="317" spans="2:4" ht="12.75">
      <c r="B317" s="27"/>
      <c r="D317" s="27"/>
    </row>
    <row r="318" spans="2:4" ht="12.75">
      <c r="B318" s="27"/>
      <c r="D318" s="27"/>
    </row>
    <row r="319" ht="12.75">
      <c r="D319" s="27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4"/>
  <sheetViews>
    <sheetView zoomScale="75" zoomScaleNormal="75" zoomScalePageLayoutView="0" workbookViewId="0" topLeftCell="A265">
      <selection activeCell="B139" sqref="B139"/>
    </sheetView>
  </sheetViews>
  <sheetFormatPr defaultColWidth="9.140625" defaultRowHeight="12.75"/>
  <cols>
    <col min="1" max="1" width="29.00390625" style="0" customWidth="1"/>
    <col min="2" max="2" width="17.7109375" style="1" customWidth="1"/>
    <col min="3" max="3" width="19.7109375" style="1" customWidth="1"/>
    <col min="4" max="7" width="17.28125" style="1" customWidth="1"/>
    <col min="8" max="8" width="17.8515625" style="1" customWidth="1"/>
    <col min="9" max="9" width="19.57421875" style="27" bestFit="1" customWidth="1"/>
    <col min="10" max="10" width="19.57421875" style="24" bestFit="1" customWidth="1"/>
    <col min="11" max="11" width="14.7109375" style="27" customWidth="1"/>
    <col min="12" max="12" width="15.57421875" style="24" customWidth="1"/>
    <col min="13" max="13" width="14.421875" style="0" customWidth="1"/>
  </cols>
  <sheetData>
    <row r="1" spans="1:2" ht="16.5" thickBot="1">
      <c r="A1" s="83" t="s">
        <v>69</v>
      </c>
      <c r="B1" s="144" t="s">
        <v>205</v>
      </c>
    </row>
    <row r="2" ht="12.75"/>
    <row r="3" spans="2:13" ht="38.25">
      <c r="B3" s="5" t="s">
        <v>89</v>
      </c>
      <c r="C3" s="5" t="s">
        <v>90</v>
      </c>
      <c r="D3" s="5" t="s">
        <v>91</v>
      </c>
      <c r="E3" s="5" t="s">
        <v>199</v>
      </c>
      <c r="F3" s="5" t="s">
        <v>200</v>
      </c>
      <c r="G3" s="5" t="s">
        <v>201</v>
      </c>
      <c r="H3" s="5" t="s">
        <v>92</v>
      </c>
      <c r="I3" s="5" t="s">
        <v>67</v>
      </c>
      <c r="J3" s="5" t="s">
        <v>68</v>
      </c>
      <c r="K3" s="5" t="s">
        <v>78</v>
      </c>
      <c r="L3" s="5" t="s">
        <v>79</v>
      </c>
      <c r="M3" s="4" t="s">
        <v>70</v>
      </c>
    </row>
    <row r="4" spans="1:13" ht="12.75">
      <c r="A4" s="66" t="s">
        <v>202</v>
      </c>
      <c r="D4" s="27">
        <v>-45510520</v>
      </c>
      <c r="E4" s="27">
        <f aca="true" t="shared" si="0" ref="E4:E17">+D4*$F$32</f>
        <v>-82191.99912000001</v>
      </c>
      <c r="F4" s="27">
        <f aca="true" t="shared" si="1" ref="F4:F17">+D4*$H$32</f>
        <v>-263187.33716</v>
      </c>
      <c r="G4" s="27">
        <f>SUM(E4:F4)</f>
        <v>-345379.33628</v>
      </c>
      <c r="M4" s="27"/>
    </row>
    <row r="5" spans="1:13" ht="12.75">
      <c r="A5" t="s">
        <v>3</v>
      </c>
      <c r="B5" s="1">
        <f>Res!C7</f>
        <v>466112.5699999517</v>
      </c>
      <c r="C5" s="1">
        <f>Res!D7</f>
        <v>532893.0300000018</v>
      </c>
      <c r="D5" s="27">
        <f>Res!E7</f>
        <v>29441517.499337014</v>
      </c>
      <c r="E5" s="27">
        <f t="shared" si="0"/>
        <v>53171.38060380265</v>
      </c>
      <c r="F5" s="27">
        <f t="shared" si="1"/>
        <v>170260.29569866596</v>
      </c>
      <c r="G5" s="27">
        <f>SUM(E5:F5)</f>
        <v>223431.6763024686</v>
      </c>
      <c r="K5" s="1">
        <f aca="true" t="shared" si="2" ref="K5:K16">B5+H5</f>
        <v>466112.5699999517</v>
      </c>
      <c r="L5" s="1">
        <f aca="true" t="shared" si="3" ref="L5:L16">C5+I5</f>
        <v>532893.0300000018</v>
      </c>
      <c r="M5" s="27">
        <f aca="true" t="shared" si="4" ref="M5:M16">D5+J5</f>
        <v>29441517.499337014</v>
      </c>
    </row>
    <row r="6" spans="1:13" ht="12.75">
      <c r="A6" t="s">
        <v>4</v>
      </c>
      <c r="B6" s="1">
        <f>Res!C13</f>
        <v>458204.0400000483</v>
      </c>
      <c r="C6" s="1">
        <f>Res!D13</f>
        <v>613549.3100000041</v>
      </c>
      <c r="D6" s="27">
        <f>Res!E13</f>
        <v>33908120.9</v>
      </c>
      <c r="E6" s="27">
        <f t="shared" si="0"/>
        <v>61238.0663454</v>
      </c>
      <c r="F6" s="27">
        <f t="shared" si="1"/>
        <v>196090.6631647</v>
      </c>
      <c r="G6" s="27">
        <f aca="true" t="shared" si="5" ref="G6:G17">SUM(E6:F6)</f>
        <v>257328.7295101</v>
      </c>
      <c r="K6" s="1">
        <f t="shared" si="2"/>
        <v>458204.0400000483</v>
      </c>
      <c r="L6" s="1">
        <f t="shared" si="3"/>
        <v>613549.3100000041</v>
      </c>
      <c r="M6" s="27">
        <f t="shared" si="4"/>
        <v>33908120.9</v>
      </c>
    </row>
    <row r="7" spans="1:13" ht="12.75">
      <c r="A7" t="s">
        <v>5</v>
      </c>
      <c r="B7" s="1">
        <f>Res!C19</f>
        <v>413178.9100000001</v>
      </c>
      <c r="C7" s="1">
        <f>Res!D19</f>
        <v>514085.6300000017</v>
      </c>
      <c r="D7" s="27">
        <f>Res!E19</f>
        <v>28403496.979999997</v>
      </c>
      <c r="E7" s="27">
        <f t="shared" si="0"/>
        <v>51296.71554588</v>
      </c>
      <c r="F7" s="27">
        <f t="shared" si="1"/>
        <v>164257.42303533998</v>
      </c>
      <c r="G7" s="27">
        <f t="shared" si="5"/>
        <v>215554.13858121997</v>
      </c>
      <c r="H7" s="1">
        <f>Res!J19</f>
        <v>0</v>
      </c>
      <c r="I7" s="1">
        <f>Res!K19</f>
        <v>0</v>
      </c>
      <c r="J7" s="1">
        <f>Res!L19</f>
        <v>0</v>
      </c>
      <c r="K7" s="1">
        <f t="shared" si="2"/>
        <v>413178.9100000001</v>
      </c>
      <c r="L7" s="1">
        <f t="shared" si="3"/>
        <v>514085.6300000017</v>
      </c>
      <c r="M7" s="27">
        <f t="shared" si="4"/>
        <v>28403496.979999997</v>
      </c>
    </row>
    <row r="8" spans="1:13" ht="12.75">
      <c r="A8" t="s">
        <v>6</v>
      </c>
      <c r="B8" s="1">
        <f>Res!C25</f>
        <v>398031.2099999999</v>
      </c>
      <c r="C8" s="1">
        <f>Res!D25</f>
        <v>498956.72999999736</v>
      </c>
      <c r="D8" s="27">
        <f>Res!E25</f>
        <v>27566572.950000003</v>
      </c>
      <c r="E8" s="27">
        <f t="shared" si="0"/>
        <v>49785.23074770001</v>
      </c>
      <c r="F8" s="27">
        <f t="shared" si="1"/>
        <v>159417.49136985</v>
      </c>
      <c r="G8" s="27">
        <f t="shared" si="5"/>
        <v>209202.72211755</v>
      </c>
      <c r="H8" s="1">
        <f>Res!J25</f>
        <v>0</v>
      </c>
      <c r="I8" s="1">
        <f>Res!K25</f>
        <v>0</v>
      </c>
      <c r="J8" s="1">
        <f>Res!L25</f>
        <v>0</v>
      </c>
      <c r="K8" s="1">
        <f t="shared" si="2"/>
        <v>398031.2099999999</v>
      </c>
      <c r="L8" s="1">
        <f t="shared" si="3"/>
        <v>498956.72999999736</v>
      </c>
      <c r="M8" s="27">
        <f t="shared" si="4"/>
        <v>27566572.950000003</v>
      </c>
    </row>
    <row r="9" spans="1:13" ht="12.75">
      <c r="A9" t="s">
        <v>7</v>
      </c>
      <c r="B9" s="1">
        <f>Res!C31</f>
        <v>507841.75</v>
      </c>
      <c r="C9" s="1">
        <f>Res!D31</f>
        <v>526018.6299999997</v>
      </c>
      <c r="D9" s="27">
        <f>Res!E31</f>
        <v>29061750.88</v>
      </c>
      <c r="E9" s="27">
        <f t="shared" si="0"/>
        <v>52485.52208928</v>
      </c>
      <c r="F9" s="27">
        <f t="shared" si="1"/>
        <v>168064.10533904</v>
      </c>
      <c r="G9" s="27">
        <f t="shared" si="5"/>
        <v>220549.62742832</v>
      </c>
      <c r="H9" s="1">
        <f>Res!J31</f>
        <v>0</v>
      </c>
      <c r="I9" s="1">
        <f>Res!K31</f>
        <v>0</v>
      </c>
      <c r="J9" s="1">
        <f>Res!L31</f>
        <v>0</v>
      </c>
      <c r="K9" s="1">
        <f t="shared" si="2"/>
        <v>507841.75</v>
      </c>
      <c r="L9" s="1">
        <f t="shared" si="3"/>
        <v>526018.6299999997</v>
      </c>
      <c r="M9" s="27">
        <f t="shared" si="4"/>
        <v>29061750.88</v>
      </c>
    </row>
    <row r="10" spans="1:13" ht="12.75">
      <c r="A10" t="s">
        <v>8</v>
      </c>
      <c r="B10" s="1">
        <f>Res!C37</f>
        <v>432369.5</v>
      </c>
      <c r="C10" s="1">
        <f>Res!D37</f>
        <v>414593.64000000065</v>
      </c>
      <c r="D10" s="27">
        <f>Res!E37</f>
        <v>22903403.939779006</v>
      </c>
      <c r="E10" s="27">
        <f t="shared" si="0"/>
        <v>41363.54751524088</v>
      </c>
      <c r="F10" s="27">
        <f t="shared" si="1"/>
        <v>132450.384983742</v>
      </c>
      <c r="G10" s="27">
        <f t="shared" si="5"/>
        <v>173813.93249898287</v>
      </c>
      <c r="H10" s="1">
        <f>Res!J37</f>
        <v>0</v>
      </c>
      <c r="I10" s="1">
        <f>Res!K37</f>
        <v>0</v>
      </c>
      <c r="J10" s="1">
        <f>Res!L37</f>
        <v>0</v>
      </c>
      <c r="K10" s="1">
        <f t="shared" si="2"/>
        <v>432369.5</v>
      </c>
      <c r="L10" s="1">
        <f t="shared" si="3"/>
        <v>414593.64000000065</v>
      </c>
      <c r="M10" s="27">
        <f t="shared" si="4"/>
        <v>22903403.939779006</v>
      </c>
    </row>
    <row r="11" spans="1:13" ht="12.75">
      <c r="A11" t="s">
        <v>9</v>
      </c>
      <c r="B11" s="1">
        <f>Res!C43</f>
        <v>431085.33</v>
      </c>
      <c r="C11" s="1">
        <f>Res!D43</f>
        <v>388668.35000000003</v>
      </c>
      <c r="D11" s="27">
        <f>Res!E43</f>
        <v>21473304.99</v>
      </c>
      <c r="E11" s="27">
        <f t="shared" si="0"/>
        <v>38780.78881194</v>
      </c>
      <c r="F11" s="27">
        <f t="shared" si="1"/>
        <v>124180.12275716999</v>
      </c>
      <c r="G11" s="27">
        <f t="shared" si="5"/>
        <v>162960.91156911</v>
      </c>
      <c r="H11" s="1">
        <f>Res!J43</f>
        <v>0</v>
      </c>
      <c r="I11" s="1">
        <f>Res!K43</f>
        <v>0</v>
      </c>
      <c r="J11" s="1">
        <f>Res!L43</f>
        <v>0</v>
      </c>
      <c r="K11" s="1">
        <f t="shared" si="2"/>
        <v>431085.33</v>
      </c>
      <c r="L11" s="1">
        <f t="shared" si="3"/>
        <v>388668.35000000003</v>
      </c>
      <c r="M11" s="27">
        <f t="shared" si="4"/>
        <v>21473304.99</v>
      </c>
    </row>
    <row r="12" spans="1:13" ht="12.75">
      <c r="A12" t="s">
        <v>10</v>
      </c>
      <c r="B12" s="1">
        <f>Res!C49</f>
        <v>468658.69</v>
      </c>
      <c r="C12" s="1">
        <f>Res!D49</f>
        <v>502471.17</v>
      </c>
      <c r="D12" s="27">
        <f>Res!E49</f>
        <v>27760838.12154696</v>
      </c>
      <c r="E12" s="27">
        <f t="shared" si="0"/>
        <v>50136.07364751382</v>
      </c>
      <c r="F12" s="27">
        <f t="shared" si="1"/>
        <v>160540.92685690607</v>
      </c>
      <c r="G12" s="27">
        <f t="shared" si="5"/>
        <v>210677.00050441988</v>
      </c>
      <c r="H12" s="1">
        <f>Res!J49</f>
        <v>0</v>
      </c>
      <c r="I12" s="1">
        <f>Res!K49</f>
        <v>0</v>
      </c>
      <c r="J12" s="1">
        <f>Res!L49</f>
        <v>0</v>
      </c>
      <c r="K12" s="1">
        <f t="shared" si="2"/>
        <v>468658.69</v>
      </c>
      <c r="L12" s="1">
        <f t="shared" si="3"/>
        <v>502471.17</v>
      </c>
      <c r="M12" s="27">
        <f t="shared" si="4"/>
        <v>27760838.12154696</v>
      </c>
    </row>
    <row r="13" spans="1:13" ht="12.75">
      <c r="A13" t="s">
        <v>11</v>
      </c>
      <c r="B13" s="1">
        <f>Res!C55</f>
        <v>415743.12</v>
      </c>
      <c r="C13" s="1">
        <f>Res!D55</f>
        <v>420267.65</v>
      </c>
      <c r="D13" s="27">
        <f>Res!E55</f>
        <v>23219207.182320442</v>
      </c>
      <c r="E13" s="27">
        <f t="shared" si="0"/>
        <v>41933.88817127072</v>
      </c>
      <c r="F13" s="27">
        <f t="shared" si="1"/>
        <v>134276.6751353591</v>
      </c>
      <c r="G13" s="27">
        <f t="shared" si="5"/>
        <v>176210.56330662983</v>
      </c>
      <c r="H13" s="1">
        <f>Res!J55</f>
        <v>0</v>
      </c>
      <c r="I13" s="1">
        <f>Res!K55</f>
        <v>0</v>
      </c>
      <c r="J13" s="1">
        <f>Res!L55</f>
        <v>0</v>
      </c>
      <c r="K13" s="1">
        <f t="shared" si="2"/>
        <v>415743.12</v>
      </c>
      <c r="L13" s="1">
        <f t="shared" si="3"/>
        <v>420267.65</v>
      </c>
      <c r="M13" s="27">
        <f t="shared" si="4"/>
        <v>23219207.182320442</v>
      </c>
    </row>
    <row r="14" spans="1:13" ht="12.75">
      <c r="A14" t="s">
        <v>12</v>
      </c>
      <c r="B14" s="1">
        <f>Res!C61</f>
        <v>464441.1</v>
      </c>
      <c r="C14" s="1">
        <f>Res!D61</f>
        <v>452890.85</v>
      </c>
      <c r="D14" s="27">
        <f>Res!E61</f>
        <v>25021593.92265193</v>
      </c>
      <c r="E14" s="27">
        <f t="shared" si="0"/>
        <v>45188.99862430939</v>
      </c>
      <c r="F14" s="27">
        <f t="shared" si="1"/>
        <v>144699.87765469612</v>
      </c>
      <c r="G14" s="27">
        <f t="shared" si="5"/>
        <v>189888.8762790055</v>
      </c>
      <c r="H14" s="1">
        <f>Res!J61</f>
        <v>0</v>
      </c>
      <c r="I14" s="1">
        <f>Res!K61</f>
        <v>0</v>
      </c>
      <c r="J14" s="1">
        <f>Res!L61</f>
        <v>0</v>
      </c>
      <c r="K14" s="1">
        <f t="shared" si="2"/>
        <v>464441.1</v>
      </c>
      <c r="L14" s="1">
        <f t="shared" si="3"/>
        <v>452890.85</v>
      </c>
      <c r="M14" s="27">
        <f t="shared" si="4"/>
        <v>25021593.92265193</v>
      </c>
    </row>
    <row r="15" spans="1:13" ht="12.75">
      <c r="A15" t="s">
        <v>13</v>
      </c>
      <c r="B15" s="1">
        <f>+Res!C67</f>
        <v>477994.82999999996</v>
      </c>
      <c r="C15" s="1">
        <f>+Res!D67</f>
        <v>451321.95999999996</v>
      </c>
      <c r="D15" s="27">
        <f>+Res!E67</f>
        <v>24934914.917127073</v>
      </c>
      <c r="E15" s="27">
        <f t="shared" si="0"/>
        <v>45032.4563403315</v>
      </c>
      <c r="F15" s="27">
        <f t="shared" si="1"/>
        <v>144198.61296574585</v>
      </c>
      <c r="G15" s="27">
        <f t="shared" si="5"/>
        <v>189231.06930607735</v>
      </c>
      <c r="J15" s="1">
        <f>Res!L67</f>
        <v>0</v>
      </c>
      <c r="K15" s="1">
        <f t="shared" si="2"/>
        <v>477994.82999999996</v>
      </c>
      <c r="L15" s="1">
        <f t="shared" si="3"/>
        <v>451321.95999999996</v>
      </c>
      <c r="M15" s="27">
        <f t="shared" si="4"/>
        <v>24934914.917127073</v>
      </c>
    </row>
    <row r="16" spans="1:13" s="74" customFormat="1" ht="12.75">
      <c r="A16" s="74" t="s">
        <v>14</v>
      </c>
      <c r="B16" s="111">
        <f>+Res!C73</f>
        <v>399397.32</v>
      </c>
      <c r="C16" s="111">
        <f>+Res!D73</f>
        <v>430512.95</v>
      </c>
      <c r="D16" s="112">
        <f>+Res!E73</f>
        <v>23785245.85635359</v>
      </c>
      <c r="E16" s="27">
        <f t="shared" si="0"/>
        <v>42956.15401657458</v>
      </c>
      <c r="F16" s="27">
        <f t="shared" si="1"/>
        <v>137550.0767872928</v>
      </c>
      <c r="G16" s="27">
        <f t="shared" si="5"/>
        <v>180506.2308038674</v>
      </c>
      <c r="H16" s="111">
        <f>Res!J73</f>
        <v>0</v>
      </c>
      <c r="I16" s="112">
        <f>Res!K73</f>
        <v>0</v>
      </c>
      <c r="J16" s="111">
        <f>Res!L73</f>
        <v>0</v>
      </c>
      <c r="K16" s="111">
        <f t="shared" si="2"/>
        <v>399397.32</v>
      </c>
      <c r="L16" s="111">
        <f t="shared" si="3"/>
        <v>430512.95</v>
      </c>
      <c r="M16" s="112">
        <f t="shared" si="4"/>
        <v>23785245.85635359</v>
      </c>
    </row>
    <row r="17" spans="1:13" ht="12.75">
      <c r="A17" s="114" t="s">
        <v>203</v>
      </c>
      <c r="B17" s="8"/>
      <c r="C17" s="8"/>
      <c r="D17" s="28">
        <v>43779793</v>
      </c>
      <c r="E17" s="28">
        <f t="shared" si="0"/>
        <v>79066.306158</v>
      </c>
      <c r="F17" s="28">
        <f t="shared" si="1"/>
        <v>253178.542919</v>
      </c>
      <c r="G17" s="28">
        <f t="shared" si="5"/>
        <v>332244.849077</v>
      </c>
      <c r="H17" s="8"/>
      <c r="I17" s="28"/>
      <c r="J17" s="31"/>
      <c r="K17" s="28"/>
      <c r="L17" s="31"/>
      <c r="M17" s="28"/>
    </row>
    <row r="18" spans="2:13" ht="12.75">
      <c r="B18" s="58">
        <f>SUM(B4:B17)</f>
        <v>5333058.37</v>
      </c>
      <c r="C18" s="58">
        <f aca="true" t="shared" si="6" ref="C18:H18">SUM(C4:C17)</f>
        <v>5746229.900000005</v>
      </c>
      <c r="D18" s="58">
        <f t="shared" si="6"/>
        <v>315749241.139116</v>
      </c>
      <c r="E18" s="58">
        <f t="shared" si="6"/>
        <v>570243.1294972436</v>
      </c>
      <c r="F18" s="58">
        <f t="shared" si="6"/>
        <v>1825977.8615075077</v>
      </c>
      <c r="G18" s="58">
        <f t="shared" si="6"/>
        <v>2396220.9910047515</v>
      </c>
      <c r="H18" s="135">
        <f t="shared" si="6"/>
        <v>0</v>
      </c>
      <c r="I18" s="135">
        <f>SUM(I4:I17)</f>
        <v>0</v>
      </c>
      <c r="J18" s="135">
        <f>SUM(J4:J17)</f>
        <v>0</v>
      </c>
      <c r="K18" s="135">
        <f>SUM(K4:K17)</f>
        <v>5333058.37</v>
      </c>
      <c r="L18" s="135">
        <f>SUM(L4:L17)</f>
        <v>5746229.900000005</v>
      </c>
      <c r="M18" s="135">
        <f>SUM(M4:M17)</f>
        <v>317479968.13911605</v>
      </c>
    </row>
    <row r="19" spans="2:13" ht="12.75">
      <c r="B19" s="1">
        <f>+B18-Res!C81</f>
        <v>0</v>
      </c>
      <c r="C19" s="1">
        <f>+C18-Res!D81</f>
        <v>0</v>
      </c>
      <c r="D19" s="1">
        <f>+D18-Res!E81</f>
        <v>-1730727.0000000596</v>
      </c>
      <c r="E19" s="1">
        <f>+E18-D20</f>
        <v>0</v>
      </c>
      <c r="F19" s="1">
        <f>+F18-D21</f>
        <v>0</v>
      </c>
      <c r="G19" s="1">
        <f>+G18-D22</f>
        <v>0</v>
      </c>
      <c r="M19" s="27"/>
    </row>
    <row r="20" spans="1:7" s="1" customFormat="1" ht="12.75">
      <c r="A20" s="58" t="s">
        <v>196</v>
      </c>
      <c r="C20" s="58"/>
      <c r="D20" s="58">
        <f>+D18*F32</f>
        <v>570243.1294972436</v>
      </c>
      <c r="E20" s="58"/>
      <c r="F20" s="58"/>
      <c r="G20" s="58"/>
    </row>
    <row r="21" spans="1:7" s="1" customFormat="1" ht="12.75">
      <c r="A21" s="58" t="s">
        <v>197</v>
      </c>
      <c r="C21" s="58"/>
      <c r="D21" s="58">
        <f>+D18*H32</f>
        <v>1825977.8615075077</v>
      </c>
      <c r="E21" s="58"/>
      <c r="F21" s="58"/>
      <c r="G21" s="58"/>
    </row>
    <row r="22" spans="1:7" s="1" customFormat="1" ht="13.5" thickBot="1">
      <c r="A22" s="58" t="s">
        <v>198</v>
      </c>
      <c r="C22" s="58"/>
      <c r="D22" s="115">
        <f>SUM(D20:D21)</f>
        <v>2396220.991004751</v>
      </c>
      <c r="E22" s="141"/>
      <c r="F22" s="140"/>
      <c r="G22" s="140"/>
    </row>
    <row r="23" spans="3:7" s="1" customFormat="1" ht="12.75">
      <c r="C23" s="58"/>
      <c r="D23" s="27">
        <v>337000000</v>
      </c>
      <c r="E23" s="27"/>
      <c r="F23" s="27"/>
      <c r="G23" s="27"/>
    </row>
    <row r="24" spans="4:7" s="1" customFormat="1" ht="12.75">
      <c r="D24" s="24">
        <f>D18/D23</f>
        <v>0.9369413683653294</v>
      </c>
      <c r="E24" s="24"/>
      <c r="F24" s="24"/>
      <c r="G24" s="24"/>
    </row>
    <row r="25" spans="4:13" ht="12.75">
      <c r="D25" s="57">
        <v>0.001806</v>
      </c>
      <c r="E25" s="1" t="s">
        <v>116</v>
      </c>
      <c r="F25" s="57"/>
      <c r="G25" s="57"/>
      <c r="L25" s="1"/>
      <c r="M25" s="27"/>
    </row>
    <row r="26" spans="4:13" ht="12.75">
      <c r="D26" s="27">
        <f>ROUND(D18*D25,0)</f>
        <v>570243</v>
      </c>
      <c r="E26" s="1" t="s">
        <v>117</v>
      </c>
      <c r="F26" s="27"/>
      <c r="G26" s="27"/>
      <c r="M26" s="27"/>
    </row>
    <row r="27" ht="13.5" thickBot="1">
      <c r="M27" s="27"/>
    </row>
    <row r="28" spans="1:13" ht="12.75">
      <c r="A28" t="s">
        <v>10</v>
      </c>
      <c r="B28" s="1">
        <f>E28*11.77</f>
        <v>457594.06</v>
      </c>
      <c r="C28" s="24">
        <f>'[16]kWh'!J12</f>
        <v>0.08414518664441924</v>
      </c>
      <c r="D28" s="27">
        <f>C28*D$23-1000000</f>
        <v>27356927.89916928</v>
      </c>
      <c r="E28" s="27">
        <v>38878</v>
      </c>
      <c r="F28" s="91"/>
      <c r="G28" s="107" t="s">
        <v>195</v>
      </c>
      <c r="H28" s="93"/>
      <c r="M28" s="27"/>
    </row>
    <row r="29" spans="1:13" ht="12.75">
      <c r="A29" t="s">
        <v>11</v>
      </c>
      <c r="B29" s="1">
        <f>E29*11.77</f>
        <v>443540.68</v>
      </c>
      <c r="C29" s="24">
        <f>'[16]kWh'!J13</f>
        <v>0.08282746334919878</v>
      </c>
      <c r="D29" s="27">
        <f>C29*D$23-1000000</f>
        <v>26912855.14867999</v>
      </c>
      <c r="E29" s="27">
        <v>37684</v>
      </c>
      <c r="F29" s="105" t="s">
        <v>194</v>
      </c>
      <c r="G29" s="94"/>
      <c r="H29" s="95"/>
      <c r="M29" s="27"/>
    </row>
    <row r="30" spans="1:13" ht="12.75">
      <c r="A30" t="s">
        <v>12</v>
      </c>
      <c r="B30" s="1">
        <f>E30*11.77</f>
        <v>459053.54</v>
      </c>
      <c r="C30" s="24">
        <f>'[16]kWh'!J14</f>
        <v>0.08498021556687134</v>
      </c>
      <c r="D30" s="27">
        <f>C30*D$23-1000000</f>
        <v>27638332.64603564</v>
      </c>
      <c r="E30" s="27">
        <v>39002</v>
      </c>
      <c r="F30" s="96" t="s">
        <v>186</v>
      </c>
      <c r="G30" s="97"/>
      <c r="H30" s="98" t="s">
        <v>187</v>
      </c>
      <c r="M30" s="27"/>
    </row>
    <row r="31" spans="1:13" ht="12.75">
      <c r="A31" t="s">
        <v>13</v>
      </c>
      <c r="B31" s="1">
        <f>E31*11.77</f>
        <v>445129.63</v>
      </c>
      <c r="C31" s="24">
        <f>'[16]kWh'!J15</f>
        <v>0.08546284393466597</v>
      </c>
      <c r="D31" s="27">
        <f>C31*D$23-1000000+500000</f>
        <v>28300978.40598243</v>
      </c>
      <c r="E31" s="27">
        <v>37819</v>
      </c>
      <c r="F31" s="99"/>
      <c r="G31" s="100"/>
      <c r="H31" s="101"/>
      <c r="M31" s="27"/>
    </row>
    <row r="32" spans="1:13" ht="12.75">
      <c r="A32" s="74" t="s">
        <v>14</v>
      </c>
      <c r="B32" s="1">
        <f>E32*11.77</f>
        <v>460877.88999999996</v>
      </c>
      <c r="C32" s="24">
        <f>'[16]kWh'!J16</f>
        <v>0.0855294429531431</v>
      </c>
      <c r="D32" s="27">
        <f>C32*D$23-1000000+500000</f>
        <v>28323422.275209226</v>
      </c>
      <c r="E32" s="27">
        <v>39157</v>
      </c>
      <c r="F32" s="108">
        <v>0.001806</v>
      </c>
      <c r="G32" s="109" t="s">
        <v>188</v>
      </c>
      <c r="H32" s="110">
        <v>0.005783</v>
      </c>
      <c r="M32" s="27"/>
    </row>
    <row r="33" spans="6:13" ht="12.75">
      <c r="F33" s="99">
        <v>0.001148</v>
      </c>
      <c r="G33" s="106" t="s">
        <v>189</v>
      </c>
      <c r="H33" s="101">
        <v>0.003678</v>
      </c>
      <c r="M33" s="27"/>
    </row>
    <row r="34" spans="2:8" ht="12.75">
      <c r="B34" s="1">
        <f>ROUND(SUM(B18:B32),-3)</f>
        <v>7599000</v>
      </c>
      <c r="C34" s="1">
        <f>ROUND(D34*0.0181,-3)</f>
        <v>8217000</v>
      </c>
      <c r="D34" s="27">
        <f>ROUND(D18+SUM(D28:D32),-6)</f>
        <v>454000000</v>
      </c>
      <c r="E34" s="27"/>
      <c r="F34" s="99">
        <v>0.195271</v>
      </c>
      <c r="G34" s="106" t="s">
        <v>190</v>
      </c>
      <c r="H34" s="101">
        <v>0.625371</v>
      </c>
    </row>
    <row r="35" spans="6:8" ht="12.75">
      <c r="F35" s="99">
        <v>0.120059</v>
      </c>
      <c r="G35" s="106" t="s">
        <v>191</v>
      </c>
      <c r="H35" s="101">
        <v>0.384498</v>
      </c>
    </row>
    <row r="36" spans="4:8" ht="12.75">
      <c r="D36" s="57">
        <f>D25</f>
        <v>0.001806</v>
      </c>
      <c r="E36" s="57"/>
      <c r="F36" s="99">
        <v>0.097704</v>
      </c>
      <c r="G36" s="106" t="s">
        <v>192</v>
      </c>
      <c r="H36" s="101">
        <v>0.312905</v>
      </c>
    </row>
    <row r="37" spans="4:8" ht="12.75">
      <c r="D37" s="27">
        <f>D34*D36</f>
        <v>819924</v>
      </c>
      <c r="E37" s="27"/>
      <c r="F37" s="99">
        <v>0.101043</v>
      </c>
      <c r="G37" s="106" t="s">
        <v>193</v>
      </c>
      <c r="H37" s="101">
        <v>0.323597</v>
      </c>
    </row>
    <row r="38" spans="6:8" ht="12.75">
      <c r="F38" s="99"/>
      <c r="G38" s="100"/>
      <c r="H38" s="101"/>
    </row>
    <row r="39" spans="6:8" ht="13.5" thickBot="1">
      <c r="F39" s="102"/>
      <c r="G39" s="103"/>
      <c r="H39" s="104"/>
    </row>
    <row r="40" ht="13.5" thickBot="1"/>
    <row r="41" spans="1:12" s="20" customFormat="1" ht="16.5" thickBot="1">
      <c r="A41" s="84" t="s">
        <v>46</v>
      </c>
      <c r="B41" s="144" t="s">
        <v>205</v>
      </c>
      <c r="C41" s="21"/>
      <c r="D41" s="21"/>
      <c r="E41" s="21"/>
      <c r="F41" s="21"/>
      <c r="G41" s="21"/>
      <c r="H41" s="21"/>
      <c r="I41" s="25"/>
      <c r="J41" s="29"/>
      <c r="K41" s="25"/>
      <c r="L41" s="29"/>
    </row>
    <row r="42" ht="12.75"/>
    <row r="43" spans="2:13" s="4" customFormat="1" ht="38.25">
      <c r="B43" s="5" t="s">
        <v>172</v>
      </c>
      <c r="C43" s="5" t="s">
        <v>184</v>
      </c>
      <c r="D43" s="5" t="s">
        <v>173</v>
      </c>
      <c r="E43" s="5" t="s">
        <v>199</v>
      </c>
      <c r="F43" s="5" t="s">
        <v>200</v>
      </c>
      <c r="G43" s="5" t="s">
        <v>201</v>
      </c>
      <c r="H43" s="5" t="s">
        <v>93</v>
      </c>
      <c r="I43" s="6" t="s">
        <v>101</v>
      </c>
      <c r="J43" s="5" t="s">
        <v>96</v>
      </c>
      <c r="K43" s="5" t="s">
        <v>97</v>
      </c>
      <c r="L43" s="5" t="s">
        <v>98</v>
      </c>
      <c r="M43" s="5" t="s">
        <v>99</v>
      </c>
    </row>
    <row r="44" spans="2:12" s="22" customFormat="1" ht="12.75">
      <c r="B44" s="23"/>
      <c r="C44" s="23"/>
      <c r="D44" s="23"/>
      <c r="E44" s="23"/>
      <c r="F44" s="23"/>
      <c r="G44" s="23"/>
      <c r="H44" s="23"/>
      <c r="I44" s="26"/>
      <c r="J44" s="30"/>
      <c r="K44" s="26"/>
      <c r="L44" s="30"/>
    </row>
    <row r="45" spans="1:7" ht="12.75">
      <c r="A45" s="66" t="s">
        <v>202</v>
      </c>
      <c r="B45" s="27">
        <v>-16830139.37</v>
      </c>
      <c r="E45" s="1">
        <f aca="true" t="shared" si="7" ref="E45:E58">+B45*$G$72</f>
        <v>-19320.99999676</v>
      </c>
      <c r="F45" s="1">
        <f aca="true" t="shared" si="8" ref="F45:F58">+B45*$I$72</f>
        <v>-61901.252602860004</v>
      </c>
      <c r="G45" s="1">
        <f>SUM(E45:F45)</f>
        <v>-81222.25259962</v>
      </c>
    </row>
    <row r="46" spans="1:10" ht="12.75">
      <c r="A46" t="s">
        <v>3</v>
      </c>
      <c r="B46" s="27">
        <f>'GS&lt;50'!C9</f>
        <v>11880397.092746114</v>
      </c>
      <c r="C46" s="1">
        <v>32057.5</v>
      </c>
      <c r="D46" s="1">
        <f>'GS&lt;50'!B9</f>
        <v>229291.92000000007</v>
      </c>
      <c r="E46" s="1">
        <f t="shared" si="7"/>
        <v>13638.69586247254</v>
      </c>
      <c r="F46" s="1">
        <f t="shared" si="8"/>
        <v>43696.10050712021</v>
      </c>
      <c r="G46" s="1">
        <f>SUM(E46:F46)</f>
        <v>57334.79636959275</v>
      </c>
      <c r="H46" s="1">
        <f>'[11]Summary'!$B$46</f>
        <v>14235023.56</v>
      </c>
      <c r="I46" s="27">
        <f>34364.12+192173.56</f>
        <v>226537.68</v>
      </c>
      <c r="J46" s="44"/>
    </row>
    <row r="47" spans="1:10" ht="12.75">
      <c r="A47" t="s">
        <v>4</v>
      </c>
      <c r="B47" s="27">
        <f>'GS&lt;50'!C13</f>
        <v>14168316.600000001</v>
      </c>
      <c r="C47" s="1">
        <f>70657.35-32057.5</f>
        <v>38599.850000000006</v>
      </c>
      <c r="D47" s="1">
        <f>'GS&lt;50'!B13</f>
        <v>273449.0200000009</v>
      </c>
      <c r="E47" s="1">
        <f t="shared" si="7"/>
        <v>16265.227456800001</v>
      </c>
      <c r="F47" s="1">
        <f t="shared" si="8"/>
        <v>52111.068454800006</v>
      </c>
      <c r="G47" s="1">
        <f aca="true" t="shared" si="9" ref="G47:G58">SUM(E47:F47)</f>
        <v>68376.29591160001</v>
      </c>
      <c r="H47" s="1">
        <f>'[11]Summary'!$B$47</f>
        <v>12098748.47</v>
      </c>
      <c r="I47" s="27">
        <f>62168.35-34364.12+354787.67-192173.56</f>
        <v>190418.33999999997</v>
      </c>
      <c r="J47" s="44"/>
    </row>
    <row r="48" spans="1:10" ht="12.75">
      <c r="A48" t="s">
        <v>5</v>
      </c>
      <c r="B48" s="27">
        <f>'GS&lt;50'!C18</f>
        <v>13008186.4</v>
      </c>
      <c r="C48" s="1">
        <f>103558.44-70657.35</f>
        <v>32901.09</v>
      </c>
      <c r="D48" s="1">
        <f>'GS&lt;50'!B18</f>
        <v>251058.25999999917</v>
      </c>
      <c r="E48" s="1">
        <f t="shared" si="7"/>
        <v>14933.3979872</v>
      </c>
      <c r="F48" s="1">
        <f t="shared" si="8"/>
        <v>47844.1095792</v>
      </c>
      <c r="G48" s="1">
        <f t="shared" si="9"/>
        <v>62777.507566399996</v>
      </c>
      <c r="H48" s="1">
        <f>'[11]Summary'!$B$48</f>
        <v>10769433.6</v>
      </c>
      <c r="I48" s="27">
        <f>90430.3-62168.35+545352.75-354787.67</f>
        <v>218827.02999999997</v>
      </c>
      <c r="J48" s="44"/>
    </row>
    <row r="49" spans="1:13" ht="12.75">
      <c r="A49" t="s">
        <v>6</v>
      </c>
      <c r="B49" s="27">
        <f>'GS&lt;50'!C24</f>
        <v>12351447.639999999</v>
      </c>
      <c r="C49" s="1">
        <f>136032.22-103558.44</f>
        <v>32473.78</v>
      </c>
      <c r="D49" s="1">
        <f>'GS&lt;50'!B24</f>
        <v>238383.2800000001</v>
      </c>
      <c r="E49" s="1">
        <f t="shared" si="7"/>
        <v>14179.461890719998</v>
      </c>
      <c r="F49" s="1">
        <f t="shared" si="8"/>
        <v>45428.624419919994</v>
      </c>
      <c r="G49" s="1">
        <f t="shared" si="9"/>
        <v>59608.08631063999</v>
      </c>
      <c r="H49" s="1">
        <f>'[11]Summary'!$B$49</f>
        <v>12542603.5</v>
      </c>
      <c r="I49" s="27">
        <f>123253.99-90430.3+785684.62-545352.75</f>
        <v>273155.56000000006</v>
      </c>
      <c r="J49" s="54"/>
      <c r="L49" s="53"/>
      <c r="M49" s="50"/>
    </row>
    <row r="50" spans="1:13" ht="12.75">
      <c r="A50" t="s">
        <v>7</v>
      </c>
      <c r="B50" s="27">
        <f>'GS&lt;50'!C30</f>
        <v>11958698.9</v>
      </c>
      <c r="C50" s="1">
        <f>36786.12-325.14</f>
        <v>36460.98</v>
      </c>
      <c r="D50" s="1">
        <f>'GS&lt;50'!B30</f>
        <v>230803.19000000076</v>
      </c>
      <c r="E50" s="1">
        <f t="shared" si="7"/>
        <v>13728.5863372</v>
      </c>
      <c r="F50" s="1">
        <f t="shared" si="8"/>
        <v>43984.0945542</v>
      </c>
      <c r="G50" s="1">
        <f t="shared" si="9"/>
        <v>57712.6808914</v>
      </c>
      <c r="H50" s="1">
        <f>'[11]Summary'!$B$50</f>
        <v>1662905.9000000001</v>
      </c>
      <c r="I50" s="27">
        <f>130380.57-123253.99+817772.84-785684.62</f>
        <v>39214.79999999993</v>
      </c>
      <c r="J50" s="54">
        <f>SUM(I$46:I50)/SUM(H$46:H50)</f>
        <v>0.01847938326745502</v>
      </c>
      <c r="K50" s="27">
        <f>J50*SUM(B$46:B50)</f>
        <v>1170983.9412532104</v>
      </c>
      <c r="L50" s="53">
        <f>SUM(C$46:D50)-K50</f>
        <v>224494.92874679063</v>
      </c>
      <c r="M50" s="50">
        <f>K50-SUM(I$46:I50)</f>
        <v>222830.5312532105</v>
      </c>
    </row>
    <row r="51" spans="1:10" ht="12.75">
      <c r="A51" t="s">
        <v>8</v>
      </c>
      <c r="B51" s="27">
        <f>'GS&lt;50'!C36</f>
        <v>10205029.4</v>
      </c>
      <c r="C51" s="1">
        <f>205595.77-172493.2</f>
        <v>33102.56999999998</v>
      </c>
      <c r="D51" s="1">
        <f>'GS&lt;50'!B36</f>
        <v>196957.15000000017</v>
      </c>
      <c r="E51" s="1">
        <f t="shared" si="7"/>
        <v>11715.373751199999</v>
      </c>
      <c r="F51" s="1">
        <f t="shared" si="8"/>
        <v>37534.0981332</v>
      </c>
      <c r="G51" s="1">
        <f t="shared" si="9"/>
        <v>49249.4718844</v>
      </c>
      <c r="H51" s="1">
        <f>'[11]Summary'!$B$51</f>
        <v>10346585.7</v>
      </c>
      <c r="I51" s="27">
        <f>159931.08-130380.57+1017656.19-817772.84</f>
        <v>229433.86</v>
      </c>
      <c r="J51" s="44"/>
    </row>
    <row r="52" spans="1:10" ht="12.75">
      <c r="A52" t="s">
        <v>9</v>
      </c>
      <c r="B52" s="27">
        <f>'GS&lt;50'!C41</f>
        <v>10806801.82</v>
      </c>
      <c r="C52" s="1">
        <f>239835.81-205595.77</f>
        <v>34240.04000000001</v>
      </c>
      <c r="D52" s="1">
        <f>'GS&lt;50'!B41</f>
        <v>208569.49</v>
      </c>
      <c r="E52" s="1">
        <f t="shared" si="7"/>
        <v>12406.20848936</v>
      </c>
      <c r="F52" s="1">
        <f t="shared" si="8"/>
        <v>39747.41709396</v>
      </c>
      <c r="G52" s="1">
        <f t="shared" si="9"/>
        <v>52153.62558332</v>
      </c>
      <c r="H52" s="1">
        <f>'[11]Summary'!$B$52</f>
        <v>11562479.999999998</v>
      </c>
      <c r="I52" s="27">
        <f>191666.1-159931.08+1240824.11-1017656.19</f>
        <v>254902.94000000018</v>
      </c>
      <c r="J52" s="44"/>
    </row>
    <row r="53" spans="1:10" ht="12.75">
      <c r="A53" t="s">
        <v>10</v>
      </c>
      <c r="B53" s="27">
        <f>'GS&lt;50'!C47</f>
        <v>11233840.41450777</v>
      </c>
      <c r="C53" s="1">
        <f>33365.5-105.82</f>
        <v>33259.68</v>
      </c>
      <c r="D53" s="1">
        <f>'GS&lt;50'!B47</f>
        <v>216813.12</v>
      </c>
      <c r="E53" s="1">
        <f t="shared" si="7"/>
        <v>12896.44879585492</v>
      </c>
      <c r="F53" s="1">
        <f t="shared" si="8"/>
        <v>41318.06504455958</v>
      </c>
      <c r="G53" s="1">
        <f t="shared" si="9"/>
        <v>54214.513840414504</v>
      </c>
      <c r="H53" s="1">
        <f>'[11]Summary'!$B$53</f>
        <v>12690713.200000001</v>
      </c>
      <c r="I53" s="27">
        <f>258255.54-191666.1+1486652.61-1240824.11</f>
        <v>312417.93999999994</v>
      </c>
      <c r="J53" s="44"/>
    </row>
    <row r="54" spans="1:10" ht="12.75">
      <c r="A54" t="s">
        <v>11</v>
      </c>
      <c r="B54" s="27">
        <f>'GS&lt;50'!C53</f>
        <v>11948781.865284972</v>
      </c>
      <c r="C54" s="1">
        <f>35677.35-254.59</f>
        <v>35422.76</v>
      </c>
      <c r="D54" s="1">
        <f>'GS&lt;50'!B53</f>
        <v>230611.49</v>
      </c>
      <c r="E54" s="1">
        <f t="shared" si="7"/>
        <v>13717.201581347146</v>
      </c>
      <c r="F54" s="1">
        <f t="shared" si="8"/>
        <v>43947.619700518124</v>
      </c>
      <c r="G54" s="1">
        <f t="shared" si="9"/>
        <v>57664.82128186527</v>
      </c>
      <c r="H54" s="1">
        <f>'[11]Summary'!$B$54</f>
        <v>12784640.7</v>
      </c>
      <c r="I54" s="27">
        <f>294606.24-258255.54+1733396.37-1486652.61</f>
        <v>283094.45999999996</v>
      </c>
      <c r="J54" s="44"/>
    </row>
    <row r="55" spans="1:10" ht="12.75">
      <c r="A55" t="s">
        <v>12</v>
      </c>
      <c r="B55" s="27">
        <f>'GS&lt;50'!C59</f>
        <v>10940488.082901554</v>
      </c>
      <c r="C55" s="1">
        <f>35360.16-356.57</f>
        <v>35003.590000000004</v>
      </c>
      <c r="D55" s="1">
        <f>'GS&lt;50'!B59</f>
        <v>211151.41999999998</v>
      </c>
      <c r="E55" s="1">
        <f t="shared" si="7"/>
        <v>12559.680319170984</v>
      </c>
      <c r="F55" s="1">
        <f t="shared" si="8"/>
        <v>40239.115168911914</v>
      </c>
      <c r="G55" s="1">
        <f t="shared" si="9"/>
        <v>52798.7954880829</v>
      </c>
      <c r="H55" s="1">
        <f>'[11]Summary'!$B$55</f>
        <v>12277745.2</v>
      </c>
      <c r="I55" s="27">
        <f>326934.53-294606.24+1970357.09-1733396.37</f>
        <v>269289.01</v>
      </c>
      <c r="J55" s="44"/>
    </row>
    <row r="56" spans="1:10" ht="12.75">
      <c r="A56" t="s">
        <v>13</v>
      </c>
      <c r="B56" s="27">
        <f>'GS&lt;50'!C65</f>
        <v>10660748.186528495</v>
      </c>
      <c r="C56" s="1">
        <f>35082.08-435.51</f>
        <v>34646.57</v>
      </c>
      <c r="D56" s="1">
        <f>'GS&lt;50'!B65</f>
        <v>205752.43999999997</v>
      </c>
      <c r="E56" s="1">
        <f t="shared" si="7"/>
        <v>12238.538918134711</v>
      </c>
      <c r="F56" s="1">
        <f t="shared" si="8"/>
        <v>39210.2318300518</v>
      </c>
      <c r="G56" s="1">
        <f t="shared" si="9"/>
        <v>51448.770748186515</v>
      </c>
      <c r="H56" s="1">
        <f>'[11]Summary'!$B$56</f>
        <v>12015335.39</v>
      </c>
      <c r="I56" s="27">
        <f>366200.08-326934.53+2202253.53-1970357.09</f>
        <v>271161.9899999995</v>
      </c>
      <c r="J56" s="44"/>
    </row>
    <row r="57" spans="1:12" s="74" customFormat="1" ht="12.75">
      <c r="A57" s="74" t="s">
        <v>14</v>
      </c>
      <c r="B57" s="112">
        <f>'GS&lt;50'!C71</f>
        <v>10332081.865284974</v>
      </c>
      <c r="C57" s="111">
        <f>31501.01-213.56</f>
        <v>31287.449999999997</v>
      </c>
      <c r="D57" s="111">
        <f>'GS&lt;50'!B71</f>
        <v>199409.18</v>
      </c>
      <c r="E57" s="1">
        <f t="shared" si="7"/>
        <v>11861.229981347149</v>
      </c>
      <c r="F57" s="1">
        <f t="shared" si="8"/>
        <v>38001.39710051813</v>
      </c>
      <c r="G57" s="1">
        <f t="shared" si="9"/>
        <v>49862.62708186528</v>
      </c>
      <c r="H57" s="111">
        <f>'[11]Summary'!$B$57</f>
        <v>10351606.34</v>
      </c>
      <c r="I57" s="112">
        <f>395619.74-366200.08+2402039.74-2202253.53</f>
        <v>229205.87000000058</v>
      </c>
      <c r="J57" s="119"/>
      <c r="K57" s="112"/>
      <c r="L57" s="120"/>
    </row>
    <row r="58" spans="1:13" ht="12.75">
      <c r="A58" s="114" t="s">
        <v>203</v>
      </c>
      <c r="B58" s="28">
        <v>16733133</v>
      </c>
      <c r="C58" s="8"/>
      <c r="D58" s="8"/>
      <c r="E58" s="8">
        <f t="shared" si="7"/>
        <v>19209.636683999997</v>
      </c>
      <c r="F58" s="8">
        <f t="shared" si="8"/>
        <v>61544.463174</v>
      </c>
      <c r="G58" s="8">
        <f t="shared" si="9"/>
        <v>80754.099858</v>
      </c>
      <c r="H58" s="8"/>
      <c r="I58" s="28"/>
      <c r="J58" s="31"/>
      <c r="K58" s="28"/>
      <c r="L58" s="31"/>
      <c r="M58" s="7"/>
    </row>
    <row r="59" spans="2:13" ht="12.75">
      <c r="B59" s="59">
        <f>SUM(B45:B58)</f>
        <v>139397811.89725387</v>
      </c>
      <c r="C59" s="59">
        <f aca="true" t="shared" si="10" ref="C59:H59">SUM(C45:C58)</f>
        <v>409455.86000000004</v>
      </c>
      <c r="D59" s="59">
        <f t="shared" si="10"/>
        <v>2692249.9600000014</v>
      </c>
      <c r="E59" s="59">
        <f t="shared" si="10"/>
        <v>160028.68805804744</v>
      </c>
      <c r="F59" s="59">
        <f t="shared" si="10"/>
        <v>512705.15215809975</v>
      </c>
      <c r="G59" s="59">
        <f t="shared" si="10"/>
        <v>672733.8402161472</v>
      </c>
      <c r="H59" s="143">
        <f t="shared" si="10"/>
        <v>133337821.56000002</v>
      </c>
      <c r="I59" s="143">
        <f>SUM(I45:I58)</f>
        <v>2797659.48</v>
      </c>
      <c r="J59" s="143">
        <f>SUM(J45:J58)</f>
        <v>0.01847938326745502</v>
      </c>
      <c r="K59" s="143">
        <f>SUM(K45:K58)</f>
        <v>1170983.9412532104</v>
      </c>
      <c r="L59" s="143">
        <f>SUM(L45:L58)</f>
        <v>224494.92874679063</v>
      </c>
      <c r="M59" s="143">
        <f>SUM(M45:M58)</f>
        <v>222830.5312532105</v>
      </c>
    </row>
    <row r="60" spans="2:9" ht="12.75">
      <c r="B60" s="1">
        <f>+B59-'GS&lt;50'!C73</f>
        <v>-97006.37000003457</v>
      </c>
      <c r="D60" s="1">
        <f>+D59-'GS&lt;50'!B73</f>
        <v>0</v>
      </c>
      <c r="E60" s="1">
        <f>+E59-B61</f>
        <v>0</v>
      </c>
      <c r="F60" s="1">
        <f>+F59-B62</f>
        <v>0</v>
      </c>
      <c r="G60" s="1">
        <f>+G59-B63</f>
        <v>0</v>
      </c>
      <c r="H60" s="24"/>
      <c r="I60" s="27">
        <f>395619.74+2402039.74</f>
        <v>2797659.4800000004</v>
      </c>
    </row>
    <row r="61" spans="1:7" ht="12.75">
      <c r="A61" s="58" t="s">
        <v>196</v>
      </c>
      <c r="B61" s="58">
        <f>+B59*G72</f>
        <v>160028.68805804744</v>
      </c>
      <c r="D61" s="27"/>
      <c r="E61" s="27"/>
      <c r="F61" s="27"/>
      <c r="G61" s="27"/>
    </row>
    <row r="62" spans="1:2" ht="12.75">
      <c r="A62" s="58" t="s">
        <v>197</v>
      </c>
      <c r="B62" s="58">
        <f>+B59*I72</f>
        <v>512705.1521580997</v>
      </c>
    </row>
    <row r="63" spans="1:7" ht="13.5" thickBot="1">
      <c r="A63" s="58" t="s">
        <v>198</v>
      </c>
      <c r="B63" s="122">
        <f>SUM(B61:B62)</f>
        <v>672733.8402161471</v>
      </c>
      <c r="D63" s="24"/>
      <c r="E63" s="24"/>
      <c r="F63" s="24"/>
      <c r="G63" s="24"/>
    </row>
    <row r="64" s="27" customFormat="1" ht="12.75"/>
    <row r="65" spans="2:11" s="27" customFormat="1" ht="12.75">
      <c r="B65" s="27">
        <v>151000000</v>
      </c>
      <c r="C65" s="1">
        <v>384000</v>
      </c>
      <c r="K65" s="27">
        <f>SUM(D46:D49)</f>
        <v>992182.4800000002</v>
      </c>
    </row>
    <row r="66" spans="2:3" s="27" customFormat="1" ht="13.5" thickBot="1">
      <c r="B66" s="24">
        <f>B59/B65</f>
        <v>0.9231643172003567</v>
      </c>
      <c r="C66" s="24">
        <f>C59/C65</f>
        <v>1.0662913020833336</v>
      </c>
    </row>
    <row r="67" spans="2:9" s="27" customFormat="1" ht="12.75">
      <c r="B67" s="57">
        <v>0.001148</v>
      </c>
      <c r="C67" s="1" t="s">
        <v>116</v>
      </c>
      <c r="G67" s="91"/>
      <c r="H67" s="107" t="s">
        <v>195</v>
      </c>
      <c r="I67" s="93"/>
    </row>
    <row r="68" spans="2:9" s="27" customFormat="1" ht="12.75">
      <c r="B68" s="27">
        <f>ROUND(B59*B67,0)</f>
        <v>160029</v>
      </c>
      <c r="C68" s="1" t="s">
        <v>117</v>
      </c>
      <c r="G68" s="105" t="s">
        <v>194</v>
      </c>
      <c r="H68" s="94"/>
      <c r="I68" s="95"/>
    </row>
    <row r="69" spans="7:9" s="27" customFormat="1" ht="12.75">
      <c r="G69" s="96" t="s">
        <v>186</v>
      </c>
      <c r="H69" s="97"/>
      <c r="I69" s="98" t="s">
        <v>187</v>
      </c>
    </row>
    <row r="70" spans="1:9" ht="12.75">
      <c r="A70" t="str">
        <f>A28</f>
        <v>August</v>
      </c>
      <c r="B70" s="27">
        <f>B$65*C70-500000</f>
        <v>12205923.183307305</v>
      </c>
      <c r="C70" s="56">
        <f>C28</f>
        <v>0.08414518664441924</v>
      </c>
      <c r="D70" s="27">
        <f>3422+263</f>
        <v>3685</v>
      </c>
      <c r="E70" s="27">
        <f>D70*9.62</f>
        <v>35449.7</v>
      </c>
      <c r="F70" s="27"/>
      <c r="G70" s="99"/>
      <c r="H70" s="100"/>
      <c r="I70" s="101"/>
    </row>
    <row r="71" spans="1:9" ht="12.75">
      <c r="A71" t="str">
        <f>A29</f>
        <v>September</v>
      </c>
      <c r="B71" s="27">
        <f>B$65*C71-500000</f>
        <v>12006946.965729017</v>
      </c>
      <c r="C71" s="56">
        <f>C29</f>
        <v>0.08282746334919878</v>
      </c>
      <c r="D71" s="27">
        <f>3313+263</f>
        <v>3576</v>
      </c>
      <c r="E71" s="27">
        <f>D71*9.62</f>
        <v>34401.119999999995</v>
      </c>
      <c r="F71" s="27"/>
      <c r="G71" s="99">
        <v>0.001806</v>
      </c>
      <c r="H71" s="106" t="s">
        <v>188</v>
      </c>
      <c r="I71" s="101">
        <v>0.005783</v>
      </c>
    </row>
    <row r="72" spans="1:9" ht="12.75">
      <c r="A72" t="str">
        <f>A30</f>
        <v>October</v>
      </c>
      <c r="B72" s="27">
        <f>B$65*C72-500000</f>
        <v>12332012.550597573</v>
      </c>
      <c r="C72" s="56">
        <f>C30</f>
        <v>0.08498021556687134</v>
      </c>
      <c r="D72" s="27">
        <f>3424+263</f>
        <v>3687</v>
      </c>
      <c r="E72" s="27">
        <f>D72*9.62</f>
        <v>35468.939999999995</v>
      </c>
      <c r="F72" s="27"/>
      <c r="G72" s="116">
        <v>0.001148</v>
      </c>
      <c r="H72" s="117" t="s">
        <v>189</v>
      </c>
      <c r="I72" s="118">
        <v>0.003678</v>
      </c>
    </row>
    <row r="73" spans="1:9" ht="12.75">
      <c r="A73" t="str">
        <f>A31</f>
        <v>November</v>
      </c>
      <c r="B73" s="27">
        <f>B$65*C73-500000</f>
        <v>12404889.434134562</v>
      </c>
      <c r="C73" s="56">
        <f>C31</f>
        <v>0.08546284393466597</v>
      </c>
      <c r="D73" s="27">
        <f>3315+263</f>
        <v>3578</v>
      </c>
      <c r="E73" s="27">
        <f>D73*9.62</f>
        <v>34420.36</v>
      </c>
      <c r="F73" s="27"/>
      <c r="G73" s="99">
        <v>0.195271</v>
      </c>
      <c r="H73" s="106" t="s">
        <v>190</v>
      </c>
      <c r="I73" s="101">
        <v>0.625371</v>
      </c>
    </row>
    <row r="74" spans="1:9" ht="12.75">
      <c r="A74" t="str">
        <f>A32</f>
        <v>December</v>
      </c>
      <c r="B74" s="27">
        <f>B$65*C74-500000</f>
        <v>12414945.88592461</v>
      </c>
      <c r="C74" s="56">
        <f>C32</f>
        <v>0.0855294429531431</v>
      </c>
      <c r="D74" s="27">
        <f>3427+263</f>
        <v>3690</v>
      </c>
      <c r="E74" s="27">
        <f>D74*9.62</f>
        <v>35497.799999999996</v>
      </c>
      <c r="F74" s="27"/>
      <c r="G74" s="99">
        <v>0.120059</v>
      </c>
      <c r="H74" s="106" t="s">
        <v>191</v>
      </c>
      <c r="I74" s="101">
        <v>0.384498</v>
      </c>
    </row>
    <row r="75" spans="6:9" ht="12.75">
      <c r="F75" s="27"/>
      <c r="G75" s="99">
        <v>0.097704</v>
      </c>
      <c r="H75" s="106" t="s">
        <v>192</v>
      </c>
      <c r="I75" s="101">
        <v>0.312905</v>
      </c>
    </row>
    <row r="76" spans="2:9" ht="12.75">
      <c r="B76" s="27">
        <f>ROUND(B59+SUM(B70:B74),-6)</f>
        <v>201000000</v>
      </c>
      <c r="E76" s="27">
        <f>ROUND(C59+SUM(E70:E74),-3)</f>
        <v>585000</v>
      </c>
      <c r="F76" s="27"/>
      <c r="G76" s="99">
        <v>0.101043</v>
      </c>
      <c r="H76" s="106" t="s">
        <v>193</v>
      </c>
      <c r="I76" s="101">
        <v>0.323597</v>
      </c>
    </row>
    <row r="77" spans="6:9" ht="12.75">
      <c r="F77" s="27"/>
      <c r="G77" s="99"/>
      <c r="H77" s="100"/>
      <c r="I77" s="101"/>
    </row>
    <row r="78" spans="2:9" ht="13.5" thickBot="1">
      <c r="B78" s="2">
        <v>0.0193</v>
      </c>
      <c r="C78" s="57">
        <f>B67</f>
        <v>0.001148</v>
      </c>
      <c r="F78" s="27"/>
      <c r="G78" s="102"/>
      <c r="H78" s="103"/>
      <c r="I78" s="104"/>
    </row>
    <row r="79" spans="2:3" ht="12.75">
      <c r="B79" s="1">
        <f>ROUND(B76*B78,-3)</f>
        <v>3879000</v>
      </c>
      <c r="C79" s="27">
        <f>B76*C78</f>
        <v>230748</v>
      </c>
    </row>
    <row r="80" ht="13.5" thickBot="1"/>
    <row r="81" spans="1:12" s="20" customFormat="1" ht="16.5" thickBot="1">
      <c r="A81" s="85" t="s">
        <v>48</v>
      </c>
      <c r="B81" s="144" t="s">
        <v>205</v>
      </c>
      <c r="C81" s="21"/>
      <c r="D81" s="21"/>
      <c r="E81" s="21"/>
      <c r="F81" s="21"/>
      <c r="G81" s="21"/>
      <c r="H81" s="21"/>
      <c r="I81" s="25"/>
      <c r="J81" s="29"/>
      <c r="K81" s="25"/>
      <c r="L81" s="29"/>
    </row>
    <row r="83" spans="2:13" s="4" customFormat="1" ht="38.25">
      <c r="B83" s="5" t="s">
        <v>175</v>
      </c>
      <c r="C83" s="5" t="s">
        <v>174</v>
      </c>
      <c r="D83" s="5" t="s">
        <v>173</v>
      </c>
      <c r="E83" s="5" t="s">
        <v>199</v>
      </c>
      <c r="F83" s="5" t="s">
        <v>200</v>
      </c>
      <c r="G83" s="5" t="s">
        <v>201</v>
      </c>
      <c r="H83" s="5" t="s">
        <v>51</v>
      </c>
      <c r="I83" s="26" t="s">
        <v>55</v>
      </c>
      <c r="J83" s="30" t="s">
        <v>70</v>
      </c>
      <c r="K83" s="26" t="s">
        <v>56</v>
      </c>
      <c r="L83" s="30"/>
      <c r="M83" s="4" t="s">
        <v>71</v>
      </c>
    </row>
    <row r="84" spans="2:12" s="22" customFormat="1" ht="12.75">
      <c r="B84" s="23"/>
      <c r="C84" s="23"/>
      <c r="D84" s="23"/>
      <c r="E84" s="23"/>
      <c r="F84" s="23"/>
      <c r="G84" s="23"/>
      <c r="H84" s="23"/>
      <c r="I84" s="26"/>
      <c r="J84" s="30"/>
      <c r="K84" s="26"/>
      <c r="L84" s="30"/>
    </row>
    <row r="85" spans="1:7" ht="12.75">
      <c r="A85" s="66" t="s">
        <v>202</v>
      </c>
      <c r="B85" s="1">
        <v>-97249.46</v>
      </c>
      <c r="E85" s="1">
        <f aca="true" t="shared" si="11" ref="E85:E98">+B85*$F$114</f>
        <v>-18989.999303660003</v>
      </c>
      <c r="F85" s="1">
        <f aca="true" t="shared" si="12" ref="F85:F98">+B85*$H$114</f>
        <v>-60816.99204966</v>
      </c>
      <c r="G85" s="1">
        <f>SUM(E85:F85)</f>
        <v>-79806.99135332</v>
      </c>
    </row>
    <row r="86" spans="1:13" ht="12.75">
      <c r="A86" t="s">
        <v>3</v>
      </c>
      <c r="B86" s="1">
        <f>'GS&gt;50'!E7</f>
        <v>74971.67724241162</v>
      </c>
      <c r="C86" s="1">
        <v>77026.37</v>
      </c>
      <c r="D86" s="1">
        <f>'GS&gt;50'!B7</f>
        <v>197842.58000000005</v>
      </c>
      <c r="E86" s="1">
        <f t="shared" si="11"/>
        <v>14639.79438680296</v>
      </c>
      <c r="F86" s="1">
        <f t="shared" si="12"/>
        <v>46885.1127687642</v>
      </c>
      <c r="G86" s="1">
        <f>SUM(E86:F86)</f>
        <v>61524.90715556716</v>
      </c>
      <c r="H86" s="1">
        <f>'GS&gt;50'!C72</f>
        <v>30838858.94</v>
      </c>
      <c r="I86" s="27">
        <v>1452000</v>
      </c>
      <c r="J86" s="27">
        <f>H86</f>
        <v>30838858.94</v>
      </c>
      <c r="K86" s="27">
        <v>617065</v>
      </c>
      <c r="M86" s="3">
        <f>'GS&gt;50'!B156</f>
        <v>-16339.249999999998</v>
      </c>
    </row>
    <row r="87" spans="1:13" ht="12.75">
      <c r="A87" t="s">
        <v>4</v>
      </c>
      <c r="B87" s="1">
        <f>'GS&gt;50'!E11</f>
        <v>80240.40000000004</v>
      </c>
      <c r="C87" s="1">
        <f>195167.52-77026.37</f>
        <v>118141.15</v>
      </c>
      <c r="D87" s="1">
        <f>'GS&gt;50'!B11</f>
        <v>211746.41000000024</v>
      </c>
      <c r="E87" s="1">
        <f t="shared" si="11"/>
        <v>15668.623148400007</v>
      </c>
      <c r="F87" s="1">
        <f t="shared" si="12"/>
        <v>50180.01918840002</v>
      </c>
      <c r="G87" s="1">
        <f aca="true" t="shared" si="13" ref="G87:G98">SUM(E87:F87)</f>
        <v>65848.64233680003</v>
      </c>
      <c r="H87" s="1">
        <f>'GS&gt;50'!C78</f>
        <v>36543316.32</v>
      </c>
      <c r="J87" s="27">
        <f aca="true" t="shared" si="14" ref="J87:J97">H87</f>
        <v>36543316.32</v>
      </c>
      <c r="M87" s="3">
        <f>'GS&gt;50'!B160</f>
        <v>-16351.73</v>
      </c>
    </row>
    <row r="88" spans="1:13" ht="12.75">
      <c r="A88" t="s">
        <v>5</v>
      </c>
      <c r="B88" s="1">
        <f>'GS&gt;50'!E16</f>
        <v>83603.31999999999</v>
      </c>
      <c r="C88" s="1">
        <f>285373.86-195167.52</f>
        <v>90206.34</v>
      </c>
      <c r="D88" s="1">
        <f>'GS&gt;50'!B16</f>
        <v>220620.6100000003</v>
      </c>
      <c r="E88" s="1">
        <f t="shared" si="11"/>
        <v>16325.303899719998</v>
      </c>
      <c r="F88" s="1">
        <f t="shared" si="12"/>
        <v>52283.09183172</v>
      </c>
      <c r="G88" s="1">
        <f t="shared" si="13"/>
        <v>68608.39573143999</v>
      </c>
      <c r="H88" s="1">
        <f>'GS&gt;50'!C84</f>
        <v>33030121.38000001</v>
      </c>
      <c r="J88" s="27">
        <f t="shared" si="14"/>
        <v>33030121.38000001</v>
      </c>
      <c r="M88" s="3">
        <f>'GS&gt;50'!B164</f>
        <v>-16322.630000000001</v>
      </c>
    </row>
    <row r="89" spans="1:13" ht="12.75">
      <c r="A89" t="s">
        <v>6</v>
      </c>
      <c r="B89" s="1">
        <f>'GS&gt;50'!E22</f>
        <v>89216.57999999997</v>
      </c>
      <c r="C89" s="1">
        <f>381386.5-285373.86</f>
        <v>96012.64000000001</v>
      </c>
      <c r="D89" s="1">
        <f>'GS&gt;50'!B22</f>
        <v>235433.48999999985</v>
      </c>
      <c r="E89" s="1">
        <f t="shared" si="11"/>
        <v>17421.410793179995</v>
      </c>
      <c r="F89" s="1">
        <f t="shared" si="12"/>
        <v>55793.461851179985</v>
      </c>
      <c r="G89" s="1">
        <f t="shared" si="13"/>
        <v>73214.87264435997</v>
      </c>
      <c r="H89" s="1">
        <f>'GS&gt;50'!C90</f>
        <v>35454226.22</v>
      </c>
      <c r="J89" s="27">
        <f t="shared" si="14"/>
        <v>35454226.22</v>
      </c>
      <c r="M89" s="3">
        <f>'GS&gt;50'!B168</f>
        <v>-16634.410000000003</v>
      </c>
    </row>
    <row r="90" spans="1:13" ht="12.75">
      <c r="A90" t="s">
        <v>7</v>
      </c>
      <c r="B90" s="1">
        <f>'GS&gt;50'!E26</f>
        <v>84348.40999999995</v>
      </c>
      <c r="C90" s="1">
        <f>104348.37-2441.42</f>
        <v>101906.95</v>
      </c>
      <c r="D90" s="1">
        <f>'GS&gt;50'!B26</f>
        <v>222586.86000000028</v>
      </c>
      <c r="E90" s="1">
        <f t="shared" si="11"/>
        <v>16470.79836910999</v>
      </c>
      <c r="F90" s="1">
        <f t="shared" si="12"/>
        <v>52749.049510109966</v>
      </c>
      <c r="G90" s="1">
        <f t="shared" si="13"/>
        <v>69219.84787921996</v>
      </c>
      <c r="H90" s="1">
        <f>'GS&gt;50'!C96</f>
        <v>32686811.49</v>
      </c>
      <c r="J90" s="27">
        <f t="shared" si="14"/>
        <v>32686811.49</v>
      </c>
      <c r="M90" s="3">
        <f>'GS&gt;50'!B172</f>
        <v>-16429.190000000002</v>
      </c>
    </row>
    <row r="91" spans="1:13" ht="12.75">
      <c r="A91" t="s">
        <v>8</v>
      </c>
      <c r="B91" s="1">
        <f>'GS&gt;50'!E30</f>
        <v>77465.25</v>
      </c>
      <c r="C91" s="1">
        <f>575481.79-483293.45</f>
        <v>92188.34000000003</v>
      </c>
      <c r="D91" s="1">
        <f>'GS&gt;50'!B30</f>
        <v>204422.94000000018</v>
      </c>
      <c r="E91" s="1">
        <f t="shared" si="11"/>
        <v>15126.71683275</v>
      </c>
      <c r="F91" s="1">
        <f t="shared" si="12"/>
        <v>48444.52085775</v>
      </c>
      <c r="G91" s="1">
        <f t="shared" si="13"/>
        <v>63571.2376905</v>
      </c>
      <c r="H91" s="1">
        <f>'GS&gt;50'!C102</f>
        <v>27602201.2</v>
      </c>
      <c r="J91" s="27">
        <f t="shared" si="14"/>
        <v>27602201.2</v>
      </c>
      <c r="M91" s="3">
        <f>'GS&gt;50'!B176</f>
        <v>-16433.089999999997</v>
      </c>
    </row>
    <row r="92" spans="1:13" ht="12.75">
      <c r="A92" t="s">
        <v>9</v>
      </c>
      <c r="B92" s="1">
        <f>'GS&gt;50'!E34</f>
        <v>84327.09</v>
      </c>
      <c r="C92" s="1">
        <f>672182.06-575481.79</f>
        <v>96700.27000000002</v>
      </c>
      <c r="D92" s="1">
        <f>'GS&gt;50'!B34</f>
        <v>222572.59</v>
      </c>
      <c r="E92" s="1">
        <f t="shared" si="11"/>
        <v>16466.63519139</v>
      </c>
      <c r="F92" s="1">
        <f t="shared" si="12"/>
        <v>52735.71660039</v>
      </c>
      <c r="G92" s="1">
        <f t="shared" si="13"/>
        <v>69202.35179178</v>
      </c>
      <c r="H92" s="1">
        <f>'GS&gt;50'!C108</f>
        <v>29710979.29</v>
      </c>
      <c r="J92" s="27">
        <f t="shared" si="14"/>
        <v>29710979.29</v>
      </c>
      <c r="M92" s="3">
        <f>'GS&gt;50'!B180</f>
        <v>-18215.05</v>
      </c>
    </row>
    <row r="93" spans="1:13" ht="12.75">
      <c r="A93" t="s">
        <v>10</v>
      </c>
      <c r="B93" s="1">
        <f>'GS&gt;50'!E38</f>
        <v>86914.65383303649</v>
      </c>
      <c r="C93" s="1">
        <f>95513.6-384.43</f>
        <v>95129.17000000001</v>
      </c>
      <c r="D93" s="1">
        <f>'GS&gt;50'!B38</f>
        <v>229359.08000000002</v>
      </c>
      <c r="E93" s="1">
        <f t="shared" si="11"/>
        <v>16971.911368630866</v>
      </c>
      <c r="F93" s="1">
        <f t="shared" si="12"/>
        <v>54353.90398221986</v>
      </c>
      <c r="G93" s="1">
        <f t="shared" si="13"/>
        <v>71325.81535085072</v>
      </c>
      <c r="H93" s="1">
        <f>'GS&gt;50'!C114</f>
        <v>0</v>
      </c>
      <c r="J93" s="27">
        <f t="shared" si="14"/>
        <v>0</v>
      </c>
      <c r="M93" s="3">
        <f>'GS&gt;50'!B184</f>
        <v>0</v>
      </c>
    </row>
    <row r="94" spans="1:13" ht="12.75">
      <c r="A94" t="s">
        <v>11</v>
      </c>
      <c r="B94" s="1">
        <f>'GS&gt;50'!E42</f>
        <v>85282.2577589147</v>
      </c>
      <c r="C94" s="1">
        <f>107255.19-445.12</f>
        <v>106810.07</v>
      </c>
      <c r="D94" s="1">
        <f>'GS&gt;50'!B42</f>
        <v>225051.34999999998</v>
      </c>
      <c r="E94" s="1">
        <f t="shared" si="11"/>
        <v>16653.15175484103</v>
      </c>
      <c r="F94" s="1">
        <f t="shared" si="12"/>
        <v>53333.05081695024</v>
      </c>
      <c r="G94" s="1">
        <f t="shared" si="13"/>
        <v>69986.20257179128</v>
      </c>
      <c r="H94" s="1">
        <f>'GS&gt;50'!C120</f>
        <v>0</v>
      </c>
      <c r="J94" s="27">
        <f t="shared" si="14"/>
        <v>0</v>
      </c>
      <c r="M94" s="3">
        <f>'GS&gt;50'!B188</f>
        <v>0</v>
      </c>
    </row>
    <row r="95" spans="1:13" ht="12.75">
      <c r="A95" t="s">
        <v>12</v>
      </c>
      <c r="B95" s="1">
        <f>'GS&gt;50'!E46</f>
        <v>85706.10102694306</v>
      </c>
      <c r="C95" s="1">
        <f>104354.79-5564.07</f>
        <v>98790.72</v>
      </c>
      <c r="D95" s="1">
        <f>'GS&gt;50'!B46</f>
        <v>226169.83000000002</v>
      </c>
      <c r="E95" s="1">
        <f t="shared" si="11"/>
        <v>16735.916053632198</v>
      </c>
      <c r="F95" s="1">
        <f t="shared" si="12"/>
        <v>53598.110105320404</v>
      </c>
      <c r="G95" s="1">
        <f t="shared" si="13"/>
        <v>70334.0261589526</v>
      </c>
      <c r="H95" s="1">
        <f>'GS&gt;50'!C126</f>
        <v>0</v>
      </c>
      <c r="J95" s="27">
        <f t="shared" si="14"/>
        <v>0</v>
      </c>
      <c r="M95" s="3">
        <f>'GS&gt;50'!B192</f>
        <v>0</v>
      </c>
    </row>
    <row r="96" spans="1:13" ht="12.75">
      <c r="A96" t="s">
        <v>13</v>
      </c>
      <c r="B96" s="1">
        <f>'GS&gt;50'!E50</f>
        <v>89678.86998370533</v>
      </c>
      <c r="C96" s="1">
        <f>102729.57-1227.46</f>
        <v>101502.11</v>
      </c>
      <c r="D96" s="1">
        <f>'GS&gt;50'!B50</f>
        <v>236653.57</v>
      </c>
      <c r="E96" s="1">
        <f t="shared" si="11"/>
        <v>17511.682620588123</v>
      </c>
      <c r="F96" s="1">
        <f t="shared" si="12"/>
        <v>56082.56460057978</v>
      </c>
      <c r="G96" s="1">
        <f t="shared" si="13"/>
        <v>73594.2472211679</v>
      </c>
      <c r="H96" s="1">
        <f>'GS&gt;50'!C132</f>
        <v>0</v>
      </c>
      <c r="J96" s="27">
        <f t="shared" si="14"/>
        <v>0</v>
      </c>
      <c r="M96" s="3">
        <f>'GS&gt;50'!B196</f>
        <v>0</v>
      </c>
    </row>
    <row r="97" spans="1:13" s="74" customFormat="1" ht="12.75">
      <c r="A97" s="74" t="s">
        <v>14</v>
      </c>
      <c r="B97" s="111">
        <f>'GS&gt;50'!E54</f>
        <v>84698.30611239531</v>
      </c>
      <c r="C97" s="111">
        <f>89618.57-2785.4</f>
        <v>86833.17000000001</v>
      </c>
      <c r="D97" s="111">
        <f>'GS&gt;50'!B54</f>
        <v>223510.36</v>
      </c>
      <c r="E97" s="1">
        <f t="shared" si="11"/>
        <v>16539.122932873543</v>
      </c>
      <c r="F97" s="1">
        <f t="shared" si="12"/>
        <v>52967.864391814765</v>
      </c>
      <c r="G97" s="1">
        <f t="shared" si="13"/>
        <v>69506.9873246883</v>
      </c>
      <c r="H97" s="111">
        <f>'GS&gt;50'!C138</f>
        <v>0</v>
      </c>
      <c r="I97" s="112"/>
      <c r="J97" s="112">
        <f t="shared" si="14"/>
        <v>0</v>
      </c>
      <c r="K97" s="112"/>
      <c r="L97" s="120"/>
      <c r="M97" s="121">
        <f>'GS&gt;50'!B200</f>
        <v>0</v>
      </c>
    </row>
    <row r="98" spans="1:13" ht="12.75">
      <c r="A98" s="114" t="s">
        <v>203</v>
      </c>
      <c r="B98" s="8">
        <v>112397</v>
      </c>
      <c r="C98" s="8"/>
      <c r="D98" s="8"/>
      <c r="E98" s="8">
        <f t="shared" si="11"/>
        <v>21947.874587</v>
      </c>
      <c r="F98" s="8">
        <f t="shared" si="12"/>
        <v>70289.824287</v>
      </c>
      <c r="G98" s="8">
        <f t="shared" si="13"/>
        <v>92237.698874</v>
      </c>
      <c r="H98" s="8"/>
      <c r="I98" s="28"/>
      <c r="J98" s="28"/>
      <c r="K98" s="28"/>
      <c r="L98" s="31"/>
      <c r="M98" s="7"/>
    </row>
    <row r="99" spans="2:13" ht="12.75">
      <c r="B99" s="59">
        <f>SUM(B85:B98)</f>
        <v>1021600.4559574064</v>
      </c>
      <c r="C99" s="59">
        <f aca="true" t="shared" si="15" ref="C99:H99">SUM(C85:C98)</f>
        <v>1161247.3</v>
      </c>
      <c r="D99" s="59">
        <f t="shared" si="15"/>
        <v>2655969.670000001</v>
      </c>
      <c r="E99" s="59">
        <f t="shared" si="15"/>
        <v>199488.94263525872</v>
      </c>
      <c r="F99" s="59">
        <f t="shared" si="15"/>
        <v>638879.2987425392</v>
      </c>
      <c r="G99" s="59">
        <f t="shared" si="15"/>
        <v>838368.2413777979</v>
      </c>
      <c r="H99" s="143">
        <f t="shared" si="15"/>
        <v>225866514.84</v>
      </c>
      <c r="I99" s="143">
        <f>SUM(I85:I98)</f>
        <v>1452000</v>
      </c>
      <c r="J99" s="143">
        <f>SUM(J85:J98)</f>
        <v>225866514.84</v>
      </c>
      <c r="K99" s="143">
        <f>SUM(K85:K98)</f>
        <v>617065</v>
      </c>
      <c r="L99" s="143">
        <f>SUM(L85:L98)</f>
        <v>0</v>
      </c>
      <c r="M99" s="143">
        <f>SUM(M85:M98)</f>
        <v>-116725.35</v>
      </c>
    </row>
    <row r="100" spans="2:7" ht="12.75">
      <c r="B100" s="1">
        <f>+B99-'GS&gt;50'!E55</f>
        <v>15147.539999999804</v>
      </c>
      <c r="D100" s="1">
        <f>+D99-'GS&gt;50'!I54</f>
        <v>0</v>
      </c>
      <c r="E100" s="1">
        <f>+E99-B110</f>
        <v>0</v>
      </c>
      <c r="F100" s="1">
        <f>+F99-B111</f>
        <v>0</v>
      </c>
      <c r="G100" s="1">
        <f>+G99-B112</f>
        <v>0</v>
      </c>
    </row>
    <row r="101" spans="1:10" ht="12.75">
      <c r="A101" t="str">
        <f>A70</f>
        <v>August</v>
      </c>
      <c r="B101" s="27">
        <f>C101*B$115-1000</f>
        <v>85656.12202751638</v>
      </c>
      <c r="C101" s="24">
        <f>'[16]kWh'!K12</f>
        <v>0.0883344770922695</v>
      </c>
      <c r="D101" s="1">
        <f>H101*202.33</f>
        <v>80527.34000000001</v>
      </c>
      <c r="H101" s="27">
        <v>398</v>
      </c>
      <c r="I101" s="24">
        <f>C70</f>
        <v>0.08414518664441924</v>
      </c>
      <c r="J101" s="27">
        <f>I101*E$115-750000+1000000</f>
        <v>31131283.49850186</v>
      </c>
    </row>
    <row r="102" spans="1:10" ht="12.75">
      <c r="A102" t="str">
        <f>A71</f>
        <v>September</v>
      </c>
      <c r="B102" s="27">
        <f>C102*B$115-1000</f>
        <v>86249.41807039507</v>
      </c>
      <c r="C102" s="24">
        <f>'[16]kWh'!K13</f>
        <v>0.08893926408806838</v>
      </c>
      <c r="D102" s="1">
        <f>H102*202.33</f>
        <v>78099.38</v>
      </c>
      <c r="H102" s="27">
        <v>386</v>
      </c>
      <c r="I102" s="24">
        <f>C71</f>
        <v>0.08282746334919878</v>
      </c>
      <c r="J102" s="27">
        <f>I102*E$115-750000+1000000</f>
        <v>30647679.049155954</v>
      </c>
    </row>
    <row r="103" spans="1:13" ht="12.75">
      <c r="A103" t="str">
        <f>A72</f>
        <v>October</v>
      </c>
      <c r="B103" s="27">
        <f>C103*B$115-1000</f>
        <v>78327.1709096032</v>
      </c>
      <c r="C103" s="24">
        <f>'[16]kWh'!K14</f>
        <v>0.08086357890887176</v>
      </c>
      <c r="D103" s="1">
        <f>H103*202.33</f>
        <v>80932</v>
      </c>
      <c r="H103" s="27">
        <v>400</v>
      </c>
      <c r="I103" s="24">
        <f>C72</f>
        <v>0.08498021556687134</v>
      </c>
      <c r="J103" s="27">
        <f>I103*E$115-750000+1000000</f>
        <v>31437739.11304178</v>
      </c>
      <c r="M103" s="27"/>
    </row>
    <row r="104" spans="1:13" ht="12.75">
      <c r="A104" t="str">
        <f>A73</f>
        <v>November</v>
      </c>
      <c r="B104" s="27">
        <f>C104*B$115-1000</f>
        <v>81852.04739964716</v>
      </c>
      <c r="C104" s="24">
        <f>'[16]kWh'!K15</f>
        <v>0.08445672517802973</v>
      </c>
      <c r="D104" s="1">
        <f>H104*202.33</f>
        <v>78504.04000000001</v>
      </c>
      <c r="H104" s="27">
        <v>388</v>
      </c>
      <c r="I104" s="24">
        <f>C73</f>
        <v>0.08546284393466597</v>
      </c>
      <c r="J104" s="27">
        <f>I104*E$115-750000+1000000</f>
        <v>31614863.72402241</v>
      </c>
      <c r="M104" s="27"/>
    </row>
    <row r="105" spans="1:13" ht="12.75">
      <c r="A105" t="str">
        <f>A74</f>
        <v>December</v>
      </c>
      <c r="B105" s="27">
        <f>C105*B$115-1000</f>
        <v>84539.32947621534</v>
      </c>
      <c r="C105" s="24">
        <f>'[16]kWh'!K16</f>
        <v>0.08719605451194223</v>
      </c>
      <c r="D105" s="1">
        <f>H105*202.33</f>
        <v>81336.66</v>
      </c>
      <c r="H105" s="27">
        <v>402</v>
      </c>
      <c r="I105" s="24">
        <f>C74</f>
        <v>0.0855294429531431</v>
      </c>
      <c r="J105" s="27">
        <f>I105*E$115-750000+1000000</f>
        <v>31639305.56380352</v>
      </c>
      <c r="M105" s="27"/>
    </row>
    <row r="106" spans="2:13" ht="12.75">
      <c r="B106" s="27"/>
      <c r="C106" s="27"/>
      <c r="D106" s="27"/>
      <c r="E106" s="27"/>
      <c r="F106" s="27"/>
      <c r="G106" s="27"/>
      <c r="H106" s="27"/>
      <c r="J106" s="27"/>
      <c r="M106" s="27"/>
    </row>
    <row r="107" spans="2:13" ht="13.5" thickBot="1">
      <c r="B107" s="27">
        <f>ROUND(SUM(B99:B105),-3)</f>
        <v>1453000</v>
      </c>
      <c r="C107" s="27"/>
      <c r="D107" s="27">
        <f>ROUND(C99+SUM(D101:D105),-3)</f>
        <v>1561000</v>
      </c>
      <c r="E107" s="27"/>
      <c r="F107" s="27"/>
      <c r="G107" s="27"/>
      <c r="H107" s="27"/>
      <c r="J107" s="27">
        <f>ROUND(SUM(J99:J105),-6)</f>
        <v>382000000</v>
      </c>
      <c r="K107" s="24">
        <f>J107/(B107*24*30)</f>
        <v>0.36514491091228873</v>
      </c>
      <c r="M107" s="27"/>
    </row>
    <row r="108" spans="2:13" ht="12.75">
      <c r="B108" s="1">
        <f>ROUND(B107*2.6389,-3)</f>
        <v>3834000</v>
      </c>
      <c r="C108" s="27"/>
      <c r="D108" s="27"/>
      <c r="E108" s="27"/>
      <c r="F108" s="91"/>
      <c r="G108" s="107" t="s">
        <v>195</v>
      </c>
      <c r="H108" s="93"/>
      <c r="J108" s="27"/>
      <c r="M108" s="27"/>
    </row>
    <row r="109" spans="6:10" ht="12.75">
      <c r="F109" s="105" t="s">
        <v>194</v>
      </c>
      <c r="G109" s="94"/>
      <c r="H109" s="95"/>
      <c r="J109" s="27"/>
    </row>
    <row r="110" spans="1:8" ht="12.75">
      <c r="A110" s="58" t="s">
        <v>196</v>
      </c>
      <c r="B110" s="58">
        <f>+B99*F114</f>
        <v>199488.94263525872</v>
      </c>
      <c r="E110" s="27"/>
      <c r="F110" s="96" t="s">
        <v>186</v>
      </c>
      <c r="G110" s="97"/>
      <c r="H110" s="98" t="s">
        <v>187</v>
      </c>
    </row>
    <row r="111" spans="1:8" ht="12.75">
      <c r="A111" s="58" t="s">
        <v>197</v>
      </c>
      <c r="B111" s="58">
        <f>+B99*H114</f>
        <v>638879.2987425392</v>
      </c>
      <c r="E111" s="24"/>
      <c r="F111" s="99"/>
      <c r="G111" s="100"/>
      <c r="H111" s="101"/>
    </row>
    <row r="112" spans="1:8" ht="13.5" thickBot="1">
      <c r="A112" s="58" t="s">
        <v>198</v>
      </c>
      <c r="B112" s="126">
        <f>SUM(B110:B111)</f>
        <v>838368.2413777979</v>
      </c>
      <c r="E112" s="24"/>
      <c r="F112" s="99">
        <v>0.001806</v>
      </c>
      <c r="G112" s="106" t="s">
        <v>188</v>
      </c>
      <c r="H112" s="101">
        <v>0.005783</v>
      </c>
    </row>
    <row r="113" spans="5:8" ht="12.75">
      <c r="E113" s="24"/>
      <c r="F113" s="99">
        <v>0.001148</v>
      </c>
      <c r="G113" s="106" t="s">
        <v>189</v>
      </c>
      <c r="H113" s="101">
        <v>0.003678</v>
      </c>
    </row>
    <row r="114" spans="5:8" ht="12.75">
      <c r="E114" s="24"/>
      <c r="F114" s="123">
        <v>0.195271</v>
      </c>
      <c r="G114" s="124" t="s">
        <v>190</v>
      </c>
      <c r="H114" s="125">
        <v>0.625371</v>
      </c>
    </row>
    <row r="115" spans="2:8" ht="12.75">
      <c r="B115" s="27">
        <v>981000</v>
      </c>
      <c r="D115" s="1">
        <v>1030000</v>
      </c>
      <c r="E115" s="27">
        <v>367000000</v>
      </c>
      <c r="F115" s="99">
        <v>0.120059</v>
      </c>
      <c r="G115" s="106" t="s">
        <v>191</v>
      </c>
      <c r="H115" s="101">
        <v>0.384498</v>
      </c>
    </row>
    <row r="116" spans="2:8" ht="12.75">
      <c r="B116" s="24">
        <f>B99/B115</f>
        <v>1.041386805257295</v>
      </c>
      <c r="D116" s="24">
        <f>C99/D115</f>
        <v>1.127424563106796</v>
      </c>
      <c r="E116" s="24">
        <f>J99/E115</f>
        <v>0.6154400949318801</v>
      </c>
      <c r="F116" s="99">
        <v>0.097704</v>
      </c>
      <c r="G116" s="106" t="s">
        <v>192</v>
      </c>
      <c r="H116" s="101">
        <v>0.312905</v>
      </c>
    </row>
    <row r="117" spans="2:8" ht="12.75">
      <c r="B117" s="57">
        <v>0.195271</v>
      </c>
      <c r="C117" s="1" t="s">
        <v>116</v>
      </c>
      <c r="E117" s="24"/>
      <c r="F117" s="99">
        <v>0.101043</v>
      </c>
      <c r="G117" s="106" t="s">
        <v>193</v>
      </c>
      <c r="H117" s="101">
        <v>0.323597</v>
      </c>
    </row>
    <row r="118" spans="2:8" ht="12.75">
      <c r="B118" s="27">
        <f>ROUND(B99*B117,0)</f>
        <v>199489</v>
      </c>
      <c r="C118" s="1" t="s">
        <v>117</v>
      </c>
      <c r="E118" s="24"/>
      <c r="F118" s="99"/>
      <c r="G118" s="100"/>
      <c r="H118" s="101"/>
    </row>
    <row r="119" spans="2:8" ht="13.5" thickBot="1">
      <c r="B119" s="27">
        <f>B117*B107</f>
        <v>283728.763</v>
      </c>
      <c r="E119" s="24"/>
      <c r="F119" s="102"/>
      <c r="G119" s="103"/>
      <c r="H119" s="104"/>
    </row>
    <row r="121" spans="6:8" ht="13.5" thickBot="1">
      <c r="F121" s="100"/>
      <c r="G121" s="100"/>
      <c r="H121" s="100"/>
    </row>
    <row r="122" spans="1:9" s="20" customFormat="1" ht="16.5" thickBot="1">
      <c r="A122" s="86" t="s">
        <v>52</v>
      </c>
      <c r="B122" s="144" t="s">
        <v>205</v>
      </c>
      <c r="C122" s="21"/>
      <c r="D122" s="21"/>
      <c r="E122" s="29"/>
      <c r="I122" s="25"/>
    </row>
    <row r="124" spans="2:13" s="4" customFormat="1" ht="38.25">
      <c r="B124" s="5" t="s">
        <v>175</v>
      </c>
      <c r="C124" s="5" t="s">
        <v>174</v>
      </c>
      <c r="D124" s="5" t="s">
        <v>173</v>
      </c>
      <c r="E124" s="5" t="s">
        <v>199</v>
      </c>
      <c r="F124" s="5" t="s">
        <v>200</v>
      </c>
      <c r="G124" s="5" t="s">
        <v>201</v>
      </c>
      <c r="H124" s="5" t="s">
        <v>51</v>
      </c>
      <c r="I124" s="26" t="s">
        <v>55</v>
      </c>
      <c r="J124" s="30" t="s">
        <v>70</v>
      </c>
      <c r="K124" s="26" t="s">
        <v>56</v>
      </c>
      <c r="L124" s="30"/>
      <c r="M124" s="4" t="s">
        <v>71</v>
      </c>
    </row>
    <row r="125" spans="2:12" s="4" customFormat="1" ht="12.75">
      <c r="B125" s="23"/>
      <c r="C125" s="5"/>
      <c r="D125" s="5"/>
      <c r="E125" s="5"/>
      <c r="F125" s="5"/>
      <c r="G125" s="5"/>
      <c r="H125" s="5"/>
      <c r="I125" s="26"/>
      <c r="J125" s="30"/>
      <c r="K125" s="26"/>
      <c r="L125" s="30"/>
    </row>
    <row r="126" spans="1:7" ht="12.75">
      <c r="A126" s="66" t="s">
        <v>202</v>
      </c>
      <c r="B126" s="27">
        <v>-68606.98</v>
      </c>
      <c r="E126" s="1">
        <f aca="true" t="shared" si="16" ref="E126:E139">+B126*$F$157</f>
        <v>-8236.88541182</v>
      </c>
      <c r="F126" s="1">
        <f aca="true" t="shared" si="17" ref="F126:F139">+B126*$H$157</f>
        <v>-26379.24659604</v>
      </c>
      <c r="G126" s="1">
        <f>SUM(E126:F126)</f>
        <v>-34616.13200786</v>
      </c>
    </row>
    <row r="127" spans="1:13" ht="12.75">
      <c r="A127" t="s">
        <v>3</v>
      </c>
      <c r="B127" s="27">
        <f>'GS TOU'!E9</f>
        <v>68606.97898127045</v>
      </c>
      <c r="C127" s="1">
        <f>19766.65</f>
        <v>19766.65</v>
      </c>
      <c r="D127" s="1">
        <f>'GS TOU'!B9</f>
        <v>138462.61</v>
      </c>
      <c r="E127" s="1">
        <f t="shared" si="16"/>
        <v>8236.88528951235</v>
      </c>
      <c r="F127" s="1">
        <f t="shared" si="17"/>
        <v>26379.24620434053</v>
      </c>
      <c r="G127" s="1">
        <f>SUM(E127:F127)</f>
        <v>34616.13149385288</v>
      </c>
      <c r="H127" s="1">
        <f>'GS TOU'!C80</f>
        <v>30117354.779999994</v>
      </c>
      <c r="I127" s="27">
        <v>412000</v>
      </c>
      <c r="J127" s="27">
        <f>H127</f>
        <v>30117354.779999994</v>
      </c>
      <c r="K127" s="27">
        <v>194577</v>
      </c>
      <c r="M127" s="3">
        <f>'GS TOU'!B164</f>
        <v>-41164.21</v>
      </c>
    </row>
    <row r="128" spans="1:13" ht="12.75">
      <c r="A128" t="s">
        <v>4</v>
      </c>
      <c r="B128" s="27">
        <f>'GS TOU'!E13</f>
        <v>69336.33</v>
      </c>
      <c r="C128" s="1">
        <f>39567.8-19766.65</f>
        <v>19801.15</v>
      </c>
      <c r="D128" s="1">
        <f>'GS TOU'!B13</f>
        <v>139934.57</v>
      </c>
      <c r="E128" s="1">
        <f t="shared" si="16"/>
        <v>8324.45044347</v>
      </c>
      <c r="F128" s="1">
        <f t="shared" si="17"/>
        <v>26659.68021234</v>
      </c>
      <c r="G128" s="1">
        <f aca="true" t="shared" si="18" ref="G128:G139">SUM(E128:F128)</f>
        <v>34984.130655810004</v>
      </c>
      <c r="H128" s="1">
        <f>'GS TOU'!C86</f>
        <v>32158865.529999997</v>
      </c>
      <c r="J128" s="27">
        <f aca="true" t="shared" si="19" ref="J128:J138">H128</f>
        <v>32158865.529999997</v>
      </c>
      <c r="M128" s="3">
        <f>'GS TOU'!B169</f>
        <v>-41601.79</v>
      </c>
    </row>
    <row r="129" spans="1:13" ht="12.75">
      <c r="A129" t="s">
        <v>5</v>
      </c>
      <c r="B129" s="27">
        <f>'GS TOU'!E19</f>
        <v>66802.76999999999</v>
      </c>
      <c r="C129" s="1">
        <f>56954-39567.8</f>
        <v>17386.199999999997</v>
      </c>
      <c r="D129" s="1">
        <f>'GS TOU'!B19</f>
        <v>134821.35999999996</v>
      </c>
      <c r="E129" s="1">
        <f t="shared" si="16"/>
        <v>8020.273763429998</v>
      </c>
      <c r="F129" s="1">
        <f t="shared" si="17"/>
        <v>25685.531459459995</v>
      </c>
      <c r="G129" s="1">
        <f t="shared" si="18"/>
        <v>33705.80522288999</v>
      </c>
      <c r="H129" s="1">
        <f>'GS TOU'!C92</f>
        <v>29555875.2</v>
      </c>
      <c r="J129" s="27">
        <f t="shared" si="19"/>
        <v>29555875.2</v>
      </c>
      <c r="M129" s="3">
        <f>'GS TOU'!B174</f>
        <v>-40081.67</v>
      </c>
    </row>
    <row r="130" spans="1:13" ht="12.75">
      <c r="A130" t="s">
        <v>6</v>
      </c>
      <c r="B130" s="27">
        <f>'GS TOU'!E23</f>
        <v>68135.90999999999</v>
      </c>
      <c r="C130" s="1">
        <f>76686.15-56954</f>
        <v>19732.149999999994</v>
      </c>
      <c r="D130" s="1">
        <f>'GS TOU'!B23</f>
        <v>137511.94</v>
      </c>
      <c r="E130" s="1">
        <f t="shared" si="16"/>
        <v>8180.329218689999</v>
      </c>
      <c r="F130" s="1">
        <f t="shared" si="17"/>
        <v>26198.121123179997</v>
      </c>
      <c r="G130" s="1">
        <f t="shared" si="18"/>
        <v>34378.45034187</v>
      </c>
      <c r="H130" s="1">
        <f>'GS TOU'!C98</f>
        <v>32616213.7</v>
      </c>
      <c r="J130" s="27">
        <f t="shared" si="19"/>
        <v>32616213.7</v>
      </c>
      <c r="M130" s="3">
        <f>'GS TOU'!B178</f>
        <v>-40881.53999999999</v>
      </c>
    </row>
    <row r="131" spans="1:13" ht="12.75">
      <c r="A131" t="s">
        <v>7</v>
      </c>
      <c r="B131" s="27">
        <f>'GS TOU'!E27</f>
        <v>71426.31</v>
      </c>
      <c r="C131" s="1">
        <f>20215.05-534.7</f>
        <v>19680.35</v>
      </c>
      <c r="D131" s="1">
        <f>'GS TOU'!B27</f>
        <v>144152.59</v>
      </c>
      <c r="E131" s="1">
        <f t="shared" si="16"/>
        <v>8575.37135229</v>
      </c>
      <c r="F131" s="1">
        <f t="shared" si="17"/>
        <v>27463.27334238</v>
      </c>
      <c r="G131" s="1">
        <f t="shared" si="18"/>
        <v>36038.64469467</v>
      </c>
      <c r="H131" s="1">
        <f>'GS TOU'!C104</f>
        <v>32607624.78</v>
      </c>
      <c r="J131" s="27">
        <f t="shared" si="19"/>
        <v>32607624.78</v>
      </c>
      <c r="M131" s="3">
        <f>'GS TOU'!B183</f>
        <v>-42855.80000000002</v>
      </c>
    </row>
    <row r="132" spans="1:13" ht="12.75">
      <c r="A132" t="s">
        <v>8</v>
      </c>
      <c r="B132" s="27">
        <f>'GS TOU'!E31</f>
        <v>70183.39</v>
      </c>
      <c r="C132" s="1">
        <f>115598.45-96366.5</f>
        <v>19231.949999999997</v>
      </c>
      <c r="D132" s="1">
        <f>'GS TOU'!B31</f>
        <v>141644.13999999996</v>
      </c>
      <c r="E132" s="1">
        <f t="shared" si="16"/>
        <v>8426.14762001</v>
      </c>
      <c r="F132" s="1">
        <f t="shared" si="17"/>
        <v>26985.37308822</v>
      </c>
      <c r="G132" s="1">
        <f t="shared" si="18"/>
        <v>35411.520708230004</v>
      </c>
      <c r="H132" s="1">
        <f>'GS TOU'!C110</f>
        <v>32639469.390000004</v>
      </c>
      <c r="J132" s="27">
        <f t="shared" si="19"/>
        <v>32639469.390000004</v>
      </c>
      <c r="M132" s="3">
        <f>'GS TOU'!B187</f>
        <v>-42110.03999999998</v>
      </c>
    </row>
    <row r="133" spans="1:13" ht="12.75">
      <c r="A133" t="s">
        <v>9</v>
      </c>
      <c r="B133" s="27">
        <f>'GS TOU'!E35</f>
        <v>72947.47</v>
      </c>
      <c r="C133" s="1">
        <f>134778.6-115598.45</f>
        <v>19180.15000000001</v>
      </c>
      <c r="D133" s="1">
        <f>'GS TOU'!B35</f>
        <v>147222.58</v>
      </c>
      <c r="E133" s="1">
        <f t="shared" si="16"/>
        <v>8758.00030073</v>
      </c>
      <c r="F133" s="1">
        <f t="shared" si="17"/>
        <v>28048.15632006</v>
      </c>
      <c r="G133" s="1">
        <f t="shared" si="18"/>
        <v>36806.15662079</v>
      </c>
      <c r="H133" s="1">
        <f>'GS TOU'!C116</f>
        <v>32365328.59</v>
      </c>
      <c r="J133" s="27">
        <f t="shared" si="19"/>
        <v>32365328.59</v>
      </c>
      <c r="M133" s="3">
        <f>'GS TOU'!B191</f>
        <v>-43768.48</v>
      </c>
    </row>
    <row r="134" spans="1:13" ht="12.75">
      <c r="A134" t="s">
        <v>10</v>
      </c>
      <c r="B134" s="27">
        <f>'GS TOU'!E39</f>
        <v>74662.9719552076</v>
      </c>
      <c r="C134" s="1">
        <v>20301.35</v>
      </c>
      <c r="D134" s="1">
        <f>'GS TOU'!B39</f>
        <v>150684.81</v>
      </c>
      <c r="E134" s="1">
        <f t="shared" si="16"/>
        <v>8963.961749970269</v>
      </c>
      <c r="F134" s="1">
        <f t="shared" si="17"/>
        <v>28707.76339083341</v>
      </c>
      <c r="G134" s="1">
        <f t="shared" si="18"/>
        <v>37671.72514080368</v>
      </c>
      <c r="H134" s="1">
        <f>'GS TOU'!C122</f>
        <v>0</v>
      </c>
      <c r="J134" s="27">
        <f t="shared" si="19"/>
        <v>0</v>
      </c>
      <c r="M134" s="3">
        <f>'GS TOU'!B195</f>
        <v>0</v>
      </c>
    </row>
    <row r="135" spans="1:13" ht="12.75">
      <c r="A135" t="s">
        <v>11</v>
      </c>
      <c r="B135" s="27">
        <f>'GS TOU'!E43</f>
        <v>71256.82786641561</v>
      </c>
      <c r="C135" s="1">
        <v>18628.2</v>
      </c>
      <c r="D135" s="1">
        <f>'GS TOU'!B43</f>
        <v>143810.53</v>
      </c>
      <c r="E135" s="1">
        <f t="shared" si="16"/>
        <v>8555.023496813992</v>
      </c>
      <c r="F135" s="1">
        <f t="shared" si="17"/>
        <v>27398.10780098107</v>
      </c>
      <c r="G135" s="1">
        <f t="shared" si="18"/>
        <v>35953.13129779506</v>
      </c>
      <c r="H135" s="1">
        <f>'GS TOU'!C128</f>
        <v>0</v>
      </c>
      <c r="J135" s="27">
        <f t="shared" si="19"/>
        <v>0</v>
      </c>
      <c r="M135" s="3">
        <f>'GS TOU'!B199</f>
        <v>0</v>
      </c>
    </row>
    <row r="136" spans="1:13" ht="12.75">
      <c r="A136" t="s">
        <v>12</v>
      </c>
      <c r="B136" s="27">
        <f>'GS TOU'!E47</f>
        <v>73030.66098503617</v>
      </c>
      <c r="C136" s="1">
        <f>22422.9-2121.55</f>
        <v>20301.350000000002</v>
      </c>
      <c r="D136" s="1">
        <f>'GS TOU'!B47</f>
        <v>147390.48</v>
      </c>
      <c r="E136" s="1">
        <f t="shared" si="16"/>
        <v>8767.988127202458</v>
      </c>
      <c r="F136" s="1">
        <f t="shared" si="17"/>
        <v>28080.14308742444</v>
      </c>
      <c r="G136" s="1">
        <f t="shared" si="18"/>
        <v>36848.1312146269</v>
      </c>
      <c r="H136" s="1">
        <f>'GS TOU'!C134</f>
        <v>0</v>
      </c>
      <c r="J136" s="27">
        <f t="shared" si="19"/>
        <v>0</v>
      </c>
      <c r="M136" s="3">
        <f>'GS TOU'!B203</f>
        <v>0</v>
      </c>
    </row>
    <row r="137" spans="1:13" ht="12.75">
      <c r="A137" t="s">
        <v>13</v>
      </c>
      <c r="B137" s="27">
        <f>'GS TOU'!E51</f>
        <v>70911.44584283025</v>
      </c>
      <c r="C137" s="1">
        <v>19783.9</v>
      </c>
      <c r="D137" s="1">
        <f>'GS TOU'!B51</f>
        <v>143113.48</v>
      </c>
      <c r="E137" s="1">
        <f t="shared" si="16"/>
        <v>8513.557276444357</v>
      </c>
      <c r="F137" s="1">
        <f t="shared" si="17"/>
        <v>27265.309103676544</v>
      </c>
      <c r="G137" s="1">
        <f t="shared" si="18"/>
        <v>35778.866380120904</v>
      </c>
      <c r="H137" s="1">
        <f>'GS TOU'!C140</f>
        <v>0</v>
      </c>
      <c r="J137" s="27">
        <f t="shared" si="19"/>
        <v>0</v>
      </c>
      <c r="M137" s="3">
        <f>'GS TOU'!B207</f>
        <v>0</v>
      </c>
    </row>
    <row r="138" spans="1:13" s="74" customFormat="1" ht="12.75">
      <c r="A138" s="74" t="s">
        <v>14</v>
      </c>
      <c r="B138" s="112">
        <f>'GS TOU'!E55</f>
        <v>69394.22752948171</v>
      </c>
      <c r="C138" s="111">
        <v>18628.2</v>
      </c>
      <c r="D138" s="111">
        <f>'GS TOU'!B55</f>
        <v>140051.43</v>
      </c>
      <c r="E138" s="1">
        <f t="shared" si="16"/>
        <v>8331.401562962044</v>
      </c>
      <c r="F138" s="1">
        <f t="shared" si="17"/>
        <v>26681.94169663066</v>
      </c>
      <c r="G138" s="1">
        <f t="shared" si="18"/>
        <v>35013.3432595927</v>
      </c>
      <c r="H138" s="111">
        <f>'GS TOU'!C146</f>
        <v>0</v>
      </c>
      <c r="I138" s="112"/>
      <c r="J138" s="112">
        <f t="shared" si="19"/>
        <v>0</v>
      </c>
      <c r="K138" s="112"/>
      <c r="L138" s="120"/>
      <c r="M138" s="121">
        <f>'GS TOU'!B211</f>
        <v>0</v>
      </c>
    </row>
    <row r="139" spans="1:13" ht="12.75">
      <c r="A139" s="114" t="s">
        <v>203</v>
      </c>
      <c r="B139" s="28">
        <v>70332.93</v>
      </c>
      <c r="C139" s="8"/>
      <c r="D139" s="8"/>
      <c r="E139" s="8">
        <f t="shared" si="16"/>
        <v>8444.10124287</v>
      </c>
      <c r="F139" s="8">
        <f t="shared" si="17"/>
        <v>27042.870919139998</v>
      </c>
      <c r="G139" s="8">
        <f t="shared" si="18"/>
        <v>35486.972162009995</v>
      </c>
      <c r="H139" s="8"/>
      <c r="I139" s="28"/>
      <c r="J139" s="28"/>
      <c r="K139" s="28"/>
      <c r="L139" s="31"/>
      <c r="M139" s="7"/>
    </row>
    <row r="140" spans="2:13" ht="12.75">
      <c r="B140" s="59">
        <f>SUM(B126:B139)</f>
        <v>848421.2431602417</v>
      </c>
      <c r="C140" s="59">
        <f aca="true" t="shared" si="20" ref="C140:H140">SUM(C126:C139)</f>
        <v>232421.60000000003</v>
      </c>
      <c r="D140" s="59">
        <f t="shared" si="20"/>
        <v>1708800.5199999998</v>
      </c>
      <c r="E140" s="59">
        <f t="shared" si="20"/>
        <v>101860.60603257548</v>
      </c>
      <c r="F140" s="59">
        <f t="shared" si="20"/>
        <v>326216.2711526266</v>
      </c>
      <c r="G140" s="59">
        <f t="shared" si="20"/>
        <v>428076.8771852021</v>
      </c>
      <c r="H140" s="143">
        <f t="shared" si="20"/>
        <v>222060731.97000003</v>
      </c>
      <c r="I140" s="143">
        <f>SUM(I126:I139)</f>
        <v>412000</v>
      </c>
      <c r="J140" s="143">
        <f>SUM(J126:J139)</f>
        <v>222060731.97000003</v>
      </c>
      <c r="K140" s="143">
        <f>SUM(K126:K139)</f>
        <v>194577</v>
      </c>
      <c r="L140" s="143">
        <f>SUM(L126:L139)</f>
        <v>0</v>
      </c>
      <c r="M140" s="143">
        <f>SUM(M126:M139)</f>
        <v>-292463.52999999997</v>
      </c>
    </row>
    <row r="141" spans="2:7" ht="12.75">
      <c r="B141" s="1">
        <f>+B140-'GS TOU'!E57</f>
        <v>1725.949999999837</v>
      </c>
      <c r="D141" s="1">
        <f>+D140-'GS TOU'!I55</f>
        <v>0</v>
      </c>
      <c r="E141" s="1">
        <f>+E140-B152</f>
        <v>0</v>
      </c>
      <c r="F141" s="1">
        <f>+F140-B153</f>
        <v>0</v>
      </c>
      <c r="G141" s="1">
        <f>+G140-B154</f>
        <v>0</v>
      </c>
    </row>
    <row r="142" spans="1:10" ht="12.75">
      <c r="A142" t="str">
        <f>A101</f>
        <v>August</v>
      </c>
      <c r="B142" s="27">
        <f>C142*B$157-4000-1000</f>
        <v>74589.36386013482</v>
      </c>
      <c r="C142" s="24">
        <f>C101</f>
        <v>0.0883344770922695</v>
      </c>
      <c r="D142" s="1">
        <f>517.45*H142</f>
        <v>19663.100000000002</v>
      </c>
      <c r="H142" s="27">
        <v>38</v>
      </c>
      <c r="I142" s="24">
        <f>I101</f>
        <v>0.08414518664441924</v>
      </c>
      <c r="J142" s="27">
        <f>I142*E$157-2000000</f>
        <v>32078800.59098979</v>
      </c>
    </row>
    <row r="143" spans="1:10" ht="12.75">
      <c r="A143" t="str">
        <f>A102</f>
        <v>September</v>
      </c>
      <c r="B143" s="27">
        <f>C143*B$157-4000-1000</f>
        <v>75134.2769433496</v>
      </c>
      <c r="C143" s="24">
        <f>C102</f>
        <v>0.08893926408806838</v>
      </c>
      <c r="D143" s="1">
        <f>517.45*H143</f>
        <v>19145.65</v>
      </c>
      <c r="H143" s="27">
        <v>37</v>
      </c>
      <c r="I143" s="24">
        <f>I102</f>
        <v>0.08282746334919878</v>
      </c>
      <c r="J143" s="27">
        <f>I143*E$157-2000000</f>
        <v>31545122.65642551</v>
      </c>
    </row>
    <row r="144" spans="1:13" ht="12.75">
      <c r="A144" t="str">
        <f>A103</f>
        <v>October</v>
      </c>
      <c r="B144" s="27">
        <f>C144*B$157-4000-1000</f>
        <v>67858.08459689346</v>
      </c>
      <c r="C144" s="24">
        <f>C103</f>
        <v>0.08086357890887176</v>
      </c>
      <c r="D144" s="1">
        <f>517.45*H144</f>
        <v>19663.100000000002</v>
      </c>
      <c r="H144" s="27">
        <v>38</v>
      </c>
      <c r="I144" s="24">
        <f>I103</f>
        <v>0.08498021556687134</v>
      </c>
      <c r="J144" s="27">
        <f>I144*E$157-2000000</f>
        <v>32416987.304582894</v>
      </c>
      <c r="M144" s="27"/>
    </row>
    <row r="145" spans="1:13" ht="12.75">
      <c r="A145" t="str">
        <f>A104</f>
        <v>November</v>
      </c>
      <c r="B145" s="27">
        <f>C145*B$157-4000-1000</f>
        <v>71095.50938540479</v>
      </c>
      <c r="C145" s="24">
        <f>C104</f>
        <v>0.08445672517802973</v>
      </c>
      <c r="D145" s="1">
        <f>517.45*H145</f>
        <v>19145.65</v>
      </c>
      <c r="H145" s="27">
        <v>37</v>
      </c>
      <c r="I145" s="24">
        <f>I104</f>
        <v>0.08546284393466597</v>
      </c>
      <c r="J145" s="27">
        <f>I145*E$157-2000000</f>
        <v>32612451.793539718</v>
      </c>
      <c r="M145" s="27"/>
    </row>
    <row r="146" spans="1:13" ht="12.75">
      <c r="A146" t="str">
        <f>A105</f>
        <v>December</v>
      </c>
      <c r="B146" s="27">
        <f>C146*B$157-4000-1000</f>
        <v>73563.64511525995</v>
      </c>
      <c r="C146" s="24">
        <f>C105</f>
        <v>0.08719605451194223</v>
      </c>
      <c r="D146" s="1">
        <f>517.45*H146</f>
        <v>19663.100000000002</v>
      </c>
      <c r="H146" s="27">
        <v>38</v>
      </c>
      <c r="I146" s="24">
        <f>I105</f>
        <v>0.0855294429531431</v>
      </c>
      <c r="J146" s="27">
        <f>I146*E$157-2000000</f>
        <v>32639424.39602296</v>
      </c>
      <c r="M146" s="27"/>
    </row>
    <row r="147" spans="2:13" ht="12.75">
      <c r="B147" s="27"/>
      <c r="C147" s="27"/>
      <c r="D147" s="27"/>
      <c r="E147" s="27"/>
      <c r="F147" s="27"/>
      <c r="G147" s="27"/>
      <c r="H147" s="27"/>
      <c r="J147" s="27"/>
      <c r="M147" s="27"/>
    </row>
    <row r="148" spans="2:13" ht="12.75">
      <c r="B148" s="27">
        <f>ROUND(SUM(B140:B146),-3)</f>
        <v>1212000</v>
      </c>
      <c r="C148" s="27"/>
      <c r="D148" s="27">
        <f>ROUND(C140+SUM(D142:D146),-3)</f>
        <v>330000</v>
      </c>
      <c r="E148" s="27"/>
      <c r="F148" s="27"/>
      <c r="G148" s="27"/>
      <c r="H148" s="27"/>
      <c r="J148" s="27">
        <f>ROUND(SUM(J140:J146),-6)</f>
        <v>383000000</v>
      </c>
      <c r="K148" s="24">
        <f>J148/(B148*24*30)</f>
        <v>0.4388980564723139</v>
      </c>
      <c r="M148" s="27"/>
    </row>
    <row r="149" spans="1:13" ht="13.5" thickBot="1">
      <c r="A149" s="27"/>
      <c r="B149" s="2">
        <v>2.0182</v>
      </c>
      <c r="C149" s="27"/>
      <c r="D149" s="27"/>
      <c r="E149" s="27"/>
      <c r="F149" s="27"/>
      <c r="G149" s="27"/>
      <c r="H149" s="27"/>
      <c r="J149" s="27"/>
      <c r="L149" s="27"/>
      <c r="M149" s="27"/>
    </row>
    <row r="150" spans="2:8" ht="12.75">
      <c r="B150" s="1">
        <f>ROUND(B148*B149,-3)</f>
        <v>2446000</v>
      </c>
      <c r="E150" s="24"/>
      <c r="F150" s="91"/>
      <c r="G150" s="107" t="s">
        <v>195</v>
      </c>
      <c r="H150" s="93"/>
    </row>
    <row r="151" spans="5:8" ht="12.75">
      <c r="E151" s="24"/>
      <c r="F151" s="105" t="s">
        <v>194</v>
      </c>
      <c r="G151" s="94"/>
      <c r="H151" s="95"/>
    </row>
    <row r="152" spans="1:8" ht="12.75">
      <c r="A152" s="58" t="s">
        <v>196</v>
      </c>
      <c r="B152" s="58">
        <f>+B140*F157</f>
        <v>101860.60603257547</v>
      </c>
      <c r="E152" s="24"/>
      <c r="F152" s="96" t="s">
        <v>186</v>
      </c>
      <c r="G152" s="97"/>
      <c r="H152" s="98" t="s">
        <v>187</v>
      </c>
    </row>
    <row r="153" spans="1:8" ht="12.75">
      <c r="A153" s="58" t="s">
        <v>197</v>
      </c>
      <c r="B153" s="58">
        <f>+B140*H157</f>
        <v>326216.27115262666</v>
      </c>
      <c r="E153" s="24"/>
      <c r="F153" s="99"/>
      <c r="G153" s="100"/>
      <c r="H153" s="101"/>
    </row>
    <row r="154" spans="1:8" ht="13.5" thickBot="1">
      <c r="A154" s="58" t="s">
        <v>198</v>
      </c>
      <c r="B154" s="130">
        <f>SUM(B152:B153)</f>
        <v>428076.87718520215</v>
      </c>
      <c r="E154" s="24"/>
      <c r="F154" s="99">
        <v>0.001806</v>
      </c>
      <c r="G154" s="106" t="s">
        <v>188</v>
      </c>
      <c r="H154" s="101">
        <v>0.005783</v>
      </c>
    </row>
    <row r="155" spans="5:8" ht="12.75">
      <c r="E155" s="24"/>
      <c r="F155" s="99">
        <v>0.001148</v>
      </c>
      <c r="G155" s="106" t="s">
        <v>189</v>
      </c>
      <c r="H155" s="101">
        <v>0.003678</v>
      </c>
    </row>
    <row r="156" spans="5:8" ht="12.75">
      <c r="E156" s="24"/>
      <c r="F156" s="99">
        <v>0.195271</v>
      </c>
      <c r="G156" s="106" t="s">
        <v>190</v>
      </c>
      <c r="H156" s="101">
        <v>0.625371</v>
      </c>
    </row>
    <row r="157" spans="2:8" ht="12.75">
      <c r="B157" s="27">
        <v>901000</v>
      </c>
      <c r="E157" s="27">
        <v>405000000</v>
      </c>
      <c r="F157" s="127">
        <v>0.120059</v>
      </c>
      <c r="G157" s="128" t="s">
        <v>191</v>
      </c>
      <c r="H157" s="129">
        <v>0.384498</v>
      </c>
    </row>
    <row r="158" spans="2:8" ht="12.75">
      <c r="B158" s="24">
        <f>B140/B157</f>
        <v>0.9416439990679709</v>
      </c>
      <c r="E158" s="24">
        <f>J140/E157</f>
        <v>0.5482981036296297</v>
      </c>
      <c r="F158" s="99">
        <v>0.097704</v>
      </c>
      <c r="G158" s="106" t="s">
        <v>192</v>
      </c>
      <c r="H158" s="101">
        <v>0.312905</v>
      </c>
    </row>
    <row r="159" spans="2:8" ht="12.75">
      <c r="B159" s="57">
        <v>0.120059</v>
      </c>
      <c r="C159" s="1" t="s">
        <v>116</v>
      </c>
      <c r="E159" s="24"/>
      <c r="F159" s="99">
        <v>0.101043</v>
      </c>
      <c r="G159" s="106" t="s">
        <v>193</v>
      </c>
      <c r="H159" s="101">
        <v>0.323597</v>
      </c>
    </row>
    <row r="160" spans="2:8" ht="12.75">
      <c r="B160" s="27">
        <f>ROUND(B140*B159,0)</f>
        <v>101861</v>
      </c>
      <c r="C160" s="1" t="s">
        <v>117</v>
      </c>
      <c r="E160" s="24"/>
      <c r="F160" s="99"/>
      <c r="G160" s="100"/>
      <c r="H160" s="101"/>
    </row>
    <row r="161" spans="2:8" ht="13.5" thickBot="1">
      <c r="B161" s="27">
        <f>B159*B148</f>
        <v>145511.508</v>
      </c>
      <c r="E161" s="24"/>
      <c r="F161" s="102"/>
      <c r="G161" s="103"/>
      <c r="H161" s="104"/>
    </row>
    <row r="162" spans="2:8" ht="12.75">
      <c r="B162" s="27"/>
      <c r="E162" s="24"/>
      <c r="F162" s="100"/>
      <c r="G162" s="100"/>
      <c r="H162" s="100"/>
    </row>
    <row r="163" ht="13.5" thickBot="1"/>
    <row r="164" spans="1:12" s="20" customFormat="1" ht="16.5" thickBot="1">
      <c r="A164" s="87" t="s">
        <v>54</v>
      </c>
      <c r="B164" s="144" t="s">
        <v>205</v>
      </c>
      <c r="C164" s="21"/>
      <c r="D164" s="21"/>
      <c r="E164" s="21"/>
      <c r="F164" s="21"/>
      <c r="G164" s="21"/>
      <c r="H164" s="21"/>
      <c r="I164" s="25"/>
      <c r="J164" s="29"/>
      <c r="K164" s="25"/>
      <c r="L164" s="29"/>
    </row>
    <row r="166" spans="2:13" s="4" customFormat="1" ht="38.25">
      <c r="B166" s="5" t="s">
        <v>175</v>
      </c>
      <c r="C166" s="5" t="s">
        <v>174</v>
      </c>
      <c r="D166" s="5" t="s">
        <v>173</v>
      </c>
      <c r="E166" s="5" t="s">
        <v>199</v>
      </c>
      <c r="F166" s="5" t="s">
        <v>200</v>
      </c>
      <c r="G166" s="5" t="s">
        <v>201</v>
      </c>
      <c r="H166" s="5" t="s">
        <v>51</v>
      </c>
      <c r="I166" s="26" t="s">
        <v>55</v>
      </c>
      <c r="J166" s="30" t="s">
        <v>70</v>
      </c>
      <c r="K166" s="26" t="s">
        <v>56</v>
      </c>
      <c r="L166" s="30"/>
      <c r="M166" s="4" t="s">
        <v>71</v>
      </c>
    </row>
    <row r="167" spans="2:12" s="4" customFormat="1" ht="12.75">
      <c r="B167" s="5"/>
      <c r="C167" s="5"/>
      <c r="D167" s="5"/>
      <c r="E167" s="5"/>
      <c r="F167" s="5"/>
      <c r="G167" s="5"/>
      <c r="H167" s="5"/>
      <c r="I167" s="26"/>
      <c r="J167" s="30"/>
      <c r="K167" s="26"/>
      <c r="L167" s="30"/>
    </row>
    <row r="168" spans="1:7" ht="12.75">
      <c r="A168" s="66" t="s">
        <v>202</v>
      </c>
      <c r="B168" s="1">
        <v>-30939.48</v>
      </c>
      <c r="E168" s="1">
        <f aca="true" t="shared" si="21" ref="E168:E181">+B168*$G$200</f>
        <v>-3022.91095392</v>
      </c>
      <c r="F168" s="1">
        <f aca="true" t="shared" si="22" ref="F168:F181">+B168*$I$200</f>
        <v>-9681.1179894</v>
      </c>
      <c r="G168" s="1">
        <f>SUM(E168:F168)</f>
        <v>-12704.02894332</v>
      </c>
    </row>
    <row r="169" spans="1:13" ht="12.75">
      <c r="A169" t="s">
        <v>3</v>
      </c>
      <c r="B169" s="27">
        <f>LU!E8</f>
        <v>30939.48</v>
      </c>
      <c r="C169" s="1">
        <v>2326.77</v>
      </c>
      <c r="D169" s="1">
        <f>LU!B8</f>
        <v>55718.91</v>
      </c>
      <c r="E169" s="1">
        <f t="shared" si="21"/>
        <v>3022.91095392</v>
      </c>
      <c r="F169" s="1">
        <f t="shared" si="22"/>
        <v>9681.1179894</v>
      </c>
      <c r="G169" s="1">
        <f>SUM(E169:F169)</f>
        <v>12704.02894332</v>
      </c>
      <c r="H169" s="1">
        <f>LU!C85</f>
        <v>16903395.63</v>
      </c>
      <c r="I169" s="27">
        <v>379000</v>
      </c>
      <c r="J169" s="27">
        <f>D169+H169</f>
        <v>16959114.54</v>
      </c>
      <c r="K169" s="27">
        <v>233966</v>
      </c>
      <c r="M169" s="3">
        <f>LU!B167</f>
        <v>-18563.68</v>
      </c>
    </row>
    <row r="170" spans="1:13" ht="12.75">
      <c r="A170" t="s">
        <v>4</v>
      </c>
      <c r="B170" s="27">
        <f>LU!E12</f>
        <v>31153.32</v>
      </c>
      <c r="C170" s="1">
        <f>3877.95-2326.77</f>
        <v>1551.1799999999998</v>
      </c>
      <c r="D170" s="1">
        <f>LU!B12</f>
        <v>56104.01</v>
      </c>
      <c r="E170" s="1">
        <f t="shared" si="21"/>
        <v>3043.80397728</v>
      </c>
      <c r="F170" s="1">
        <f t="shared" si="22"/>
        <v>9748.029594599999</v>
      </c>
      <c r="G170" s="1">
        <f aca="true" t="shared" si="23" ref="G170:G181">SUM(E170:F170)</f>
        <v>12791.833571879999</v>
      </c>
      <c r="H170" s="1">
        <f>LU!C91</f>
        <v>18637720.2</v>
      </c>
      <c r="J170" s="27">
        <f aca="true" t="shared" si="24" ref="J170:J180">D170+H170</f>
        <v>18693824.21</v>
      </c>
      <c r="M170" s="3">
        <f>LU!B172</f>
        <v>-18691.989999999998</v>
      </c>
    </row>
    <row r="171" spans="1:13" ht="12.75">
      <c r="A171" t="s">
        <v>5</v>
      </c>
      <c r="B171" s="27">
        <f>LU!E18</f>
        <v>30514.769999999997</v>
      </c>
      <c r="C171" s="1">
        <f>6054.6-3877.95</f>
        <v>2176.6500000000005</v>
      </c>
      <c r="D171" s="1">
        <f>LU!B18</f>
        <v>54954.049999999996</v>
      </c>
      <c r="E171" s="1">
        <f t="shared" si="21"/>
        <v>2981.41508808</v>
      </c>
      <c r="F171" s="1">
        <f t="shared" si="22"/>
        <v>9548.224106849999</v>
      </c>
      <c r="G171" s="1">
        <f t="shared" si="23"/>
        <v>12529.639194929998</v>
      </c>
      <c r="H171" s="1">
        <f>LU!C97</f>
        <v>17378046.18</v>
      </c>
      <c r="J171" s="27">
        <f t="shared" si="24"/>
        <v>17433000.23</v>
      </c>
      <c r="M171" s="3">
        <f>LU!B177</f>
        <v>-9998.21</v>
      </c>
    </row>
    <row r="172" spans="1:13" ht="12.75">
      <c r="A172" t="s">
        <v>6</v>
      </c>
      <c r="B172" s="27">
        <f>LU!E22</f>
        <v>44650.98</v>
      </c>
      <c r="C172" s="1">
        <f>9081.9-6054.6</f>
        <v>3027.2999999999993</v>
      </c>
      <c r="D172" s="1">
        <f>LU!B22</f>
        <v>80411.95</v>
      </c>
      <c r="E172" s="1">
        <f t="shared" si="21"/>
        <v>4362.57934992</v>
      </c>
      <c r="F172" s="1">
        <f t="shared" si="22"/>
        <v>13971.5148969</v>
      </c>
      <c r="G172" s="1">
        <f t="shared" si="23"/>
        <v>18334.09424682</v>
      </c>
      <c r="H172" s="1">
        <f>LU!C103</f>
        <v>26045353.619999997</v>
      </c>
      <c r="J172" s="27">
        <f t="shared" si="24"/>
        <v>26125765.569999997</v>
      </c>
      <c r="M172" s="3">
        <f>LU!B181</f>
        <v>-26790.590000000004</v>
      </c>
    </row>
    <row r="173" spans="1:13" ht="12.75">
      <c r="A173" t="s">
        <v>7</v>
      </c>
      <c r="B173" s="27">
        <f>LU!E26</f>
        <v>90845.85999999999</v>
      </c>
      <c r="C173" s="1">
        <v>2251.71</v>
      </c>
      <c r="D173" s="1">
        <f>LU!B26</f>
        <v>163604.31</v>
      </c>
      <c r="E173" s="1">
        <f t="shared" si="21"/>
        <v>8876.003905439999</v>
      </c>
      <c r="F173" s="1">
        <f t="shared" si="22"/>
        <v>28426.123823299993</v>
      </c>
      <c r="G173" s="1">
        <f t="shared" si="23"/>
        <v>37302.12772873999</v>
      </c>
      <c r="H173" s="1">
        <f>LU!C109</f>
        <v>17998177.229999997</v>
      </c>
      <c r="J173" s="27">
        <f t="shared" si="24"/>
        <v>18161781.539999995</v>
      </c>
      <c r="M173" s="3">
        <f>LU!B186</f>
        <v>-54507.509999999995</v>
      </c>
    </row>
    <row r="174" spans="1:13" ht="12.75">
      <c r="A174" t="s">
        <v>8</v>
      </c>
      <c r="B174" s="27">
        <f>LU!E31</f>
        <v>-40816.21373813093</v>
      </c>
      <c r="C174" s="1">
        <f>13660.38-11333.61</f>
        <v>2326.7699999999986</v>
      </c>
      <c r="D174" s="1">
        <f>LU!B31</f>
        <v>-73505.92</v>
      </c>
      <c r="E174" s="1">
        <f t="shared" si="21"/>
        <v>-3987.9073470703443</v>
      </c>
      <c r="F174" s="1">
        <f t="shared" si="22"/>
        <v>-12771.597359729858</v>
      </c>
      <c r="G174" s="1">
        <f t="shared" si="23"/>
        <v>-16759.504706800202</v>
      </c>
      <c r="H174" s="1">
        <f>LU!C115</f>
        <v>10964728.169999998</v>
      </c>
      <c r="J174" s="27">
        <f t="shared" si="24"/>
        <v>10891222.249999998</v>
      </c>
      <c r="M174" s="3">
        <f>LU!B190</f>
        <v>16179.080000000002</v>
      </c>
    </row>
    <row r="175" spans="1:13" ht="12.75">
      <c r="A175" t="s">
        <v>9</v>
      </c>
      <c r="B175" s="27">
        <f>LU!E35</f>
        <v>33026.4</v>
      </c>
      <c r="C175" s="1">
        <f>15161.52-13660.38</f>
        <v>1501.1400000000012</v>
      </c>
      <c r="D175" s="1">
        <f>LU!B35</f>
        <v>33726.95</v>
      </c>
      <c r="E175" s="1">
        <f t="shared" si="21"/>
        <v>3226.8113856</v>
      </c>
      <c r="F175" s="1">
        <f t="shared" si="22"/>
        <v>10334.125692</v>
      </c>
      <c r="G175" s="1">
        <f t="shared" si="23"/>
        <v>13560.9370776</v>
      </c>
      <c r="H175" s="1">
        <f>LU!C121</f>
        <v>18825088.59</v>
      </c>
      <c r="J175" s="27">
        <f t="shared" si="24"/>
        <v>18858815.54</v>
      </c>
      <c r="M175" s="3">
        <f>LU!B194</f>
        <v>-11236.700000000012</v>
      </c>
    </row>
    <row r="176" spans="1:13" ht="12.75">
      <c r="A176" t="s">
        <v>10</v>
      </c>
      <c r="B176" s="27">
        <f>LU!E39</f>
        <v>53491.68193680937</v>
      </c>
      <c r="C176" s="1">
        <v>3077.34</v>
      </c>
      <c r="D176" s="1">
        <f>LU!B39</f>
        <v>96333.17</v>
      </c>
      <c r="E176" s="1">
        <f t="shared" si="21"/>
        <v>5226.351291954023</v>
      </c>
      <c r="F176" s="1">
        <f t="shared" si="22"/>
        <v>16737.814736437336</v>
      </c>
      <c r="G176" s="1">
        <f t="shared" si="23"/>
        <v>21964.16602839136</v>
      </c>
      <c r="H176" s="1">
        <f>LU!C127</f>
        <v>0</v>
      </c>
      <c r="J176" s="27">
        <f t="shared" si="24"/>
        <v>96333.17</v>
      </c>
      <c r="M176" s="3">
        <f>LU!B198</f>
        <v>-10595.18</v>
      </c>
    </row>
    <row r="177" spans="1:13" ht="12.75">
      <c r="A177" t="s">
        <v>11</v>
      </c>
      <c r="B177" s="27">
        <f>LU!E43</f>
        <v>17936.820478649563</v>
      </c>
      <c r="C177" s="1">
        <v>1501.14</v>
      </c>
      <c r="D177" s="1">
        <f>LU!B43</f>
        <v>32302.42</v>
      </c>
      <c r="E177" s="1">
        <f t="shared" si="21"/>
        <v>1752.4991080459768</v>
      </c>
      <c r="F177" s="1">
        <f t="shared" si="22"/>
        <v>5612.520811871841</v>
      </c>
      <c r="G177" s="1">
        <f t="shared" si="23"/>
        <v>7365.019919917818</v>
      </c>
      <c r="H177" s="1">
        <f>LU!C133</f>
        <v>0</v>
      </c>
      <c r="J177" s="27">
        <f t="shared" si="24"/>
        <v>32302.42</v>
      </c>
      <c r="M177" s="3">
        <f>LU!B202</f>
        <v>0</v>
      </c>
    </row>
    <row r="178" spans="1:13" ht="12.75">
      <c r="A178" t="s">
        <v>12</v>
      </c>
      <c r="B178" s="27">
        <f>LU!E47</f>
        <v>53665.91704147926</v>
      </c>
      <c r="C178" s="1">
        <v>3077.34</v>
      </c>
      <c r="D178" s="1">
        <f>LU!B47</f>
        <v>96646.95</v>
      </c>
      <c r="E178" s="1">
        <f t="shared" si="21"/>
        <v>5243.37475862069</v>
      </c>
      <c r="F178" s="1">
        <f t="shared" si="22"/>
        <v>16792.33377186407</v>
      </c>
      <c r="G178" s="1">
        <f t="shared" si="23"/>
        <v>22035.708530484757</v>
      </c>
      <c r="H178" s="1">
        <f>LU!C139</f>
        <v>0</v>
      </c>
      <c r="J178" s="27">
        <f t="shared" si="24"/>
        <v>96646.95</v>
      </c>
      <c r="M178" s="3">
        <f>LU!B206</f>
        <v>0</v>
      </c>
    </row>
    <row r="179" spans="1:13" ht="12.75">
      <c r="A179" t="s">
        <v>13</v>
      </c>
      <c r="B179" s="27">
        <f>LU!E51</f>
        <v>34988.58348603476</v>
      </c>
      <c r="C179" s="1">
        <v>2326.77</v>
      </c>
      <c r="D179" s="1">
        <f>LU!B51</f>
        <v>63010.94</v>
      </c>
      <c r="E179" s="1">
        <f t="shared" si="21"/>
        <v>3418.5245609195404</v>
      </c>
      <c r="F179" s="1">
        <f t="shared" si="22"/>
        <v>10948.102715697707</v>
      </c>
      <c r="G179" s="1">
        <f t="shared" si="23"/>
        <v>14366.627276617248</v>
      </c>
      <c r="H179" s="1">
        <f>LU!C145</f>
        <v>0</v>
      </c>
      <c r="J179" s="27">
        <f t="shared" si="24"/>
        <v>63010.94</v>
      </c>
      <c r="M179" s="3">
        <f>LU!B210</f>
        <v>0</v>
      </c>
    </row>
    <row r="180" spans="1:13" s="74" customFormat="1" ht="12.75">
      <c r="A180" s="74" t="s">
        <v>14</v>
      </c>
      <c r="B180" s="112">
        <f>LU!E55</f>
        <v>17553.68982175579</v>
      </c>
      <c r="C180" s="111">
        <v>1501.14</v>
      </c>
      <c r="D180" s="111">
        <f>LU!B55</f>
        <v>31612.44</v>
      </c>
      <c r="E180" s="1">
        <f t="shared" si="21"/>
        <v>1715.0657103448277</v>
      </c>
      <c r="F180" s="1">
        <f t="shared" si="22"/>
        <v>5492.637313676495</v>
      </c>
      <c r="G180" s="1">
        <f t="shared" si="23"/>
        <v>7207.703024021323</v>
      </c>
      <c r="H180" s="111">
        <f>LU!C151</f>
        <v>0</v>
      </c>
      <c r="I180" s="112"/>
      <c r="J180" s="112">
        <f t="shared" si="24"/>
        <v>31612.44</v>
      </c>
      <c r="K180" s="112"/>
      <c r="L180" s="120"/>
      <c r="M180" s="121">
        <f>LU!B214</f>
        <v>0</v>
      </c>
    </row>
    <row r="181" spans="1:13" ht="12.75">
      <c r="A181" s="114" t="s">
        <v>203</v>
      </c>
      <c r="B181" s="28">
        <v>45795.42</v>
      </c>
      <c r="C181" s="8"/>
      <c r="D181" s="8"/>
      <c r="E181" s="8">
        <f t="shared" si="21"/>
        <v>4474.39571568</v>
      </c>
      <c r="F181" s="8">
        <f t="shared" si="22"/>
        <v>14329.6158951</v>
      </c>
      <c r="G181" s="8">
        <f t="shared" si="23"/>
        <v>18804.01161078</v>
      </c>
      <c r="H181" s="8"/>
      <c r="I181" s="28"/>
      <c r="J181" s="28"/>
      <c r="K181" s="28"/>
      <c r="L181" s="31"/>
      <c r="M181" s="7"/>
    </row>
    <row r="182" spans="2:13" ht="12.75">
      <c r="B182" s="59">
        <f>SUM(B167:B181)</f>
        <v>412807.2290265978</v>
      </c>
      <c r="C182" s="59">
        <f aca="true" t="shared" si="25" ref="C182:J182">SUM(C167:C181)</f>
        <v>26645.25</v>
      </c>
      <c r="D182" s="59">
        <f t="shared" si="25"/>
        <v>690920.1799999999</v>
      </c>
      <c r="E182" s="59">
        <f t="shared" si="25"/>
        <v>40332.91750481471</v>
      </c>
      <c r="F182" s="59">
        <f t="shared" si="25"/>
        <v>129169.44599856758</v>
      </c>
      <c r="G182" s="59">
        <f t="shared" si="25"/>
        <v>169502.3635033823</v>
      </c>
      <c r="H182" s="143">
        <f t="shared" si="25"/>
        <v>126752509.61999999</v>
      </c>
      <c r="I182" s="27">
        <v>379000</v>
      </c>
      <c r="J182" s="143">
        <f t="shared" si="25"/>
        <v>127443429.8</v>
      </c>
      <c r="K182" s="27">
        <v>233996000</v>
      </c>
      <c r="L182" s="24">
        <f>H182/K182</f>
        <v>0.5416866511393357</v>
      </c>
      <c r="M182" s="3">
        <f>SUM(M169:M180)</f>
        <v>-134204.78</v>
      </c>
    </row>
    <row r="183" spans="2:10" ht="12.75">
      <c r="B183" s="1">
        <f>+B182-LU!E57</f>
        <v>14855.939999999944</v>
      </c>
      <c r="D183" s="1">
        <f>+D182-LU!I55</f>
        <v>0</v>
      </c>
      <c r="E183" s="1">
        <f>+E182-B195</f>
        <v>0</v>
      </c>
      <c r="F183" s="1">
        <f>+F182-B196</f>
        <v>0</v>
      </c>
      <c r="G183" s="1">
        <f>+G182-B197</f>
        <v>0</v>
      </c>
      <c r="J183" s="1"/>
    </row>
    <row r="184" spans="1:10" ht="12.75">
      <c r="A184" t="str">
        <f>A142</f>
        <v>August</v>
      </c>
      <c r="B184" s="27">
        <v>33000</v>
      </c>
      <c r="C184" s="24">
        <f>C142</f>
        <v>0.0883344770922695</v>
      </c>
      <c r="D184" s="27">
        <f>750.57*3</f>
        <v>2251.71</v>
      </c>
      <c r="E184" s="27"/>
      <c r="F184" s="27"/>
      <c r="G184" s="27"/>
      <c r="I184" s="24">
        <f>I142</f>
        <v>0.08414518664441924</v>
      </c>
      <c r="J184" s="27">
        <f>I184*F$193-1000000</f>
        <v>18269247.741572004</v>
      </c>
    </row>
    <row r="185" spans="1:10" ht="12.75">
      <c r="A185" t="str">
        <f>A143</f>
        <v>September</v>
      </c>
      <c r="B185" s="27">
        <v>33000</v>
      </c>
      <c r="C185" s="24">
        <f>C143</f>
        <v>0.08893926408806838</v>
      </c>
      <c r="D185" s="27">
        <f>750.57*3</f>
        <v>2251.71</v>
      </c>
      <c r="E185" s="27"/>
      <c r="F185" s="27"/>
      <c r="G185" s="27"/>
      <c r="I185" s="24">
        <f>I143</f>
        <v>0.08282746334919878</v>
      </c>
      <c r="J185" s="27">
        <f>I185*F$193-1000000</f>
        <v>17967489.10696652</v>
      </c>
    </row>
    <row r="186" spans="1:13" ht="12.75">
      <c r="A186" t="str">
        <f>A144</f>
        <v>October</v>
      </c>
      <c r="B186" s="27">
        <v>33000</v>
      </c>
      <c r="C186" s="24">
        <f>C144</f>
        <v>0.08086357890887176</v>
      </c>
      <c r="D186" s="27">
        <f>750.57*3</f>
        <v>2251.71</v>
      </c>
      <c r="E186" s="27"/>
      <c r="F186" s="27"/>
      <c r="G186" s="27"/>
      <c r="H186" s="27"/>
      <c r="I186" s="24">
        <f>I144</f>
        <v>0.08498021556687134</v>
      </c>
      <c r="J186" s="27">
        <f>I186*F$193-1000000</f>
        <v>18460469.364813536</v>
      </c>
      <c r="M186" s="27"/>
    </row>
    <row r="187" spans="1:13" ht="12.75">
      <c r="A187" t="str">
        <f>A145</f>
        <v>November</v>
      </c>
      <c r="B187" s="27">
        <v>33000</v>
      </c>
      <c r="C187" s="24">
        <f>C145</f>
        <v>0.08445672517802973</v>
      </c>
      <c r="D187" s="27">
        <f>750.57*3</f>
        <v>2251.71</v>
      </c>
      <c r="E187" s="27"/>
      <c r="F187" s="27"/>
      <c r="G187" s="27"/>
      <c r="H187" s="27"/>
      <c r="I187" s="24">
        <f>I145</f>
        <v>0.08546284393466597</v>
      </c>
      <c r="J187" s="27">
        <f>I187*F$193-1000000</f>
        <v>18570991.261038505</v>
      </c>
      <c r="M187" s="27"/>
    </row>
    <row r="188" spans="1:13" ht="12.75">
      <c r="A188" t="str">
        <f>A146</f>
        <v>December</v>
      </c>
      <c r="B188" s="27">
        <v>33000</v>
      </c>
      <c r="C188" s="24">
        <f>C146</f>
        <v>0.08719605451194223</v>
      </c>
      <c r="D188" s="27">
        <f>750.57*3</f>
        <v>2251.71</v>
      </c>
      <c r="E188" s="27"/>
      <c r="F188" s="27"/>
      <c r="G188" s="27"/>
      <c r="H188" s="27"/>
      <c r="I188" s="24">
        <f>I146</f>
        <v>0.0855294429531431</v>
      </c>
      <c r="J188" s="27">
        <f>I188*F$193-1000000</f>
        <v>18586242.43626977</v>
      </c>
      <c r="M188" s="27"/>
    </row>
    <row r="189" spans="2:13" ht="12.75">
      <c r="B189" s="27"/>
      <c r="C189" s="27"/>
      <c r="D189" s="27"/>
      <c r="E189" s="27"/>
      <c r="F189" s="27"/>
      <c r="G189" s="27"/>
      <c r="H189" s="27"/>
      <c r="J189" s="27"/>
      <c r="M189" s="27"/>
    </row>
    <row r="190" spans="2:13" ht="12.75">
      <c r="B190" s="27">
        <f>ROUND(SUM(B182:B188),-3)</f>
        <v>593000</v>
      </c>
      <c r="C190" s="27"/>
      <c r="D190" s="27">
        <f>ROUND(C182+SUM(D184:D188),-3)</f>
        <v>38000</v>
      </c>
      <c r="E190" s="27"/>
      <c r="F190" s="27"/>
      <c r="G190" s="27"/>
      <c r="H190" s="27"/>
      <c r="J190" s="27">
        <f>ROUND(SUM(J182:J188),-6)</f>
        <v>219000000</v>
      </c>
      <c r="K190" s="24">
        <f>J190/(B190*24*30)</f>
        <v>0.5129286115795391</v>
      </c>
      <c r="M190" s="27"/>
    </row>
    <row r="191" spans="1:13" ht="13.5" thickBot="1">
      <c r="A191" s="27"/>
      <c r="B191" s="27"/>
      <c r="C191" s="27"/>
      <c r="D191" s="27"/>
      <c r="E191" s="27"/>
      <c r="F191" s="27"/>
      <c r="G191" s="27"/>
      <c r="H191" s="27"/>
      <c r="J191" s="27"/>
      <c r="L191" s="27"/>
      <c r="M191" s="27"/>
    </row>
    <row r="192" spans="2:9" ht="12.75">
      <c r="B192" s="1">
        <f>ROUND(B190*1.8009,-3)</f>
        <v>1068000</v>
      </c>
      <c r="F192" s="24"/>
      <c r="G192" s="91"/>
      <c r="H192" s="107" t="s">
        <v>195</v>
      </c>
      <c r="I192" s="93"/>
    </row>
    <row r="193" spans="2:9" ht="12.75">
      <c r="B193" s="27">
        <v>424000</v>
      </c>
      <c r="F193" s="27">
        <v>229000000</v>
      </c>
      <c r="G193" s="105" t="s">
        <v>194</v>
      </c>
      <c r="H193" s="94"/>
      <c r="I193" s="95"/>
    </row>
    <row r="194" spans="6:9" ht="12.75">
      <c r="F194" s="24"/>
      <c r="G194" s="96" t="s">
        <v>186</v>
      </c>
      <c r="H194" s="97"/>
      <c r="I194" s="98" t="s">
        <v>187</v>
      </c>
    </row>
    <row r="195" spans="1:9" ht="12.75">
      <c r="A195" s="58" t="s">
        <v>196</v>
      </c>
      <c r="B195" s="58">
        <f>+B182*G200</f>
        <v>40332.917504814715</v>
      </c>
      <c r="F195" s="24"/>
      <c r="G195" s="99"/>
      <c r="H195" s="100"/>
      <c r="I195" s="101"/>
    </row>
    <row r="196" spans="1:9" ht="12.75">
      <c r="A196" s="58" t="s">
        <v>197</v>
      </c>
      <c r="B196" s="58">
        <f>+B182*I200</f>
        <v>129169.44599856758</v>
      </c>
      <c r="F196" s="24"/>
      <c r="G196" s="99">
        <v>0.001806</v>
      </c>
      <c r="H196" s="106" t="s">
        <v>188</v>
      </c>
      <c r="I196" s="101">
        <v>0.005783</v>
      </c>
    </row>
    <row r="197" spans="1:9" ht="13.5" thickBot="1">
      <c r="A197" s="58" t="s">
        <v>198</v>
      </c>
      <c r="B197" s="134">
        <f>SUM(B195:B196)</f>
        <v>169502.3635033823</v>
      </c>
      <c r="F197" s="24"/>
      <c r="G197" s="99">
        <v>0.001148</v>
      </c>
      <c r="H197" s="106" t="s">
        <v>189</v>
      </c>
      <c r="I197" s="101">
        <v>0.003678</v>
      </c>
    </row>
    <row r="198" spans="6:9" ht="12.75">
      <c r="F198" s="24"/>
      <c r="G198" s="99">
        <v>0.195271</v>
      </c>
      <c r="H198" s="106" t="s">
        <v>190</v>
      </c>
      <c r="I198" s="101">
        <v>0.625371</v>
      </c>
    </row>
    <row r="199" spans="6:9" ht="12.75">
      <c r="F199" s="24"/>
      <c r="G199" s="99">
        <v>0.120059</v>
      </c>
      <c r="H199" s="106" t="s">
        <v>191</v>
      </c>
      <c r="I199" s="101">
        <v>0.384498</v>
      </c>
    </row>
    <row r="200" spans="2:9" ht="12.75">
      <c r="B200" s="24">
        <f>B182/B193</f>
        <v>0.9736019552514099</v>
      </c>
      <c r="F200" s="24">
        <f>J182/F193</f>
        <v>0.556521527510917</v>
      </c>
      <c r="G200" s="131">
        <v>0.097704</v>
      </c>
      <c r="H200" s="132" t="s">
        <v>192</v>
      </c>
      <c r="I200" s="133">
        <v>0.312905</v>
      </c>
    </row>
    <row r="201" spans="2:9" ht="12.75">
      <c r="B201" s="57">
        <v>0.097704</v>
      </c>
      <c r="C201" s="1" t="s">
        <v>116</v>
      </c>
      <c r="F201" s="24"/>
      <c r="G201" s="99">
        <v>0.101043</v>
      </c>
      <c r="H201" s="106" t="s">
        <v>193</v>
      </c>
      <c r="I201" s="101">
        <v>0.323597</v>
      </c>
    </row>
    <row r="202" spans="2:9" ht="12.75">
      <c r="B202" s="27">
        <f>ROUND(B182*B201,0)</f>
        <v>40333</v>
      </c>
      <c r="C202" s="1" t="s">
        <v>117</v>
      </c>
      <c r="F202" s="24"/>
      <c r="G202" s="99"/>
      <c r="H202" s="100"/>
      <c r="I202" s="101"/>
    </row>
    <row r="203" spans="2:9" ht="13.5" thickBot="1">
      <c r="B203" s="27">
        <f>B201*B190</f>
        <v>57938.472</v>
      </c>
      <c r="F203" s="24"/>
      <c r="G203" s="102"/>
      <c r="H203" s="103"/>
      <c r="I203" s="104"/>
    </row>
    <row r="204" spans="2:9" ht="13.5" thickBot="1">
      <c r="B204" s="27"/>
      <c r="F204" s="24"/>
      <c r="G204" s="100"/>
      <c r="H204" s="100"/>
      <c r="I204" s="100"/>
    </row>
    <row r="205" spans="1:2" ht="13.5" thickBot="1">
      <c r="A205" s="89" t="s">
        <v>76</v>
      </c>
      <c r="B205" s="144" t="s">
        <v>205</v>
      </c>
    </row>
    <row r="208" spans="2:13" s="43" customFormat="1" ht="38.25">
      <c r="B208" s="5" t="s">
        <v>185</v>
      </c>
      <c r="C208" s="5" t="s">
        <v>180</v>
      </c>
      <c r="D208" s="5" t="s">
        <v>16</v>
      </c>
      <c r="E208" s="5" t="s">
        <v>199</v>
      </c>
      <c r="F208" s="5" t="s">
        <v>200</v>
      </c>
      <c r="G208" s="5" t="s">
        <v>201</v>
      </c>
      <c r="H208" s="5" t="s">
        <v>174</v>
      </c>
      <c r="I208" s="5" t="s">
        <v>173</v>
      </c>
      <c r="J208" s="5" t="s">
        <v>102</v>
      </c>
      <c r="K208" s="6" t="s">
        <v>101</v>
      </c>
      <c r="L208" s="5" t="s">
        <v>103</v>
      </c>
      <c r="M208" s="5" t="s">
        <v>104</v>
      </c>
    </row>
    <row r="209" spans="1:9" ht="12.75">
      <c r="A209" s="66" t="s">
        <v>202</v>
      </c>
      <c r="B209" s="1">
        <f>'ST LGT'!B6</f>
        <v>0</v>
      </c>
      <c r="C209" s="1">
        <v>-1696.21</v>
      </c>
      <c r="D209" s="27">
        <f>+'ST LGT'!D6</f>
        <v>0</v>
      </c>
      <c r="E209" s="27">
        <f aca="true" t="shared" si="26" ref="E209:E222">+C209*$F$241</f>
        <v>-171.39014702999998</v>
      </c>
      <c r="F209" s="27">
        <f aca="true" t="shared" si="27" ref="F209:F222">+C209*$H$241</f>
        <v>-548.8884673700001</v>
      </c>
      <c r="G209" s="27">
        <f>SUM(E209:F209)</f>
        <v>-720.2786144</v>
      </c>
      <c r="I209" s="27">
        <f>'ST LGT'!J6</f>
        <v>0</v>
      </c>
    </row>
    <row r="210" spans="1:11" ht="12.75">
      <c r="A210" t="s">
        <v>3</v>
      </c>
      <c r="B210" s="1">
        <f>'ST LGT'!B8</f>
        <v>10737</v>
      </c>
      <c r="C210" s="1">
        <f>+'ST LGT'!C8</f>
        <v>1846.59</v>
      </c>
      <c r="D210" s="27">
        <f>+'ST LGT'!D8</f>
        <v>701243.79</v>
      </c>
      <c r="E210" s="27">
        <f t="shared" si="26"/>
        <v>186.58499336999998</v>
      </c>
      <c r="F210" s="27">
        <f t="shared" si="27"/>
        <v>597.55098423</v>
      </c>
      <c r="G210" s="27">
        <f>SUM(E210:F210)</f>
        <v>784.1359776</v>
      </c>
      <c r="H210" s="1">
        <f>+'ST LGT'!I8</f>
        <v>1717.92</v>
      </c>
      <c r="I210" s="27">
        <f>'ST LGT'!J8</f>
        <v>1871.89</v>
      </c>
      <c r="J210" s="1">
        <f>'[11]Summary'!$C$252</f>
        <v>1862.3</v>
      </c>
      <c r="K210" s="27">
        <f>1616.85+1036.14</f>
        <v>2652.99</v>
      </c>
    </row>
    <row r="211" spans="1:11" ht="12.75">
      <c r="A211" t="s">
        <v>4</v>
      </c>
      <c r="B211" s="1">
        <f>'ST LGT'!B9</f>
        <v>10755</v>
      </c>
      <c r="C211" s="1">
        <f>+'ST LGT'!C9</f>
        <v>1849.05</v>
      </c>
      <c r="D211" s="27">
        <f>+'ST LGT'!D9</f>
        <v>859810.34</v>
      </c>
      <c r="E211" s="27">
        <f t="shared" si="26"/>
        <v>186.83355914999999</v>
      </c>
      <c r="F211" s="27">
        <f t="shared" si="27"/>
        <v>598.34703285</v>
      </c>
      <c r="G211" s="27">
        <f aca="true" t="shared" si="28" ref="G211:G222">SUM(E211:F211)</f>
        <v>785.1805919999999</v>
      </c>
      <c r="H211" s="1">
        <f>+'ST LGT'!I9</f>
        <v>1720.8</v>
      </c>
      <c r="I211" s="27">
        <f>'ST LGT'!J9</f>
        <v>1874.38</v>
      </c>
      <c r="J211" s="1">
        <f>'[11]Summary'!$C$253</f>
        <v>1862.3</v>
      </c>
      <c r="K211" s="27">
        <f>1604.7+1024.45</f>
        <v>2629.15</v>
      </c>
    </row>
    <row r="212" spans="1:11" ht="12.75">
      <c r="A212" t="s">
        <v>5</v>
      </c>
      <c r="B212" s="1">
        <f>'ST LGT'!B10</f>
        <v>10792</v>
      </c>
      <c r="C212" s="1">
        <f>+'ST LGT'!C10</f>
        <v>1854.82</v>
      </c>
      <c r="D212" s="27">
        <f>+'ST LGT'!D10</f>
        <v>779024.63</v>
      </c>
      <c r="E212" s="27">
        <f t="shared" si="26"/>
        <v>187.41657725999997</v>
      </c>
      <c r="F212" s="27">
        <f t="shared" si="27"/>
        <v>600.21418754</v>
      </c>
      <c r="G212" s="27">
        <f t="shared" si="28"/>
        <v>787.6307648</v>
      </c>
      <c r="H212" s="1">
        <f>+'ST LGT'!I10</f>
        <v>1726.72</v>
      </c>
      <c r="I212" s="27">
        <f>'ST LGT'!J10</f>
        <v>1880.23</v>
      </c>
      <c r="J212" s="1">
        <f>'[11]Summary'!$C$254</f>
        <v>1865.94</v>
      </c>
      <c r="K212" s="27">
        <f>1716.16+1891.5</f>
        <v>3607.66</v>
      </c>
    </row>
    <row r="213" spans="1:13" ht="12.75">
      <c r="A213" t="s">
        <v>6</v>
      </c>
      <c r="B213" s="1">
        <f>'ST LGT'!B11</f>
        <v>10794</v>
      </c>
      <c r="C213" s="1">
        <f>+'ST LGT'!C11</f>
        <v>1855.08</v>
      </c>
      <c r="D213" s="27">
        <f>+'ST LGT'!D11</f>
        <v>862613.22</v>
      </c>
      <c r="E213" s="27">
        <f t="shared" si="26"/>
        <v>187.44284843999998</v>
      </c>
      <c r="F213" s="27">
        <f t="shared" si="27"/>
        <v>600.29832276</v>
      </c>
      <c r="G213" s="27">
        <f t="shared" si="28"/>
        <v>787.7411712</v>
      </c>
      <c r="H213" s="1">
        <f>+'ST LGT'!I11</f>
        <v>1727.04</v>
      </c>
      <c r="I213" s="27">
        <f>'ST LGT'!J11</f>
        <v>1880.49</v>
      </c>
      <c r="J213" s="1">
        <f>'[11]Summary'!$C$255</f>
        <v>1865.94</v>
      </c>
      <c r="K213" s="27">
        <f>1716.16+1891.5</f>
        <v>3607.66</v>
      </c>
      <c r="L213" s="1">
        <f>SUM(K210:K213)/SUM(J210:J213)</f>
        <v>1.6760535802416154</v>
      </c>
      <c r="M213" s="27">
        <f>L213*SUM(C209:C213)</f>
        <v>9569.142987280862</v>
      </c>
    </row>
    <row r="214" spans="1:10" ht="12.75">
      <c r="A214" t="s">
        <v>7</v>
      </c>
      <c r="B214" s="1">
        <f>'ST LGT'!B12</f>
        <v>10794</v>
      </c>
      <c r="C214" s="1">
        <f>+'ST LGT'!C12</f>
        <v>1855.08</v>
      </c>
      <c r="D214" s="27">
        <f>+'ST LGT'!D12</f>
        <v>626090.31</v>
      </c>
      <c r="E214" s="27">
        <f t="shared" si="26"/>
        <v>187.44284843999998</v>
      </c>
      <c r="F214" s="27">
        <f t="shared" si="27"/>
        <v>600.29832276</v>
      </c>
      <c r="G214" s="27">
        <f t="shared" si="28"/>
        <v>787.7411712</v>
      </c>
      <c r="H214" s="1">
        <f>+'ST LGT'!I12</f>
        <v>1727.04</v>
      </c>
      <c r="I214" s="27">
        <f>'ST LGT'!J12</f>
        <v>1880.49</v>
      </c>
      <c r="J214" s="1">
        <f>'[11]Summary'!$C$256</f>
        <v>1827.069152609253</v>
      </c>
    </row>
    <row r="215" spans="1:11" ht="12.75">
      <c r="A215" t="s">
        <v>8</v>
      </c>
      <c r="B215" s="1">
        <f>'ST LGT'!B13</f>
        <v>10794</v>
      </c>
      <c r="C215" s="1">
        <f>+'ST LGT'!C13</f>
        <v>1855.08</v>
      </c>
      <c r="D215" s="27">
        <f>+'ST LGT'!D13</f>
        <v>646959.99</v>
      </c>
      <c r="E215" s="27">
        <f t="shared" si="26"/>
        <v>187.44284843999998</v>
      </c>
      <c r="F215" s="27">
        <f t="shared" si="27"/>
        <v>600.29832276</v>
      </c>
      <c r="G215" s="27">
        <f t="shared" si="28"/>
        <v>787.7411712</v>
      </c>
      <c r="H215" s="1">
        <f>+'ST LGT'!I13</f>
        <v>1727.04</v>
      </c>
      <c r="I215" s="27">
        <f>'ST LGT'!J13</f>
        <v>1880.49</v>
      </c>
      <c r="J215" s="1">
        <f>'[11]Summary'!$C$257</f>
        <v>1825.83</v>
      </c>
      <c r="K215" s="27">
        <f>1699.52+1911.18</f>
        <v>3610.7</v>
      </c>
    </row>
    <row r="216" spans="1:10" ht="12.75">
      <c r="A216" t="s">
        <v>9</v>
      </c>
      <c r="B216" s="1">
        <f>'ST LGT'!B14</f>
        <v>10794</v>
      </c>
      <c r="C216" s="1">
        <f>+'ST LGT'!C14</f>
        <v>1855.08</v>
      </c>
      <c r="D216" s="27">
        <f>+'ST LGT'!D14</f>
        <v>626090.31</v>
      </c>
      <c r="E216" s="27">
        <f t="shared" si="26"/>
        <v>187.44284843999998</v>
      </c>
      <c r="F216" s="27">
        <f t="shared" si="27"/>
        <v>600.29832276</v>
      </c>
      <c r="G216" s="27">
        <f t="shared" si="28"/>
        <v>787.7411712</v>
      </c>
      <c r="H216" s="1">
        <f>+'ST LGT'!I14</f>
        <v>1727.04</v>
      </c>
      <c r="I216" s="27">
        <f>'ST LGT'!J14</f>
        <v>1880.49</v>
      </c>
      <c r="J216" s="1">
        <f>'[11]Summary'!$C$258</f>
        <v>1825.83</v>
      </c>
    </row>
    <row r="217" spans="1:11" ht="12.75">
      <c r="A217" t="s">
        <v>10</v>
      </c>
      <c r="B217" s="1">
        <f>'ST LGT'!B15</f>
        <v>10794</v>
      </c>
      <c r="C217" s="1">
        <f>+'ST LGT'!C15</f>
        <v>1855.0754661142348</v>
      </c>
      <c r="D217" s="27">
        <f>+'ST LGT'!D15</f>
        <v>0</v>
      </c>
      <c r="E217" s="27">
        <f t="shared" si="26"/>
        <v>187.44239032258062</v>
      </c>
      <c r="F217" s="27">
        <f t="shared" si="27"/>
        <v>600.2968556081681</v>
      </c>
      <c r="G217" s="27">
        <f t="shared" si="28"/>
        <v>787.7392459307488</v>
      </c>
      <c r="H217" s="1">
        <f>+'ST LGT'!I15</f>
        <v>1727.04</v>
      </c>
      <c r="I217" s="27">
        <f>'ST LGT'!J15</f>
        <v>1880.49</v>
      </c>
      <c r="J217" s="1">
        <f>'[11]Summary'!$C$259</f>
        <v>1825.83</v>
      </c>
      <c r="K217" s="27">
        <f>3455.69+1909.88</f>
        <v>5365.57</v>
      </c>
    </row>
    <row r="218" spans="1:11" ht="12.75">
      <c r="A218" t="s">
        <v>11</v>
      </c>
      <c r="B218" s="1">
        <f>'ST LGT'!B16</f>
        <v>10794</v>
      </c>
      <c r="C218" s="1">
        <f>+'ST LGT'!C16</f>
        <v>1855.0754661142348</v>
      </c>
      <c r="D218" s="27">
        <f>+'ST LGT'!D16</f>
        <v>0</v>
      </c>
      <c r="E218" s="27">
        <f t="shared" si="26"/>
        <v>187.44239032258062</v>
      </c>
      <c r="F218" s="27">
        <f t="shared" si="27"/>
        <v>600.2968556081681</v>
      </c>
      <c r="G218" s="27">
        <f t="shared" si="28"/>
        <v>787.7392459307488</v>
      </c>
      <c r="H218" s="1">
        <f>+'ST LGT'!I16</f>
        <v>1727.04</v>
      </c>
      <c r="I218" s="27">
        <f>'ST LGT'!J16</f>
        <v>1880.49</v>
      </c>
      <c r="J218" s="1">
        <f>'[11]Summary'!$C$260</f>
        <v>1832.84</v>
      </c>
      <c r="K218" s="27">
        <f>1756.17+1909.88</f>
        <v>3666.05</v>
      </c>
    </row>
    <row r="219" spans="1:11" ht="12.75">
      <c r="A219" t="s">
        <v>12</v>
      </c>
      <c r="B219" s="1">
        <f>'ST LGT'!B17</f>
        <v>10824</v>
      </c>
      <c r="C219" s="1">
        <f>+'ST LGT'!C17</f>
        <v>1858.9819473216928</v>
      </c>
      <c r="D219" s="27">
        <f>+'ST LGT'!D17</f>
        <v>0</v>
      </c>
      <c r="E219" s="27">
        <f t="shared" si="26"/>
        <v>187.8371129032258</v>
      </c>
      <c r="F219" s="27">
        <f t="shared" si="27"/>
        <v>601.5609812074579</v>
      </c>
      <c r="G219" s="27">
        <f t="shared" si="28"/>
        <v>789.3980941106837</v>
      </c>
      <c r="H219" s="1">
        <f>+'ST LGT'!I17</f>
        <v>1731.84</v>
      </c>
      <c r="I219" s="27">
        <f>'ST LGT'!J17</f>
        <v>1884.45</v>
      </c>
      <c r="J219" s="1">
        <f>'[11]Summary'!$C$261</f>
        <v>1844.26</v>
      </c>
      <c r="K219" s="27">
        <f>11759.79-13565.25+15106.16-11574.53</f>
        <v>1726.17</v>
      </c>
    </row>
    <row r="220" spans="1:11" ht="12.75">
      <c r="A220" t="s">
        <v>13</v>
      </c>
      <c r="B220" s="1">
        <f>'ST LGT'!B18</f>
        <v>10824</v>
      </c>
      <c r="C220" s="1">
        <f>+'ST LGT'!C18</f>
        <v>1858.9819473216928</v>
      </c>
      <c r="D220" s="27">
        <f>+'ST LGT'!D18</f>
        <v>0</v>
      </c>
      <c r="E220" s="27">
        <f t="shared" si="26"/>
        <v>187.8371129032258</v>
      </c>
      <c r="F220" s="27">
        <f t="shared" si="27"/>
        <v>601.5609812074579</v>
      </c>
      <c r="G220" s="27">
        <f t="shared" si="28"/>
        <v>789.3980941106837</v>
      </c>
      <c r="H220" s="1">
        <f>+'ST LGT'!I18</f>
        <v>1731.84</v>
      </c>
      <c r="I220" s="27">
        <f>'ST LGT'!J18</f>
        <v>1884.45</v>
      </c>
      <c r="J220" s="1">
        <f>'[11]Summary'!$C$262</f>
        <v>1846.59</v>
      </c>
      <c r="K220" s="27">
        <f>16874.03-11759.79+1869.53</f>
        <v>6983.769999999998</v>
      </c>
    </row>
    <row r="221" spans="1:12" s="74" customFormat="1" ht="12.75">
      <c r="A221" s="74" t="s">
        <v>14</v>
      </c>
      <c r="B221" s="111">
        <f>'ST LGT'!B19</f>
        <v>10876</v>
      </c>
      <c r="C221" s="111">
        <f>+'ST LGT'!C19</f>
        <v>1867.2388280556377</v>
      </c>
      <c r="D221" s="112">
        <f>+'ST LGT'!D19</f>
        <v>0</v>
      </c>
      <c r="E221" s="27">
        <f t="shared" si="26"/>
        <v>188.6714129032258</v>
      </c>
      <c r="F221" s="27">
        <f t="shared" si="27"/>
        <v>604.2328830423203</v>
      </c>
      <c r="G221" s="27">
        <f t="shared" si="28"/>
        <v>792.9042959455461</v>
      </c>
      <c r="H221" s="111">
        <f>+'ST LGT'!I19</f>
        <v>1740.16</v>
      </c>
      <c r="I221" s="112">
        <f>'ST LGT'!J19</f>
        <v>1892.82</v>
      </c>
      <c r="J221" s="111">
        <f>J220</f>
        <v>1846.59</v>
      </c>
      <c r="K221" s="112">
        <f>1717.92+1871.89</f>
        <v>3589.8100000000004</v>
      </c>
      <c r="L221" s="120"/>
    </row>
    <row r="222" spans="1:13" ht="12.75">
      <c r="A222" s="114" t="s">
        <v>203</v>
      </c>
      <c r="B222" s="8"/>
      <c r="C222" s="8">
        <v>1867.24</v>
      </c>
      <c r="D222" s="8"/>
      <c r="E222" s="28">
        <f t="shared" si="26"/>
        <v>188.67153131999999</v>
      </c>
      <c r="F222" s="28">
        <f t="shared" si="27"/>
        <v>604.2332622800001</v>
      </c>
      <c r="G222" s="28">
        <f t="shared" si="28"/>
        <v>792.9047936000001</v>
      </c>
      <c r="H222" s="8"/>
      <c r="I222" s="28"/>
      <c r="J222" s="8"/>
      <c r="K222" s="28"/>
      <c r="L222" s="31"/>
      <c r="M222" s="7"/>
    </row>
    <row r="223" spans="2:13" ht="12.75">
      <c r="B223" s="135">
        <f aca="true" t="shared" si="29" ref="B223:M223">SUM(B209:B222)</f>
        <v>129572</v>
      </c>
      <c r="C223" s="58">
        <f t="shared" si="29"/>
        <v>22437.16365492749</v>
      </c>
      <c r="D223" s="27">
        <f t="shared" si="29"/>
        <v>5101832.59</v>
      </c>
      <c r="E223" s="59">
        <f t="shared" si="29"/>
        <v>2267.1183271848386</v>
      </c>
      <c r="F223" s="59">
        <f>SUM(F209:F222)</f>
        <v>7260.598847243572</v>
      </c>
      <c r="G223" s="59">
        <f>SUM(G209:G222)</f>
        <v>9527.717174428411</v>
      </c>
      <c r="H223" s="59">
        <f t="shared" si="29"/>
        <v>20731.520000000004</v>
      </c>
      <c r="I223" s="59">
        <f t="shared" si="29"/>
        <v>22571.16</v>
      </c>
      <c r="J223" s="27">
        <f t="shared" si="29"/>
        <v>22131.31915260925</v>
      </c>
      <c r="K223" s="27">
        <f t="shared" si="29"/>
        <v>37439.52999999999</v>
      </c>
      <c r="L223" s="27">
        <f t="shared" si="29"/>
        <v>1.6760535802416154</v>
      </c>
      <c r="M223" s="27">
        <f t="shared" si="29"/>
        <v>9569.142987280862</v>
      </c>
    </row>
    <row r="224" spans="2:9" ht="12.75">
      <c r="B224" s="1">
        <f>+B223-'ST LGT'!B21</f>
        <v>0</v>
      </c>
      <c r="C224" s="1">
        <f>+C223-'ST LGT'!C21</f>
        <v>171.03000000000247</v>
      </c>
      <c r="D224" s="1">
        <f>+D223-'ST LGT'!D21</f>
        <v>0</v>
      </c>
      <c r="E224" s="1">
        <f>+E223-B236</f>
        <v>0</v>
      </c>
      <c r="F224" s="1">
        <f>+F223-B237</f>
        <v>0</v>
      </c>
      <c r="G224" s="1">
        <f>+G223-B238</f>
        <v>0</v>
      </c>
      <c r="H224" s="1">
        <f>+H223-'ST LGT'!I21</f>
        <v>0</v>
      </c>
      <c r="I224" s="27">
        <f>+I223-'ST LGT'!J21</f>
        <v>0</v>
      </c>
    </row>
    <row r="225" spans="1:10" ht="12.75">
      <c r="A225" t="str">
        <f>A184</f>
        <v>August</v>
      </c>
      <c r="B225" s="24">
        <f>C184</f>
        <v>0.0883344770922695</v>
      </c>
      <c r="C225" s="27">
        <f>B225*C$234</f>
        <v>1943.358496029929</v>
      </c>
      <c r="D225" s="1">
        <f>H225*D$234</f>
        <v>673161.4931553539</v>
      </c>
      <c r="H225" s="56">
        <f>I184</f>
        <v>0.08414518664441924</v>
      </c>
      <c r="I225" s="27">
        <f>J225*0.16</f>
        <v>1785.92</v>
      </c>
      <c r="J225" s="27">
        <v>11162</v>
      </c>
    </row>
    <row r="226" spans="1:10" ht="12.75">
      <c r="A226" t="str">
        <f>A185</f>
        <v>September</v>
      </c>
      <c r="B226" s="24">
        <f>C185</f>
        <v>0.08893926408806838</v>
      </c>
      <c r="C226" s="27">
        <f>B226*C$234</f>
        <v>1956.6638099375043</v>
      </c>
      <c r="D226" s="1">
        <f>H226*D$234</f>
        <v>662619.7067935903</v>
      </c>
      <c r="H226" s="56">
        <f>I185</f>
        <v>0.08282746334919878</v>
      </c>
      <c r="I226" s="27">
        <f>J226*0.16</f>
        <v>1729.6000000000001</v>
      </c>
      <c r="J226" s="27">
        <v>10810</v>
      </c>
    </row>
    <row r="227" spans="1:13" ht="12.75">
      <c r="A227" t="str">
        <f>A186</f>
        <v>October</v>
      </c>
      <c r="B227" s="24">
        <f>C186</f>
        <v>0.08086357890887176</v>
      </c>
      <c r="C227" s="27">
        <f>B227*C$234</f>
        <v>1778.9987359951788</v>
      </c>
      <c r="D227" s="1">
        <f>H227*D$234</f>
        <v>679841.7245349707</v>
      </c>
      <c r="H227" s="56">
        <f>I186</f>
        <v>0.08498021556687134</v>
      </c>
      <c r="I227" s="27">
        <f>J227*0.16</f>
        <v>1788.64</v>
      </c>
      <c r="J227" s="27">
        <v>11179</v>
      </c>
      <c r="M227" s="27"/>
    </row>
    <row r="228" spans="1:13" ht="12.75">
      <c r="A228" t="str">
        <f>A187</f>
        <v>November</v>
      </c>
      <c r="B228" s="24">
        <f>C187</f>
        <v>0.08445672517802973</v>
      </c>
      <c r="C228" s="27">
        <f>B228*C$234</f>
        <v>1858.047953916654</v>
      </c>
      <c r="D228" s="1">
        <f>H228*D$234</f>
        <v>683702.7514773278</v>
      </c>
      <c r="H228" s="56">
        <f>I187</f>
        <v>0.08546284393466597</v>
      </c>
      <c r="I228" s="27">
        <f>J228*0.16</f>
        <v>1732.16</v>
      </c>
      <c r="J228" s="27">
        <v>10826</v>
      </c>
      <c r="M228" s="27"/>
    </row>
    <row r="229" spans="1:13" ht="12.75">
      <c r="A229" t="str">
        <f>A188</f>
        <v>December</v>
      </c>
      <c r="B229" s="24">
        <f>C188</f>
        <v>0.08719605451194223</v>
      </c>
      <c r="C229" s="27">
        <f>B229*C$234</f>
        <v>1918.313199262729</v>
      </c>
      <c r="D229" s="1">
        <f>H229*D$234</f>
        <v>684235.5436251449</v>
      </c>
      <c r="H229" s="56">
        <f>I188</f>
        <v>0.0855294429531431</v>
      </c>
      <c r="I229" s="27">
        <f>J229*0.16</f>
        <v>1791.2</v>
      </c>
      <c r="J229" s="27">
        <v>11195</v>
      </c>
      <c r="M229" s="27"/>
    </row>
    <row r="230" spans="2:13" ht="12.75">
      <c r="B230" s="27"/>
      <c r="C230" s="27"/>
      <c r="D230" s="27"/>
      <c r="E230" s="27"/>
      <c r="F230" s="27"/>
      <c r="G230" s="27"/>
      <c r="H230" s="27"/>
      <c r="J230" s="27"/>
      <c r="M230" s="27"/>
    </row>
    <row r="231" spans="2:13" ht="13.5" thickBot="1">
      <c r="B231" s="27"/>
      <c r="C231" s="27">
        <f>ROUND(SUM(C223:C229),-3)</f>
        <v>32000</v>
      </c>
      <c r="D231" s="27">
        <f>ROUND(SUM(D223:D229),-6)</f>
        <v>8000000</v>
      </c>
      <c r="E231" s="27"/>
      <c r="F231" s="27"/>
      <c r="G231" s="27"/>
      <c r="H231" s="27"/>
      <c r="I231" s="27">
        <f>ROUND(H223+SUM(I225:I229),-3)</f>
        <v>30000</v>
      </c>
      <c r="J231" s="27"/>
      <c r="M231" s="27"/>
    </row>
    <row r="232" spans="6:8" s="27" customFormat="1" ht="12.75">
      <c r="F232" s="91"/>
      <c r="G232" s="92"/>
      <c r="H232" s="93"/>
    </row>
    <row r="233" spans="3:8" ht="13.5" thickBot="1">
      <c r="C233" s="1">
        <f>ROUND(C231*1.0137,-3)</f>
        <v>32000</v>
      </c>
      <c r="F233" s="105" t="s">
        <v>194</v>
      </c>
      <c r="G233" s="94"/>
      <c r="H233" s="95"/>
    </row>
    <row r="234" spans="3:8" ht="12.75">
      <c r="C234" s="27">
        <v>22000</v>
      </c>
      <c r="D234" s="27">
        <v>8000000</v>
      </c>
      <c r="E234" s="27"/>
      <c r="F234" s="96" t="s">
        <v>186</v>
      </c>
      <c r="G234" s="107" t="s">
        <v>195</v>
      </c>
      <c r="H234" s="98" t="s">
        <v>187</v>
      </c>
    </row>
    <row r="235" spans="6:8" ht="12.75">
      <c r="F235" s="99"/>
      <c r="G235" s="100"/>
      <c r="H235" s="101"/>
    </row>
    <row r="236" spans="1:8" ht="12.75">
      <c r="A236" s="58" t="s">
        <v>196</v>
      </c>
      <c r="B236" s="58">
        <f>+C223*F241</f>
        <v>2267.1183271848386</v>
      </c>
      <c r="F236" s="99">
        <v>0.001806</v>
      </c>
      <c r="G236" s="106" t="s">
        <v>188</v>
      </c>
      <c r="H236" s="101">
        <v>0.005783</v>
      </c>
    </row>
    <row r="237" spans="1:8" ht="12.75">
      <c r="A237" s="58" t="s">
        <v>197</v>
      </c>
      <c r="B237" s="58">
        <f>+C223*H241</f>
        <v>7260.598847243572</v>
      </c>
      <c r="F237" s="99">
        <v>0.001148</v>
      </c>
      <c r="G237" s="106" t="s">
        <v>189</v>
      </c>
      <c r="H237" s="101">
        <v>0.003678</v>
      </c>
    </row>
    <row r="238" spans="1:8" ht="13.5" thickBot="1">
      <c r="A238" s="58" t="s">
        <v>198</v>
      </c>
      <c r="B238" s="139">
        <f>SUM(B236:B237)</f>
        <v>9527.71717442841</v>
      </c>
      <c r="F238" s="99">
        <v>0.195271</v>
      </c>
      <c r="G238" s="106" t="s">
        <v>190</v>
      </c>
      <c r="H238" s="101">
        <v>0.625371</v>
      </c>
    </row>
    <row r="239" spans="6:8" ht="12.75">
      <c r="F239" s="99">
        <v>0.120059</v>
      </c>
      <c r="G239" s="106" t="s">
        <v>191</v>
      </c>
      <c r="H239" s="101">
        <v>0.384498</v>
      </c>
    </row>
    <row r="240" spans="6:8" ht="12.75">
      <c r="F240" s="99">
        <v>0.097704</v>
      </c>
      <c r="G240" s="106" t="s">
        <v>192</v>
      </c>
      <c r="H240" s="101">
        <v>0.312905</v>
      </c>
    </row>
    <row r="241" spans="6:8" ht="12.75">
      <c r="F241" s="136">
        <v>0.101043</v>
      </c>
      <c r="G241" s="137" t="s">
        <v>193</v>
      </c>
      <c r="H241" s="138">
        <v>0.323597</v>
      </c>
    </row>
    <row r="242" spans="3:8" ht="12.75">
      <c r="C242" s="24">
        <f>C223/C234</f>
        <v>1.0198710752239768</v>
      </c>
      <c r="D242" s="24">
        <f>D223/D234</f>
        <v>0.63772907375</v>
      </c>
      <c r="E242" s="24"/>
      <c r="F242" s="99"/>
      <c r="G242" s="100"/>
      <c r="H242" s="101"/>
    </row>
    <row r="243" spans="3:8" ht="13.5" thickBot="1">
      <c r="C243" s="57">
        <v>0.101043</v>
      </c>
      <c r="D243" s="1" t="s">
        <v>116</v>
      </c>
      <c r="F243" s="102"/>
      <c r="G243" s="103"/>
      <c r="H243" s="104"/>
    </row>
    <row r="244" spans="3:4" ht="12.75">
      <c r="C244" s="27">
        <f>ROUND(C223*C243,0)</f>
        <v>2267</v>
      </c>
      <c r="D244" s="1" t="s">
        <v>117</v>
      </c>
    </row>
    <row r="245" ht="12.75">
      <c r="C245" s="27">
        <f>C243*C231</f>
        <v>3233.3759999999997</v>
      </c>
    </row>
    <row r="246" ht="13.5" thickBot="1">
      <c r="C246" s="27"/>
    </row>
    <row r="247" spans="1:2" ht="13.5" thickBot="1">
      <c r="A247" s="207" t="s">
        <v>216</v>
      </c>
      <c r="B247" s="144" t="s">
        <v>205</v>
      </c>
    </row>
    <row r="250" spans="2:13" s="43" customFormat="1" ht="38.25">
      <c r="B250" s="5" t="s">
        <v>185</v>
      </c>
      <c r="C250" s="5" t="s">
        <v>180</v>
      </c>
      <c r="D250" s="5"/>
      <c r="E250" s="5" t="s">
        <v>199</v>
      </c>
      <c r="F250" s="5" t="s">
        <v>200</v>
      </c>
      <c r="G250" s="5" t="s">
        <v>201</v>
      </c>
      <c r="H250" s="5"/>
      <c r="I250" s="5" t="s">
        <v>173</v>
      </c>
      <c r="J250" s="5" t="s">
        <v>102</v>
      </c>
      <c r="K250" s="6" t="s">
        <v>101</v>
      </c>
      <c r="L250" s="5" t="s">
        <v>103</v>
      </c>
      <c r="M250" s="5" t="s">
        <v>104</v>
      </c>
    </row>
    <row r="251" spans="1:7" ht="12.75">
      <c r="A251" s="66" t="s">
        <v>202</v>
      </c>
      <c r="D251" s="27"/>
      <c r="E251" s="27">
        <f>+C251*$F$284</f>
        <v>0</v>
      </c>
      <c r="F251" s="27">
        <f>+C251*$H$284</f>
        <v>0</v>
      </c>
      <c r="G251" s="27">
        <f>SUM(E251:F251)</f>
        <v>0</v>
      </c>
    </row>
    <row r="252" spans="1:11" ht="12.75">
      <c r="A252" t="s">
        <v>3</v>
      </c>
      <c r="C252" s="1">
        <f>+'SENT LT'!C8</f>
        <v>32.036715900257136</v>
      </c>
      <c r="D252" s="27"/>
      <c r="E252" s="1">
        <f aca="true" t="shared" si="30" ref="E252:E264">+C252*$F$284</f>
        <v>22.972760090892788</v>
      </c>
      <c r="F252" s="1">
        <f aca="true" t="shared" si="31" ref="F252:F264">+C252*$H$284</f>
        <v>73.57222195479281</v>
      </c>
      <c r="G252" s="27">
        <f>SUM(E252:F252)</f>
        <v>96.5449820456856</v>
      </c>
      <c r="I252" s="1">
        <f>+'SENT LT'!F8</f>
        <v>214.3</v>
      </c>
      <c r="J252" s="1">
        <f>'[11]Summary'!$C$252</f>
        <v>1862.3</v>
      </c>
      <c r="K252" s="27">
        <f>1616.85+1036.14</f>
        <v>2652.99</v>
      </c>
    </row>
    <row r="253" spans="1:11" ht="12.75">
      <c r="A253" t="s">
        <v>4</v>
      </c>
      <c r="C253" s="1">
        <f>+'SENT LT'!C9</f>
        <v>29.151468038031457</v>
      </c>
      <c r="D253" s="27"/>
      <c r="E253" s="1">
        <f t="shared" si="30"/>
        <v>20.903818094839448</v>
      </c>
      <c r="F253" s="1">
        <f t="shared" si="31"/>
        <v>66.94625889493513</v>
      </c>
      <c r="G253" s="27">
        <f aca="true" t="shared" si="32" ref="G253:G264">SUM(E253:F253)</f>
        <v>87.85007698977458</v>
      </c>
      <c r="I253" s="1">
        <f>+'SENT LT'!F9</f>
        <v>195</v>
      </c>
      <c r="J253" s="1">
        <f>'[11]Summary'!$C$253</f>
        <v>1862.3</v>
      </c>
      <c r="K253" s="27">
        <f>1604.7+1024.45</f>
        <v>2629.15</v>
      </c>
    </row>
    <row r="254" spans="1:11" ht="12.75">
      <c r="A254" t="s">
        <v>5</v>
      </c>
      <c r="C254" s="1">
        <f>+'SENT LT'!C10</f>
        <v>31.888716139448665</v>
      </c>
      <c r="D254" s="27"/>
      <c r="E254" s="1">
        <f t="shared" si="30"/>
        <v>22.866633014411292</v>
      </c>
      <c r="F254" s="1">
        <f t="shared" si="31"/>
        <v>73.23234094809544</v>
      </c>
      <c r="G254" s="27">
        <f t="shared" si="32"/>
        <v>96.09897396250673</v>
      </c>
      <c r="I254" s="1">
        <f>+'SENT LT'!F10</f>
        <v>213.31</v>
      </c>
      <c r="J254" s="1">
        <f>'[11]Summary'!$C$254</f>
        <v>1865.94</v>
      </c>
      <c r="K254" s="27">
        <f>1716.16+1891.5</f>
        <v>3607.66</v>
      </c>
    </row>
    <row r="255" spans="1:13" ht="12.75">
      <c r="A255" t="s">
        <v>6</v>
      </c>
      <c r="C255" s="1">
        <f>+'SENT LT'!C11</f>
        <v>29.52669975482868</v>
      </c>
      <c r="D255" s="27"/>
      <c r="E255" s="1">
        <f t="shared" si="30"/>
        <v>21.172887753393532</v>
      </c>
      <c r="F255" s="1">
        <f t="shared" si="31"/>
        <v>67.8079774068648</v>
      </c>
      <c r="G255" s="27">
        <f t="shared" si="32"/>
        <v>88.98086516025833</v>
      </c>
      <c r="I255" s="1">
        <f>+'SENT LT'!F11</f>
        <v>197.51</v>
      </c>
      <c r="J255" s="1">
        <f>'[11]Summary'!$C$255</f>
        <v>1865.94</v>
      </c>
      <c r="K255" s="27">
        <f>1716.16+1891.5</f>
        <v>3607.66</v>
      </c>
      <c r="L255" s="1">
        <f>SUM(K252:K255)/SUM(J252:J255)</f>
        <v>1.6760535802416154</v>
      </c>
      <c r="M255" s="27">
        <f>L255*SUM(C251:C255)</f>
        <v>205.49020244988245</v>
      </c>
    </row>
    <row r="256" spans="1:10" ht="12.75">
      <c r="A256" t="s">
        <v>7</v>
      </c>
      <c r="C256" s="1">
        <f>+'SENT LT'!C12</f>
        <v>31.506009687257055</v>
      </c>
      <c r="D256" s="27"/>
      <c r="E256" s="1">
        <f t="shared" si="30"/>
        <v>22.592203402499543</v>
      </c>
      <c r="F256" s="1">
        <f t="shared" si="31"/>
        <v>72.35345672875677</v>
      </c>
      <c r="G256" s="27">
        <f t="shared" si="32"/>
        <v>94.94566013125632</v>
      </c>
      <c r="I256" s="1">
        <f>+'SENT LT'!F12</f>
        <v>210.7499999999999</v>
      </c>
      <c r="J256" s="1">
        <f>'[11]Summary'!$C$256</f>
        <v>1827.069152609253</v>
      </c>
    </row>
    <row r="257" spans="1:11" ht="12.75">
      <c r="A257" t="s">
        <v>8</v>
      </c>
      <c r="C257" s="1">
        <f>+'SENT LT'!C13</f>
        <v>29.52669975482868</v>
      </c>
      <c r="D257" s="27"/>
      <c r="E257" s="1">
        <f t="shared" si="30"/>
        <v>21.172887753393532</v>
      </c>
      <c r="F257" s="1">
        <f t="shared" si="31"/>
        <v>67.8079774068648</v>
      </c>
      <c r="G257" s="27">
        <f t="shared" si="32"/>
        <v>88.98086516025833</v>
      </c>
      <c r="I257" s="1">
        <f>+'SENT LT'!F13</f>
        <v>197.51</v>
      </c>
      <c r="J257" s="1">
        <f>'[11]Summary'!$C$257</f>
        <v>1825.83</v>
      </c>
      <c r="K257" s="27">
        <f>1699.52+1911.18</f>
        <v>3610.7</v>
      </c>
    </row>
    <row r="258" spans="1:10" ht="12.75">
      <c r="A258" t="s">
        <v>9</v>
      </c>
      <c r="C258" s="1">
        <f>+'SENT LT'!C14</f>
        <v>31.506009687257073</v>
      </c>
      <c r="D258" s="27"/>
      <c r="E258" s="1">
        <f t="shared" si="30"/>
        <v>22.592203402499553</v>
      </c>
      <c r="F258" s="1">
        <f t="shared" si="31"/>
        <v>72.35345672875681</v>
      </c>
      <c r="G258" s="27">
        <f t="shared" si="32"/>
        <v>94.94566013125636</v>
      </c>
      <c r="I258" s="1">
        <f>+'SENT LT'!F14</f>
        <v>210.75</v>
      </c>
      <c r="J258" s="1">
        <f>'[11]Summary'!$C$258</f>
        <v>1825.83</v>
      </c>
    </row>
    <row r="259" spans="1:11" ht="12.75">
      <c r="A259" t="s">
        <v>10</v>
      </c>
      <c r="C259" s="1">
        <f>+'SENT LT'!C15</f>
        <v>28.37708545117503</v>
      </c>
      <c r="D259" s="27"/>
      <c r="E259" s="1">
        <f t="shared" si="30"/>
        <v>20.34852692698679</v>
      </c>
      <c r="F259" s="1">
        <f t="shared" si="31"/>
        <v>65.16789160736711</v>
      </c>
      <c r="G259" s="27">
        <f t="shared" si="32"/>
        <v>85.5164185343539</v>
      </c>
      <c r="I259" s="1">
        <f>+'SENT LT'!F15</f>
        <v>189.82</v>
      </c>
      <c r="J259" s="1">
        <f>'[11]Summary'!$C$259</f>
        <v>1825.83</v>
      </c>
      <c r="K259" s="27">
        <f>3455.69+1909.88</f>
        <v>5365.57</v>
      </c>
    </row>
    <row r="260" spans="1:11" ht="12.75">
      <c r="A260" t="s">
        <v>11</v>
      </c>
      <c r="C260" s="1">
        <f>+'SENT LT'!C16</f>
        <v>31.256353525085203</v>
      </c>
      <c r="D260" s="27"/>
      <c r="E260" s="1">
        <f t="shared" si="30"/>
        <v>22.413180960353998</v>
      </c>
      <c r="F260" s="1">
        <f t="shared" si="31"/>
        <v>71.7801221012976</v>
      </c>
      <c r="G260" s="27">
        <f t="shared" si="32"/>
        <v>94.19330306165159</v>
      </c>
      <c r="I260" s="1">
        <f>+'SENT LT'!F16</f>
        <v>209.07999999999993</v>
      </c>
      <c r="J260" s="1">
        <f>'[11]Summary'!$C$260</f>
        <v>1832.84</v>
      </c>
      <c r="K260" s="27">
        <f>1756.17+1909.88</f>
        <v>3666.05</v>
      </c>
    </row>
    <row r="261" spans="1:11" ht="12.75">
      <c r="A261" t="s">
        <v>12</v>
      </c>
      <c r="C261" s="1">
        <f>+'SENT LT'!C17</f>
        <v>29.277043592656824</v>
      </c>
      <c r="D261" s="27"/>
      <c r="E261" s="1">
        <f t="shared" si="30"/>
        <v>20.993865311247987</v>
      </c>
      <c r="F261" s="1">
        <f t="shared" si="31"/>
        <v>67.23464277940562</v>
      </c>
      <c r="G261" s="27">
        <f t="shared" si="32"/>
        <v>88.2285080906536</v>
      </c>
      <c r="I261" s="1">
        <f>+'SENT LT'!F17</f>
        <v>195.84</v>
      </c>
      <c r="J261" s="1">
        <f>'[11]Summary'!$C$261</f>
        <v>1844.26</v>
      </c>
      <c r="K261" s="27">
        <f>11759.79-13565.25+15106.16-11574.53</f>
        <v>1726.17</v>
      </c>
    </row>
    <row r="262" spans="1:11" ht="12.75">
      <c r="A262" t="s">
        <v>13</v>
      </c>
      <c r="C262" s="1">
        <f>+'SENT LT'!C18</f>
        <v>29.456437242121627</v>
      </c>
      <c r="D262" s="27"/>
      <c r="E262" s="1">
        <f t="shared" si="30"/>
        <v>21.12250419183161</v>
      </c>
      <c r="F262" s="1">
        <f t="shared" si="31"/>
        <v>67.64661975722059</v>
      </c>
      <c r="G262" s="27">
        <f t="shared" si="32"/>
        <v>88.7691239490522</v>
      </c>
      <c r="I262" s="1">
        <f>+'SENT LT'!F18</f>
        <v>197.03999999999996</v>
      </c>
      <c r="J262" s="1">
        <f>'[11]Summary'!$C$262</f>
        <v>1846.59</v>
      </c>
      <c r="K262" s="27">
        <f>16874.03-11759.79+1869.53</f>
        <v>6983.769999999998</v>
      </c>
    </row>
    <row r="263" spans="1:12" s="74" customFormat="1" ht="12.75">
      <c r="A263" s="74" t="s">
        <v>14</v>
      </c>
      <c r="B263" s="111"/>
      <c r="C263" s="1">
        <f>+'SENT LT'!C19</f>
        <v>29.277043592656824</v>
      </c>
      <c r="D263" s="112"/>
      <c r="E263" s="1">
        <f t="shared" si="30"/>
        <v>20.993865311247987</v>
      </c>
      <c r="F263" s="1">
        <f t="shared" si="31"/>
        <v>67.23464277940562</v>
      </c>
      <c r="G263" s="27">
        <f t="shared" si="32"/>
        <v>88.2285080906536</v>
      </c>
      <c r="H263" s="111"/>
      <c r="I263" s="1">
        <f>+'SENT LT'!F19</f>
        <v>195.84</v>
      </c>
      <c r="J263" s="111">
        <f>J262</f>
        <v>1846.59</v>
      </c>
      <c r="K263" s="112">
        <f>1717.92+1871.89</f>
        <v>3589.8100000000004</v>
      </c>
      <c r="L263" s="120"/>
    </row>
    <row r="264" spans="1:13" ht="12.75">
      <c r="A264" s="114" t="s">
        <v>203</v>
      </c>
      <c r="B264" s="111"/>
      <c r="C264" s="1">
        <v>40.17</v>
      </c>
      <c r="D264" s="111"/>
      <c r="E264" s="1">
        <f t="shared" si="30"/>
        <v>28.804942920000002</v>
      </c>
      <c r="F264" s="1">
        <f t="shared" si="31"/>
        <v>92.25028449</v>
      </c>
      <c r="G264" s="112">
        <f t="shared" si="32"/>
        <v>121.05522741</v>
      </c>
      <c r="H264" s="8"/>
      <c r="I264" s="1">
        <f>+'SENT LT'!F20</f>
        <v>0</v>
      </c>
      <c r="J264" s="8"/>
      <c r="K264" s="28"/>
      <c r="L264" s="31"/>
      <c r="M264" s="7"/>
    </row>
    <row r="265" spans="2:13" ht="13.5" thickBot="1">
      <c r="B265" s="210">
        <f aca="true" t="shared" si="33" ref="B265:M265">SUM(B251:B264)</f>
        <v>0</v>
      </c>
      <c r="C265" s="211">
        <f t="shared" si="33"/>
        <v>402.95628236560424</v>
      </c>
      <c r="D265" s="212">
        <f t="shared" si="33"/>
        <v>0</v>
      </c>
      <c r="E265" s="211">
        <f t="shared" si="33"/>
        <v>288.9502791335981</v>
      </c>
      <c r="F265" s="211">
        <f t="shared" si="33"/>
        <v>925.387893583763</v>
      </c>
      <c r="G265" s="213">
        <f t="shared" si="33"/>
        <v>1214.338172717361</v>
      </c>
      <c r="H265" s="59">
        <f t="shared" si="33"/>
        <v>0</v>
      </c>
      <c r="I265" s="58">
        <f t="shared" si="33"/>
        <v>2426.75</v>
      </c>
      <c r="J265" s="27">
        <f t="shared" si="33"/>
        <v>22131.31915260925</v>
      </c>
      <c r="K265" s="27">
        <f t="shared" si="33"/>
        <v>37439.52999999999</v>
      </c>
      <c r="L265" s="27">
        <f t="shared" si="33"/>
        <v>1.6760535802416154</v>
      </c>
      <c r="M265" s="27">
        <f t="shared" si="33"/>
        <v>205.49020244988245</v>
      </c>
    </row>
    <row r="266" spans="4:9" ht="12.75">
      <c r="D266" s="1">
        <f>+D265-'ST LGT'!D63</f>
        <v>0</v>
      </c>
      <c r="H266" s="1">
        <f>+H265-'ST LGT'!I63</f>
        <v>0</v>
      </c>
      <c r="I266" s="27">
        <f>+I265-'ST LGT'!J63</f>
        <v>2426.75</v>
      </c>
    </row>
    <row r="267" spans="1:10" ht="12.75">
      <c r="A267" t="str">
        <f>A226</f>
        <v>September</v>
      </c>
      <c r="B267" s="24">
        <f>C226</f>
        <v>1956.6638099375043</v>
      </c>
      <c r="C267" s="27">
        <f>B267*C$234</f>
        <v>43046603.81862509</v>
      </c>
      <c r="D267" s="1">
        <f>H267*D$234</f>
        <v>13836800000.000002</v>
      </c>
      <c r="H267" s="56">
        <f>I226</f>
        <v>1729.6000000000001</v>
      </c>
      <c r="I267" s="27">
        <f>J267*0.16</f>
        <v>1785.92</v>
      </c>
      <c r="J267" s="27">
        <v>11162</v>
      </c>
    </row>
    <row r="268" spans="1:10" ht="12.75">
      <c r="A268" t="str">
        <f>A227</f>
        <v>October</v>
      </c>
      <c r="B268" s="24">
        <f>C227</f>
        <v>1778.9987359951788</v>
      </c>
      <c r="C268" s="27">
        <f>B268*C$234</f>
        <v>39137972.191893935</v>
      </c>
      <c r="D268" s="1">
        <f>H268*D$234</f>
        <v>14309120000</v>
      </c>
      <c r="H268" s="56">
        <f>I227</f>
        <v>1788.64</v>
      </c>
      <c r="I268" s="27">
        <f>J268*0.16</f>
        <v>1729.6000000000001</v>
      </c>
      <c r="J268" s="27">
        <v>10810</v>
      </c>
    </row>
    <row r="269" spans="1:13" ht="12.75">
      <c r="A269" t="str">
        <f>A228</f>
        <v>November</v>
      </c>
      <c r="B269" s="24">
        <f>C228</f>
        <v>1858.047953916654</v>
      </c>
      <c r="C269" s="27">
        <f>B269*C$234</f>
        <v>40877054.98616639</v>
      </c>
      <c r="D269" s="1">
        <f>H269*D$234</f>
        <v>13857280000</v>
      </c>
      <c r="H269" s="56">
        <f>I228</f>
        <v>1732.16</v>
      </c>
      <c r="I269" s="27">
        <f>J269*0.16</f>
        <v>1788.64</v>
      </c>
      <c r="J269" s="27">
        <v>11179</v>
      </c>
      <c r="M269" s="27"/>
    </row>
    <row r="270" spans="1:13" ht="12.75">
      <c r="A270" t="str">
        <f>A229</f>
        <v>December</v>
      </c>
      <c r="B270" s="24">
        <f>C229</f>
        <v>1918.313199262729</v>
      </c>
      <c r="C270" s="27">
        <f>B270*C$234</f>
        <v>42202890.38378004</v>
      </c>
      <c r="D270" s="1">
        <f>H270*D$234</f>
        <v>14329600000</v>
      </c>
      <c r="H270" s="56">
        <f>I229</f>
        <v>1791.2</v>
      </c>
      <c r="I270" s="27">
        <f>J270*0.16</f>
        <v>1732.16</v>
      </c>
      <c r="J270" s="27">
        <v>10826</v>
      </c>
      <c r="M270" s="27"/>
    </row>
    <row r="271" spans="1:13" ht="12.75">
      <c r="A271">
        <f>A230</f>
        <v>0</v>
      </c>
      <c r="B271" s="24">
        <f>C230</f>
        <v>0</v>
      </c>
      <c r="C271" s="27">
        <f>B271*C$234</f>
        <v>0</v>
      </c>
      <c r="D271" s="1">
        <f>H271*D$234</f>
        <v>0</v>
      </c>
      <c r="H271" s="56">
        <f>I230</f>
        <v>0</v>
      </c>
      <c r="I271" s="27">
        <f>J271*0.16</f>
        <v>1791.2</v>
      </c>
      <c r="J271" s="27">
        <v>11195</v>
      </c>
      <c r="M271" s="27"/>
    </row>
    <row r="272" spans="2:13" ht="12.75">
      <c r="B272" s="27"/>
      <c r="C272" s="27"/>
      <c r="D272" s="27"/>
      <c r="E272" s="27"/>
      <c r="F272" s="27"/>
      <c r="G272" s="27"/>
      <c r="H272" s="27"/>
      <c r="J272" s="27"/>
      <c r="M272" s="27"/>
    </row>
    <row r="273" spans="2:13" ht="13.5" thickBot="1">
      <c r="B273" s="27"/>
      <c r="C273" s="27">
        <f>ROUND(SUM(C265:C271),-3)</f>
        <v>165265000</v>
      </c>
      <c r="D273" s="27">
        <f>ROUND(SUM(D265:D271),-6)</f>
        <v>56333000000</v>
      </c>
      <c r="E273" s="27"/>
      <c r="F273" s="27"/>
      <c r="G273" s="27"/>
      <c r="H273" s="27"/>
      <c r="I273" s="27">
        <f>ROUND(H265+SUM(I267:I271),-3)</f>
        <v>9000</v>
      </c>
      <c r="J273" s="27"/>
      <c r="M273" s="27"/>
    </row>
    <row r="274" spans="6:8" s="27" customFormat="1" ht="12.75">
      <c r="F274" s="91"/>
      <c r="G274" s="92"/>
      <c r="H274" s="93"/>
    </row>
    <row r="275" spans="3:8" ht="13.5" thickBot="1">
      <c r="C275" s="1">
        <f>ROUND(C273*1.0137,-3)</f>
        <v>167529000</v>
      </c>
      <c r="F275" s="105" t="s">
        <v>194</v>
      </c>
      <c r="G275" s="94"/>
      <c r="H275" s="95"/>
    </row>
    <row r="276" spans="3:8" ht="12.75">
      <c r="C276" s="27">
        <v>22000</v>
      </c>
      <c r="D276" s="27">
        <v>8000000</v>
      </c>
      <c r="E276" s="27"/>
      <c r="F276" s="96" t="s">
        <v>186</v>
      </c>
      <c r="G276" s="107" t="s">
        <v>195</v>
      </c>
      <c r="H276" s="98" t="s">
        <v>187</v>
      </c>
    </row>
    <row r="277" spans="6:8" ht="12.75">
      <c r="F277" s="99"/>
      <c r="G277" s="100"/>
      <c r="H277" s="101"/>
    </row>
    <row r="278" spans="1:8" ht="12.75">
      <c r="A278" s="58" t="s">
        <v>196</v>
      </c>
      <c r="B278" s="58">
        <f>+C265*F284</f>
        <v>288.95027913359803</v>
      </c>
      <c r="F278" s="99">
        <v>0.001806</v>
      </c>
      <c r="G278" s="106" t="s">
        <v>188</v>
      </c>
      <c r="H278" s="101">
        <v>0.005783</v>
      </c>
    </row>
    <row r="279" spans="1:8" ht="12.75">
      <c r="A279" s="58" t="s">
        <v>197</v>
      </c>
      <c r="B279" s="58">
        <f>+C265*H284</f>
        <v>925.387893583763</v>
      </c>
      <c r="F279" s="99">
        <v>0.001148</v>
      </c>
      <c r="G279" s="106" t="s">
        <v>189</v>
      </c>
      <c r="H279" s="101">
        <v>0.003678</v>
      </c>
    </row>
    <row r="280" spans="1:8" ht="13.5" thickBot="1">
      <c r="A280" s="58" t="s">
        <v>198</v>
      </c>
      <c r="B280" s="197">
        <f>SUM(B278:B279)</f>
        <v>1214.338172717361</v>
      </c>
      <c r="F280" s="99">
        <v>0.195271</v>
      </c>
      <c r="G280" s="106" t="s">
        <v>190</v>
      </c>
      <c r="H280" s="101">
        <v>0.625371</v>
      </c>
    </row>
    <row r="281" spans="6:8" ht="12.75">
      <c r="F281" s="99">
        <v>0.120059</v>
      </c>
      <c r="G281" s="106" t="s">
        <v>191</v>
      </c>
      <c r="H281" s="101">
        <v>0.384498</v>
      </c>
    </row>
    <row r="282" spans="6:8" ht="12.75">
      <c r="F282" s="99">
        <v>0.097704</v>
      </c>
      <c r="G282" s="106" t="s">
        <v>192</v>
      </c>
      <c r="H282" s="101">
        <v>0.312905</v>
      </c>
    </row>
    <row r="283" spans="6:8" ht="12.75">
      <c r="F283" s="201">
        <v>0.101043</v>
      </c>
      <c r="G283" s="202" t="s">
        <v>193</v>
      </c>
      <c r="H283" s="203">
        <v>0.323597</v>
      </c>
    </row>
    <row r="284" spans="3:8" ht="12.75">
      <c r="C284" s="24">
        <f>C265/C276</f>
        <v>0.01831619465298201</v>
      </c>
      <c r="D284" s="24">
        <f>D265/D276</f>
        <v>0</v>
      </c>
      <c r="E284" s="24"/>
      <c r="F284" s="198">
        <v>0.717076</v>
      </c>
      <c r="G284" s="199" t="s">
        <v>217</v>
      </c>
      <c r="H284" s="200">
        <v>2.296497</v>
      </c>
    </row>
    <row r="285" spans="3:8" ht="13.5" thickBot="1">
      <c r="C285" s="57">
        <v>0.101043</v>
      </c>
      <c r="D285" s="1" t="s">
        <v>116</v>
      </c>
      <c r="F285" s="102"/>
      <c r="G285" s="103"/>
      <c r="H285" s="104"/>
    </row>
    <row r="286" spans="3:4" ht="12.75">
      <c r="C286" s="27">
        <f>ROUND(C265*C285,0)</f>
        <v>41</v>
      </c>
      <c r="D286" s="1" t="s">
        <v>117</v>
      </c>
    </row>
    <row r="287" ht="12.75">
      <c r="C287" s="27">
        <f>C285*C273</f>
        <v>16698871.395</v>
      </c>
    </row>
    <row r="288" ht="12.75">
      <c r="C288" s="27"/>
    </row>
    <row r="289" ht="12.75">
      <c r="C289" s="27"/>
    </row>
    <row r="290" spans="1:3" ht="12.75">
      <c r="A290" s="78" t="s">
        <v>218</v>
      </c>
      <c r="C290" s="27"/>
    </row>
    <row r="291" ht="12.75">
      <c r="C291" s="27"/>
    </row>
    <row r="292" ht="12.75">
      <c r="C292" s="27"/>
    </row>
    <row r="293" ht="12.75">
      <c r="C293" s="27"/>
    </row>
    <row r="294" ht="12.75">
      <c r="C294" s="27"/>
    </row>
    <row r="295" ht="12.75">
      <c r="C295" s="27"/>
    </row>
    <row r="296" ht="12.75">
      <c r="C296" s="27"/>
    </row>
    <row r="297" ht="12.75">
      <c r="C297" s="27"/>
    </row>
    <row r="298" ht="13.5" thickBot="1">
      <c r="C298" s="27"/>
    </row>
    <row r="299" spans="1:3" ht="18.75" thickBot="1">
      <c r="A299" s="146" t="s">
        <v>204</v>
      </c>
      <c r="B299" s="145"/>
      <c r="C299" s="159"/>
    </row>
    <row r="300" spans="1:3" ht="18.75" thickBot="1">
      <c r="A300" s="147"/>
      <c r="C300" s="27"/>
    </row>
    <row r="301" spans="1:9" ht="18.75" thickBot="1">
      <c r="A301" s="148" t="s">
        <v>206</v>
      </c>
      <c r="B301" s="142"/>
      <c r="C301" s="155"/>
      <c r="E301" s="215"/>
      <c r="F301" s="52"/>
      <c r="G301" s="52"/>
      <c r="H301" s="52"/>
      <c r="I301" s="216"/>
    </row>
    <row r="302" spans="1:9" ht="12.75">
      <c r="A302" s="214" t="s">
        <v>219</v>
      </c>
      <c r="B302" s="150"/>
      <c r="C302" s="217"/>
      <c r="E302" s="215"/>
      <c r="F302" s="52"/>
      <c r="G302" s="52"/>
      <c r="H302" s="52"/>
      <c r="I302" s="216"/>
    </row>
    <row r="303" spans="1:12" s="147" customFormat="1" ht="18.75" thickBot="1">
      <c r="A303" s="78" t="s">
        <v>220</v>
      </c>
      <c r="B303" s="151"/>
      <c r="C303" s="152"/>
      <c r="D303" s="153"/>
      <c r="E303" s="153"/>
      <c r="F303" s="153"/>
      <c r="G303" s="153"/>
      <c r="H303" s="153"/>
      <c r="I303" s="152"/>
      <c r="J303" s="154"/>
      <c r="K303" s="152"/>
      <c r="L303" s="154"/>
    </row>
    <row r="304" spans="1:12" s="147" customFormat="1" ht="18">
      <c r="A304" s="160"/>
      <c r="B304" s="161"/>
      <c r="C304" s="172" t="s">
        <v>188</v>
      </c>
      <c r="D304" s="162" t="s">
        <v>189</v>
      </c>
      <c r="E304" s="180" t="s">
        <v>207</v>
      </c>
      <c r="F304" s="163" t="s">
        <v>208</v>
      </c>
      <c r="G304" s="185" t="s">
        <v>192</v>
      </c>
      <c r="H304" s="164" t="s">
        <v>193</v>
      </c>
      <c r="I304" s="208" t="s">
        <v>217</v>
      </c>
      <c r="J304" s="188" t="s">
        <v>209</v>
      </c>
      <c r="K304" s="152"/>
      <c r="L304" s="154"/>
    </row>
    <row r="305" spans="1:12" s="147" customFormat="1" ht="18.75" thickBot="1">
      <c r="A305" s="169"/>
      <c r="B305" s="170"/>
      <c r="C305" s="173"/>
      <c r="D305" s="171"/>
      <c r="E305" s="181"/>
      <c r="F305" s="171"/>
      <c r="G305" s="186"/>
      <c r="H305" s="170"/>
      <c r="I305" s="204"/>
      <c r="J305" s="189"/>
      <c r="K305" s="152"/>
      <c r="L305" s="154"/>
    </row>
    <row r="306" spans="1:12" s="228" customFormat="1" ht="15.75">
      <c r="A306" s="218" t="s">
        <v>202</v>
      </c>
      <c r="B306" s="219"/>
      <c r="C306" s="220">
        <f>+E4</f>
        <v>-82191.99912000001</v>
      </c>
      <c r="D306" s="221">
        <f>+E45</f>
        <v>-19320.99999676</v>
      </c>
      <c r="E306" s="222">
        <f>+E85</f>
        <v>-18989.999303660003</v>
      </c>
      <c r="F306" s="221">
        <f>+E126</f>
        <v>-8236.88541182</v>
      </c>
      <c r="G306" s="223">
        <f>+E168</f>
        <v>-3022.91095392</v>
      </c>
      <c r="H306" s="224">
        <f>+E209</f>
        <v>-171.39014702999998</v>
      </c>
      <c r="I306" s="225">
        <f>+E251</f>
        <v>0</v>
      </c>
      <c r="J306" s="226">
        <f>SUM(C306:I306)</f>
        <v>-131934.18493319</v>
      </c>
      <c r="K306" s="216"/>
      <c r="L306" s="227"/>
    </row>
    <row r="307" spans="1:10" ht="15.75">
      <c r="A307" s="168" t="s">
        <v>3</v>
      </c>
      <c r="B307" s="111"/>
      <c r="C307" s="175">
        <f aca="true" t="shared" si="34" ref="C307:C319">+E5</f>
        <v>53171.38060380265</v>
      </c>
      <c r="D307" s="166">
        <f aca="true" t="shared" si="35" ref="D307:D319">+E46</f>
        <v>13638.69586247254</v>
      </c>
      <c r="E307" s="175">
        <f aca="true" t="shared" si="36" ref="E307:E319">+E86</f>
        <v>14639.79438680296</v>
      </c>
      <c r="F307" s="166">
        <f aca="true" t="shared" si="37" ref="F307:F319">+E127</f>
        <v>8236.88528951235</v>
      </c>
      <c r="G307" s="176">
        <f aca="true" t="shared" si="38" ref="G307:G319">+E169</f>
        <v>3022.91095392</v>
      </c>
      <c r="H307" s="167">
        <f aca="true" t="shared" si="39" ref="H307:H319">+E210</f>
        <v>186.58499336999998</v>
      </c>
      <c r="I307" s="176">
        <f>+E252</f>
        <v>22.972760090892788</v>
      </c>
      <c r="J307" s="190">
        <f>SUM(C307:I307)</f>
        <v>92919.22484997138</v>
      </c>
    </row>
    <row r="308" spans="1:10" ht="15.75">
      <c r="A308" s="168" t="s">
        <v>4</v>
      </c>
      <c r="B308" s="111"/>
      <c r="C308" s="175">
        <f t="shared" si="34"/>
        <v>61238.0663454</v>
      </c>
      <c r="D308" s="166">
        <f t="shared" si="35"/>
        <v>16265.227456800001</v>
      </c>
      <c r="E308" s="175">
        <f t="shared" si="36"/>
        <v>15668.623148400007</v>
      </c>
      <c r="F308" s="166">
        <f t="shared" si="37"/>
        <v>8324.45044347</v>
      </c>
      <c r="G308" s="176">
        <f t="shared" si="38"/>
        <v>3043.80397728</v>
      </c>
      <c r="H308" s="167">
        <f t="shared" si="39"/>
        <v>186.83355914999999</v>
      </c>
      <c r="I308" s="176">
        <f>+E253</f>
        <v>20.903818094839448</v>
      </c>
      <c r="J308" s="190">
        <f aca="true" t="shared" si="40" ref="J308:J318">SUM(C308:I308)</f>
        <v>104747.90874859484</v>
      </c>
    </row>
    <row r="309" spans="1:10" ht="15.75">
      <c r="A309" s="168" t="s">
        <v>5</v>
      </c>
      <c r="B309" s="111"/>
      <c r="C309" s="175">
        <f t="shared" si="34"/>
        <v>51296.71554588</v>
      </c>
      <c r="D309" s="166">
        <f t="shared" si="35"/>
        <v>14933.3979872</v>
      </c>
      <c r="E309" s="175">
        <f t="shared" si="36"/>
        <v>16325.303899719998</v>
      </c>
      <c r="F309" s="166">
        <f t="shared" si="37"/>
        <v>8020.273763429998</v>
      </c>
      <c r="G309" s="176">
        <f t="shared" si="38"/>
        <v>2981.41508808</v>
      </c>
      <c r="H309" s="167">
        <f t="shared" si="39"/>
        <v>187.41657725999997</v>
      </c>
      <c r="I309" s="176">
        <f aca="true" t="shared" si="41" ref="I309:I319">+E254</f>
        <v>22.866633014411292</v>
      </c>
      <c r="J309" s="190">
        <f t="shared" si="40"/>
        <v>93767.3894945844</v>
      </c>
    </row>
    <row r="310" spans="1:10" ht="15.75">
      <c r="A310" s="168" t="s">
        <v>6</v>
      </c>
      <c r="B310" s="111"/>
      <c r="C310" s="175">
        <f t="shared" si="34"/>
        <v>49785.23074770001</v>
      </c>
      <c r="D310" s="166">
        <f t="shared" si="35"/>
        <v>14179.461890719998</v>
      </c>
      <c r="E310" s="175">
        <f t="shared" si="36"/>
        <v>17421.410793179995</v>
      </c>
      <c r="F310" s="166">
        <f t="shared" si="37"/>
        <v>8180.329218689999</v>
      </c>
      <c r="G310" s="176">
        <f t="shared" si="38"/>
        <v>4362.57934992</v>
      </c>
      <c r="H310" s="167">
        <f t="shared" si="39"/>
        <v>187.44284843999998</v>
      </c>
      <c r="I310" s="176">
        <f t="shared" si="41"/>
        <v>21.172887753393532</v>
      </c>
      <c r="J310" s="190">
        <f t="shared" si="40"/>
        <v>94137.62773640337</v>
      </c>
    </row>
    <row r="311" spans="1:10" ht="15.75">
      <c r="A311" s="168" t="s">
        <v>7</v>
      </c>
      <c r="B311" s="111"/>
      <c r="C311" s="175">
        <f t="shared" si="34"/>
        <v>52485.52208928</v>
      </c>
      <c r="D311" s="166">
        <f t="shared" si="35"/>
        <v>13728.5863372</v>
      </c>
      <c r="E311" s="175">
        <f t="shared" si="36"/>
        <v>16470.79836910999</v>
      </c>
      <c r="F311" s="166">
        <f t="shared" si="37"/>
        <v>8575.37135229</v>
      </c>
      <c r="G311" s="176">
        <f t="shared" si="38"/>
        <v>8876.003905439999</v>
      </c>
      <c r="H311" s="167">
        <f t="shared" si="39"/>
        <v>187.44284843999998</v>
      </c>
      <c r="I311" s="176">
        <f t="shared" si="41"/>
        <v>22.592203402499543</v>
      </c>
      <c r="J311" s="190">
        <f t="shared" si="40"/>
        <v>100346.31710516248</v>
      </c>
    </row>
    <row r="312" spans="1:10" ht="15.75">
      <c r="A312" s="168" t="s">
        <v>8</v>
      </c>
      <c r="B312" s="111"/>
      <c r="C312" s="175">
        <f t="shared" si="34"/>
        <v>41363.54751524088</v>
      </c>
      <c r="D312" s="166">
        <f t="shared" si="35"/>
        <v>11715.373751199999</v>
      </c>
      <c r="E312" s="175">
        <f t="shared" si="36"/>
        <v>15126.71683275</v>
      </c>
      <c r="F312" s="166">
        <f t="shared" si="37"/>
        <v>8426.14762001</v>
      </c>
      <c r="G312" s="176">
        <f t="shared" si="38"/>
        <v>-3987.9073470703443</v>
      </c>
      <c r="H312" s="167">
        <f t="shared" si="39"/>
        <v>187.44284843999998</v>
      </c>
      <c r="I312" s="176">
        <f t="shared" si="41"/>
        <v>21.172887753393532</v>
      </c>
      <c r="J312" s="190">
        <f t="shared" si="40"/>
        <v>72852.49410832392</v>
      </c>
    </row>
    <row r="313" spans="1:10" ht="15.75">
      <c r="A313" s="168" t="s">
        <v>9</v>
      </c>
      <c r="B313" s="111"/>
      <c r="C313" s="175">
        <f t="shared" si="34"/>
        <v>38780.78881194</v>
      </c>
      <c r="D313" s="166">
        <f t="shared" si="35"/>
        <v>12406.20848936</v>
      </c>
      <c r="E313" s="175">
        <f t="shared" si="36"/>
        <v>16466.63519139</v>
      </c>
      <c r="F313" s="166">
        <f t="shared" si="37"/>
        <v>8758.00030073</v>
      </c>
      <c r="G313" s="176">
        <f t="shared" si="38"/>
        <v>3226.8113856</v>
      </c>
      <c r="H313" s="167">
        <f t="shared" si="39"/>
        <v>187.44284843999998</v>
      </c>
      <c r="I313" s="176">
        <f t="shared" si="41"/>
        <v>22.592203402499553</v>
      </c>
      <c r="J313" s="190">
        <f t="shared" si="40"/>
        <v>79848.47923086249</v>
      </c>
    </row>
    <row r="314" spans="1:10" ht="15.75">
      <c r="A314" s="168" t="s">
        <v>10</v>
      </c>
      <c r="B314" s="111"/>
      <c r="C314" s="175">
        <f t="shared" si="34"/>
        <v>50136.07364751382</v>
      </c>
      <c r="D314" s="166">
        <f t="shared" si="35"/>
        <v>12896.44879585492</v>
      </c>
      <c r="E314" s="175">
        <f t="shared" si="36"/>
        <v>16971.911368630866</v>
      </c>
      <c r="F314" s="166">
        <f t="shared" si="37"/>
        <v>8963.961749970269</v>
      </c>
      <c r="G314" s="176">
        <f t="shared" si="38"/>
        <v>5226.351291954023</v>
      </c>
      <c r="H314" s="167">
        <f t="shared" si="39"/>
        <v>187.44239032258062</v>
      </c>
      <c r="I314" s="176">
        <f t="shared" si="41"/>
        <v>20.34852692698679</v>
      </c>
      <c r="J314" s="190">
        <f t="shared" si="40"/>
        <v>94402.53777117348</v>
      </c>
    </row>
    <row r="315" spans="1:10" ht="15.75">
      <c r="A315" s="168" t="s">
        <v>11</v>
      </c>
      <c r="B315" s="111"/>
      <c r="C315" s="175">
        <f t="shared" si="34"/>
        <v>41933.88817127072</v>
      </c>
      <c r="D315" s="166">
        <f t="shared" si="35"/>
        <v>13717.201581347146</v>
      </c>
      <c r="E315" s="175">
        <f t="shared" si="36"/>
        <v>16653.15175484103</v>
      </c>
      <c r="F315" s="166">
        <f t="shared" si="37"/>
        <v>8555.023496813992</v>
      </c>
      <c r="G315" s="176">
        <f t="shared" si="38"/>
        <v>1752.4991080459768</v>
      </c>
      <c r="H315" s="167">
        <f t="shared" si="39"/>
        <v>187.44239032258062</v>
      </c>
      <c r="I315" s="176">
        <f t="shared" si="41"/>
        <v>22.413180960353998</v>
      </c>
      <c r="J315" s="190">
        <f t="shared" si="40"/>
        <v>82821.6196836018</v>
      </c>
    </row>
    <row r="316" spans="1:10" ht="15.75">
      <c r="A316" s="168" t="s">
        <v>12</v>
      </c>
      <c r="B316" s="111"/>
      <c r="C316" s="175">
        <f t="shared" si="34"/>
        <v>45188.99862430939</v>
      </c>
      <c r="D316" s="166">
        <f t="shared" si="35"/>
        <v>12559.680319170984</v>
      </c>
      <c r="E316" s="175">
        <f t="shared" si="36"/>
        <v>16735.916053632198</v>
      </c>
      <c r="F316" s="166">
        <f t="shared" si="37"/>
        <v>8767.988127202458</v>
      </c>
      <c r="G316" s="176">
        <f t="shared" si="38"/>
        <v>5243.37475862069</v>
      </c>
      <c r="H316" s="167">
        <f t="shared" si="39"/>
        <v>187.8371129032258</v>
      </c>
      <c r="I316" s="176">
        <f t="shared" si="41"/>
        <v>20.993865311247987</v>
      </c>
      <c r="J316" s="190">
        <f t="shared" si="40"/>
        <v>88704.78886115018</v>
      </c>
    </row>
    <row r="317" spans="1:10" ht="15.75">
      <c r="A317" s="168" t="s">
        <v>13</v>
      </c>
      <c r="B317" s="111"/>
      <c r="C317" s="175">
        <f t="shared" si="34"/>
        <v>45032.4563403315</v>
      </c>
      <c r="D317" s="166">
        <f t="shared" si="35"/>
        <v>12238.538918134711</v>
      </c>
      <c r="E317" s="175">
        <f t="shared" si="36"/>
        <v>17511.682620588123</v>
      </c>
      <c r="F317" s="166">
        <f t="shared" si="37"/>
        <v>8513.557276444357</v>
      </c>
      <c r="G317" s="176">
        <f t="shared" si="38"/>
        <v>3418.5245609195404</v>
      </c>
      <c r="H317" s="167">
        <f t="shared" si="39"/>
        <v>187.8371129032258</v>
      </c>
      <c r="I317" s="176">
        <f t="shared" si="41"/>
        <v>21.12250419183161</v>
      </c>
      <c r="J317" s="190">
        <f t="shared" si="40"/>
        <v>86923.7193335133</v>
      </c>
    </row>
    <row r="318" spans="1:10" ht="15.75">
      <c r="A318" s="168" t="s">
        <v>14</v>
      </c>
      <c r="B318" s="111"/>
      <c r="C318" s="175">
        <f t="shared" si="34"/>
        <v>42956.15401657458</v>
      </c>
      <c r="D318" s="166">
        <f t="shared" si="35"/>
        <v>11861.229981347149</v>
      </c>
      <c r="E318" s="175">
        <f t="shared" si="36"/>
        <v>16539.122932873543</v>
      </c>
      <c r="F318" s="166">
        <f t="shared" si="37"/>
        <v>8331.401562962044</v>
      </c>
      <c r="G318" s="176">
        <f t="shared" si="38"/>
        <v>1715.0657103448277</v>
      </c>
      <c r="H318" s="167">
        <f t="shared" si="39"/>
        <v>188.6714129032258</v>
      </c>
      <c r="I318" s="176">
        <f t="shared" si="41"/>
        <v>20.993865311247987</v>
      </c>
      <c r="J318" s="190">
        <f t="shared" si="40"/>
        <v>81612.6394823166</v>
      </c>
    </row>
    <row r="319" spans="1:12" s="228" customFormat="1" ht="15.75">
      <c r="A319" s="229" t="s">
        <v>203</v>
      </c>
      <c r="B319" s="219"/>
      <c r="C319" s="222">
        <f t="shared" si="34"/>
        <v>79066.306158</v>
      </c>
      <c r="D319" s="221">
        <f t="shared" si="35"/>
        <v>19209.636683999997</v>
      </c>
      <c r="E319" s="222">
        <f t="shared" si="36"/>
        <v>21947.874587</v>
      </c>
      <c r="F319" s="221">
        <f t="shared" si="37"/>
        <v>8444.10124287</v>
      </c>
      <c r="G319" s="223">
        <f t="shared" si="38"/>
        <v>4474.39571568</v>
      </c>
      <c r="H319" s="224">
        <f t="shared" si="39"/>
        <v>188.67153131999999</v>
      </c>
      <c r="I319" s="223">
        <f t="shared" si="41"/>
        <v>28.804942920000002</v>
      </c>
      <c r="J319" s="226">
        <f>SUM(C319:I319)</f>
        <v>133359.79086178998</v>
      </c>
      <c r="K319" s="216"/>
      <c r="L319" s="227"/>
    </row>
    <row r="320" spans="1:10" ht="18">
      <c r="A320" s="165"/>
      <c r="B320" s="111"/>
      <c r="C320" s="176"/>
      <c r="D320" s="167"/>
      <c r="E320" s="176"/>
      <c r="F320" s="167"/>
      <c r="G320" s="176"/>
      <c r="H320" s="167"/>
      <c r="I320" s="178"/>
      <c r="J320" s="176"/>
    </row>
    <row r="321" spans="1:10" ht="18.75" thickBot="1">
      <c r="A321" s="165"/>
      <c r="B321" s="111"/>
      <c r="C321" s="177">
        <f aca="true" t="shared" si="42" ref="C321:I321">SUM(C305:C320)</f>
        <v>570243.1294972436</v>
      </c>
      <c r="D321" s="156">
        <f t="shared" si="42"/>
        <v>160028.68805804744</v>
      </c>
      <c r="E321" s="182">
        <f t="shared" si="42"/>
        <v>199488.94263525872</v>
      </c>
      <c r="F321" s="158">
        <f t="shared" si="42"/>
        <v>101860.60603257548</v>
      </c>
      <c r="G321" s="187">
        <f t="shared" si="42"/>
        <v>40332.91750481471</v>
      </c>
      <c r="H321" s="157">
        <f t="shared" si="42"/>
        <v>2267.1183271848386</v>
      </c>
      <c r="I321" s="209">
        <f t="shared" si="42"/>
        <v>288.9502791335981</v>
      </c>
      <c r="J321" s="191">
        <f>SUM(J305:J320)</f>
        <v>1074510.3523342581</v>
      </c>
    </row>
    <row r="322" spans="1:10" ht="18">
      <c r="A322" s="165"/>
      <c r="B322" s="111"/>
      <c r="C322" s="178">
        <f>+C321-D20</f>
        <v>0</v>
      </c>
      <c r="D322" s="111">
        <f>+D321-B61</f>
        <v>0</v>
      </c>
      <c r="E322" s="183">
        <f>+E321-B110</f>
        <v>0</v>
      </c>
      <c r="F322" s="111">
        <f>+F321-B152</f>
        <v>0</v>
      </c>
      <c r="G322" s="183">
        <f>+G321-B195</f>
        <v>0</v>
      </c>
      <c r="H322" s="111">
        <f>+H321-B236</f>
        <v>0</v>
      </c>
      <c r="I322" s="178">
        <f>+I321-B278</f>
        <v>0</v>
      </c>
      <c r="J322" s="178">
        <f>SUM(C321:I321)-J321</f>
        <v>0</v>
      </c>
    </row>
    <row r="323" spans="1:10" ht="18.75" thickBot="1">
      <c r="A323" s="169"/>
      <c r="B323" s="16"/>
      <c r="C323" s="179"/>
      <c r="D323" s="16"/>
      <c r="E323" s="184"/>
      <c r="F323" s="16"/>
      <c r="G323" s="184"/>
      <c r="H323" s="16"/>
      <c r="I323" s="179"/>
      <c r="J323" s="179">
        <f>+D20+B61+B110+B152+B195+B236-J321+B278</f>
        <v>2.0366996977827512E-10</v>
      </c>
    </row>
    <row r="324" spans="1:10" ht="18.75" thickBot="1">
      <c r="A324" s="147"/>
      <c r="C324" s="27"/>
      <c r="J324" s="27"/>
    </row>
    <row r="325" spans="1:10" ht="18.75" thickBot="1">
      <c r="A325" s="146" t="s">
        <v>204</v>
      </c>
      <c r="B325" s="145"/>
      <c r="C325" s="159"/>
      <c r="J325" s="27"/>
    </row>
    <row r="326" spans="1:10" ht="18.75" thickBot="1">
      <c r="A326" s="147"/>
      <c r="C326" s="27"/>
      <c r="J326" s="27"/>
    </row>
    <row r="327" spans="1:10" ht="18.75" thickBot="1">
      <c r="A327" s="148" t="s">
        <v>210</v>
      </c>
      <c r="B327" s="142"/>
      <c r="C327" s="155"/>
      <c r="E327" s="215"/>
      <c r="F327" s="52"/>
      <c r="G327" s="52"/>
      <c r="H327" s="52"/>
      <c r="I327" s="216"/>
      <c r="J327" s="216"/>
    </row>
    <row r="328" spans="1:10" ht="12.75">
      <c r="A328" s="214" t="s">
        <v>219</v>
      </c>
      <c r="B328" s="150"/>
      <c r="C328" s="27"/>
      <c r="J328" s="27"/>
    </row>
    <row r="329" spans="1:10" ht="18.75" thickBot="1">
      <c r="A329" s="78" t="s">
        <v>220</v>
      </c>
      <c r="B329" s="151"/>
      <c r="C329" s="152"/>
      <c r="D329" s="153"/>
      <c r="E329" s="153"/>
      <c r="F329" s="153"/>
      <c r="G329" s="153"/>
      <c r="H329" s="153"/>
      <c r="J329" s="152"/>
    </row>
    <row r="330" spans="1:10" ht="18">
      <c r="A330" s="160"/>
      <c r="B330" s="161"/>
      <c r="C330" s="172" t="s">
        <v>188</v>
      </c>
      <c r="D330" s="162" t="s">
        <v>189</v>
      </c>
      <c r="E330" s="180" t="s">
        <v>207</v>
      </c>
      <c r="F330" s="163" t="s">
        <v>208</v>
      </c>
      <c r="G330" s="185" t="s">
        <v>192</v>
      </c>
      <c r="H330" s="164" t="s">
        <v>193</v>
      </c>
      <c r="I330" s="208" t="s">
        <v>217</v>
      </c>
      <c r="J330" s="188" t="s">
        <v>209</v>
      </c>
    </row>
    <row r="331" spans="1:10" ht="18.75" thickBot="1">
      <c r="A331" s="169"/>
      <c r="B331" s="170"/>
      <c r="C331" s="173"/>
      <c r="D331" s="171"/>
      <c r="E331" s="181"/>
      <c r="F331" s="171"/>
      <c r="G331" s="186"/>
      <c r="H331" s="170"/>
      <c r="I331" s="179"/>
      <c r="J331" s="189"/>
    </row>
    <row r="332" spans="1:12" s="228" customFormat="1" ht="15.75">
      <c r="A332" s="218" t="s">
        <v>202</v>
      </c>
      <c r="B332" s="219"/>
      <c r="C332" s="220">
        <f>+F4</f>
        <v>-263187.33716</v>
      </c>
      <c r="D332" s="221">
        <f>+F45</f>
        <v>-61901.252602860004</v>
      </c>
      <c r="E332" s="222">
        <f>+F85</f>
        <v>-60816.99204966</v>
      </c>
      <c r="F332" s="221">
        <f>+F126</f>
        <v>-26379.24659604</v>
      </c>
      <c r="G332" s="223">
        <f>+F168</f>
        <v>-9681.1179894</v>
      </c>
      <c r="H332" s="224">
        <f>+F209</f>
        <v>-548.8884673700001</v>
      </c>
      <c r="I332" s="225">
        <f>+F251</f>
        <v>0</v>
      </c>
      <c r="J332" s="226">
        <f>SUM(C332:I332)</f>
        <v>-422514.83486533</v>
      </c>
      <c r="K332" s="216"/>
      <c r="L332" s="227"/>
    </row>
    <row r="333" spans="1:10" ht="15.75">
      <c r="A333" s="168" t="s">
        <v>3</v>
      </c>
      <c r="B333" s="111"/>
      <c r="C333" s="174">
        <f aca="true" t="shared" si="43" ref="C333:C345">+F5</f>
        <v>170260.29569866596</v>
      </c>
      <c r="D333" s="166">
        <f aca="true" t="shared" si="44" ref="D333:D345">+F46</f>
        <v>43696.10050712021</v>
      </c>
      <c r="E333" s="175">
        <f aca="true" t="shared" si="45" ref="E333:E345">+F86</f>
        <v>46885.1127687642</v>
      </c>
      <c r="F333" s="166">
        <f aca="true" t="shared" si="46" ref="F333:F345">+F127</f>
        <v>26379.24620434053</v>
      </c>
      <c r="G333" s="176">
        <f aca="true" t="shared" si="47" ref="G333:G345">+F169</f>
        <v>9681.1179894</v>
      </c>
      <c r="H333" s="167">
        <f aca="true" t="shared" si="48" ref="H333:H345">+F210</f>
        <v>597.55098423</v>
      </c>
      <c r="I333" s="176">
        <f>+F252</f>
        <v>73.57222195479281</v>
      </c>
      <c r="J333" s="190">
        <f>SUM(C333:I333)</f>
        <v>297572.9963744757</v>
      </c>
    </row>
    <row r="334" spans="1:10" ht="15.75">
      <c r="A334" s="168" t="s">
        <v>4</v>
      </c>
      <c r="B334" s="111"/>
      <c r="C334" s="174">
        <f t="shared" si="43"/>
        <v>196090.6631647</v>
      </c>
      <c r="D334" s="166">
        <f t="shared" si="44"/>
        <v>52111.068454800006</v>
      </c>
      <c r="E334" s="175">
        <f t="shared" si="45"/>
        <v>50180.01918840002</v>
      </c>
      <c r="F334" s="166">
        <f t="shared" si="46"/>
        <v>26659.68021234</v>
      </c>
      <c r="G334" s="176">
        <f t="shared" si="47"/>
        <v>9748.029594599999</v>
      </c>
      <c r="H334" s="167">
        <f t="shared" si="48"/>
        <v>598.34703285</v>
      </c>
      <c r="I334" s="176">
        <f aca="true" t="shared" si="49" ref="I334:I345">+F253</f>
        <v>66.94625889493513</v>
      </c>
      <c r="J334" s="190">
        <f aca="true" t="shared" si="50" ref="J334:J345">SUM(C334:I334)</f>
        <v>335454.75390658504</v>
      </c>
    </row>
    <row r="335" spans="1:10" ht="15.75">
      <c r="A335" s="168" t="s">
        <v>5</v>
      </c>
      <c r="B335" s="111"/>
      <c r="C335" s="174">
        <f t="shared" si="43"/>
        <v>164257.42303533998</v>
      </c>
      <c r="D335" s="166">
        <f t="shared" si="44"/>
        <v>47844.1095792</v>
      </c>
      <c r="E335" s="175">
        <f t="shared" si="45"/>
        <v>52283.09183172</v>
      </c>
      <c r="F335" s="166">
        <f t="shared" si="46"/>
        <v>25685.531459459995</v>
      </c>
      <c r="G335" s="176">
        <f t="shared" si="47"/>
        <v>9548.224106849999</v>
      </c>
      <c r="H335" s="167">
        <f t="shared" si="48"/>
        <v>600.21418754</v>
      </c>
      <c r="I335" s="176">
        <f t="shared" si="49"/>
        <v>73.23234094809544</v>
      </c>
      <c r="J335" s="190">
        <f t="shared" si="50"/>
        <v>300291.82654105796</v>
      </c>
    </row>
    <row r="336" spans="1:10" ht="15.75">
      <c r="A336" s="168" t="s">
        <v>6</v>
      </c>
      <c r="B336" s="111"/>
      <c r="C336" s="174">
        <f t="shared" si="43"/>
        <v>159417.49136985</v>
      </c>
      <c r="D336" s="166">
        <f t="shared" si="44"/>
        <v>45428.624419919994</v>
      </c>
      <c r="E336" s="175">
        <f t="shared" si="45"/>
        <v>55793.461851179985</v>
      </c>
      <c r="F336" s="166">
        <f t="shared" si="46"/>
        <v>26198.121123179997</v>
      </c>
      <c r="G336" s="176">
        <f t="shared" si="47"/>
        <v>13971.5148969</v>
      </c>
      <c r="H336" s="167">
        <f t="shared" si="48"/>
        <v>600.29832276</v>
      </c>
      <c r="I336" s="176">
        <f t="shared" si="49"/>
        <v>67.8079774068648</v>
      </c>
      <c r="J336" s="190">
        <f t="shared" si="50"/>
        <v>301477.31996119686</v>
      </c>
    </row>
    <row r="337" spans="1:10" ht="15.75">
      <c r="A337" s="168" t="s">
        <v>7</v>
      </c>
      <c r="B337" s="111"/>
      <c r="C337" s="174">
        <f t="shared" si="43"/>
        <v>168064.10533904</v>
      </c>
      <c r="D337" s="166">
        <f t="shared" si="44"/>
        <v>43984.0945542</v>
      </c>
      <c r="E337" s="175">
        <f t="shared" si="45"/>
        <v>52749.049510109966</v>
      </c>
      <c r="F337" s="166">
        <f t="shared" si="46"/>
        <v>27463.27334238</v>
      </c>
      <c r="G337" s="176">
        <f t="shared" si="47"/>
        <v>28426.123823299993</v>
      </c>
      <c r="H337" s="167">
        <f t="shared" si="48"/>
        <v>600.29832276</v>
      </c>
      <c r="I337" s="176">
        <f t="shared" si="49"/>
        <v>72.35345672875677</v>
      </c>
      <c r="J337" s="190">
        <f t="shared" si="50"/>
        <v>321359.29834851867</v>
      </c>
    </row>
    <row r="338" spans="1:10" ht="15.75">
      <c r="A338" s="168" t="s">
        <v>8</v>
      </c>
      <c r="B338" s="111"/>
      <c r="C338" s="174">
        <f t="shared" si="43"/>
        <v>132450.384983742</v>
      </c>
      <c r="D338" s="166">
        <f t="shared" si="44"/>
        <v>37534.0981332</v>
      </c>
      <c r="E338" s="175">
        <f t="shared" si="45"/>
        <v>48444.52085775</v>
      </c>
      <c r="F338" s="166">
        <f t="shared" si="46"/>
        <v>26985.37308822</v>
      </c>
      <c r="G338" s="176">
        <f t="shared" si="47"/>
        <v>-12771.597359729858</v>
      </c>
      <c r="H338" s="167">
        <f t="shared" si="48"/>
        <v>600.29832276</v>
      </c>
      <c r="I338" s="176">
        <f t="shared" si="49"/>
        <v>67.8079774068648</v>
      </c>
      <c r="J338" s="190">
        <f t="shared" si="50"/>
        <v>233310.88600334898</v>
      </c>
    </row>
    <row r="339" spans="1:10" ht="15.75">
      <c r="A339" s="168" t="s">
        <v>9</v>
      </c>
      <c r="B339" s="111"/>
      <c r="C339" s="174">
        <f t="shared" si="43"/>
        <v>124180.12275716999</v>
      </c>
      <c r="D339" s="166">
        <f t="shared" si="44"/>
        <v>39747.41709396</v>
      </c>
      <c r="E339" s="175">
        <f t="shared" si="45"/>
        <v>52735.71660039</v>
      </c>
      <c r="F339" s="166">
        <f t="shared" si="46"/>
        <v>28048.15632006</v>
      </c>
      <c r="G339" s="176">
        <f t="shared" si="47"/>
        <v>10334.125692</v>
      </c>
      <c r="H339" s="167">
        <f t="shared" si="48"/>
        <v>600.29832276</v>
      </c>
      <c r="I339" s="176">
        <f t="shared" si="49"/>
        <v>72.35345672875681</v>
      </c>
      <c r="J339" s="190">
        <f t="shared" si="50"/>
        <v>255718.19024306873</v>
      </c>
    </row>
    <row r="340" spans="1:10" ht="15.75">
      <c r="A340" s="168" t="s">
        <v>10</v>
      </c>
      <c r="B340" s="111"/>
      <c r="C340" s="174">
        <f t="shared" si="43"/>
        <v>160540.92685690607</v>
      </c>
      <c r="D340" s="166">
        <f t="shared" si="44"/>
        <v>41318.06504455958</v>
      </c>
      <c r="E340" s="175">
        <f t="shared" si="45"/>
        <v>54353.90398221986</v>
      </c>
      <c r="F340" s="166">
        <f t="shared" si="46"/>
        <v>28707.76339083341</v>
      </c>
      <c r="G340" s="176">
        <f t="shared" si="47"/>
        <v>16737.814736437336</v>
      </c>
      <c r="H340" s="167">
        <f t="shared" si="48"/>
        <v>600.2968556081681</v>
      </c>
      <c r="I340" s="176">
        <f t="shared" si="49"/>
        <v>65.16789160736711</v>
      </c>
      <c r="J340" s="190">
        <f t="shared" si="50"/>
        <v>302323.9387581718</v>
      </c>
    </row>
    <row r="341" spans="1:10" ht="15.75">
      <c r="A341" s="168" t="s">
        <v>11</v>
      </c>
      <c r="B341" s="111"/>
      <c r="C341" s="174">
        <f t="shared" si="43"/>
        <v>134276.6751353591</v>
      </c>
      <c r="D341" s="166">
        <f t="shared" si="44"/>
        <v>43947.619700518124</v>
      </c>
      <c r="E341" s="175">
        <f t="shared" si="45"/>
        <v>53333.05081695024</v>
      </c>
      <c r="F341" s="166">
        <f t="shared" si="46"/>
        <v>27398.10780098107</v>
      </c>
      <c r="G341" s="176">
        <f t="shared" si="47"/>
        <v>5612.520811871841</v>
      </c>
      <c r="H341" s="167">
        <f t="shared" si="48"/>
        <v>600.2968556081681</v>
      </c>
      <c r="I341" s="176">
        <f t="shared" si="49"/>
        <v>71.7801221012976</v>
      </c>
      <c r="J341" s="190">
        <f t="shared" si="50"/>
        <v>265240.05124338984</v>
      </c>
    </row>
    <row r="342" spans="1:10" ht="15.75">
      <c r="A342" s="168" t="s">
        <v>12</v>
      </c>
      <c r="B342" s="111"/>
      <c r="C342" s="174">
        <f t="shared" si="43"/>
        <v>144699.87765469612</v>
      </c>
      <c r="D342" s="166">
        <f t="shared" si="44"/>
        <v>40239.115168911914</v>
      </c>
      <c r="E342" s="175">
        <f t="shared" si="45"/>
        <v>53598.110105320404</v>
      </c>
      <c r="F342" s="166">
        <f t="shared" si="46"/>
        <v>28080.14308742444</v>
      </c>
      <c r="G342" s="176">
        <f t="shared" si="47"/>
        <v>16792.33377186407</v>
      </c>
      <c r="H342" s="167">
        <f t="shared" si="48"/>
        <v>601.5609812074579</v>
      </c>
      <c r="I342" s="176">
        <f t="shared" si="49"/>
        <v>67.23464277940562</v>
      </c>
      <c r="J342" s="190">
        <f t="shared" si="50"/>
        <v>284078.37541220384</v>
      </c>
    </row>
    <row r="343" spans="1:10" ht="15.75">
      <c r="A343" s="168" t="s">
        <v>13</v>
      </c>
      <c r="B343" s="111"/>
      <c r="C343" s="174">
        <f t="shared" si="43"/>
        <v>144198.61296574585</v>
      </c>
      <c r="D343" s="166">
        <f t="shared" si="44"/>
        <v>39210.2318300518</v>
      </c>
      <c r="E343" s="175">
        <f t="shared" si="45"/>
        <v>56082.56460057978</v>
      </c>
      <c r="F343" s="166">
        <f t="shared" si="46"/>
        <v>27265.309103676544</v>
      </c>
      <c r="G343" s="176">
        <f t="shared" si="47"/>
        <v>10948.102715697707</v>
      </c>
      <c r="H343" s="167">
        <f t="shared" si="48"/>
        <v>601.5609812074579</v>
      </c>
      <c r="I343" s="176">
        <f t="shared" si="49"/>
        <v>67.64661975722059</v>
      </c>
      <c r="J343" s="190">
        <f t="shared" si="50"/>
        <v>278374.0288167164</v>
      </c>
    </row>
    <row r="344" spans="1:10" ht="15.75">
      <c r="A344" s="168" t="s">
        <v>14</v>
      </c>
      <c r="B344" s="111"/>
      <c r="C344" s="174">
        <f t="shared" si="43"/>
        <v>137550.0767872928</v>
      </c>
      <c r="D344" s="166">
        <f t="shared" si="44"/>
        <v>38001.39710051813</v>
      </c>
      <c r="E344" s="175">
        <f t="shared" si="45"/>
        <v>52967.864391814765</v>
      </c>
      <c r="F344" s="166">
        <f t="shared" si="46"/>
        <v>26681.94169663066</v>
      </c>
      <c r="G344" s="176">
        <f t="shared" si="47"/>
        <v>5492.637313676495</v>
      </c>
      <c r="H344" s="167">
        <f t="shared" si="48"/>
        <v>604.2328830423203</v>
      </c>
      <c r="I344" s="176">
        <f t="shared" si="49"/>
        <v>67.23464277940562</v>
      </c>
      <c r="J344" s="190">
        <f t="shared" si="50"/>
        <v>261365.38481575457</v>
      </c>
    </row>
    <row r="345" spans="1:12" s="228" customFormat="1" ht="15.75">
      <c r="A345" s="229" t="s">
        <v>203</v>
      </c>
      <c r="B345" s="219"/>
      <c r="C345" s="220">
        <f t="shared" si="43"/>
        <v>253178.542919</v>
      </c>
      <c r="D345" s="221">
        <f t="shared" si="44"/>
        <v>61544.463174</v>
      </c>
      <c r="E345" s="222">
        <f t="shared" si="45"/>
        <v>70289.824287</v>
      </c>
      <c r="F345" s="221">
        <f t="shared" si="46"/>
        <v>27042.870919139998</v>
      </c>
      <c r="G345" s="223">
        <f t="shared" si="47"/>
        <v>14329.6158951</v>
      </c>
      <c r="H345" s="224">
        <f t="shared" si="48"/>
        <v>604.2332622800001</v>
      </c>
      <c r="I345" s="223">
        <f t="shared" si="49"/>
        <v>92.25028449</v>
      </c>
      <c r="J345" s="226">
        <f t="shared" si="50"/>
        <v>427081.80074101</v>
      </c>
      <c r="K345" s="216"/>
      <c r="L345" s="227"/>
    </row>
    <row r="346" spans="1:10" ht="18">
      <c r="A346" s="165"/>
      <c r="B346" s="111"/>
      <c r="C346" s="176"/>
      <c r="D346" s="167"/>
      <c r="E346" s="176"/>
      <c r="F346" s="167"/>
      <c r="G346" s="176"/>
      <c r="H346" s="167"/>
      <c r="I346" s="178"/>
      <c r="J346" s="176"/>
    </row>
    <row r="347" spans="1:10" ht="18.75" thickBot="1">
      <c r="A347" s="165"/>
      <c r="B347" s="111"/>
      <c r="C347" s="177">
        <f aca="true" t="shared" si="51" ref="C347:I347">SUM(C331:C346)</f>
        <v>1825977.8615075077</v>
      </c>
      <c r="D347" s="156">
        <f t="shared" si="51"/>
        <v>512705.15215809975</v>
      </c>
      <c r="E347" s="182">
        <f t="shared" si="51"/>
        <v>638879.2987425392</v>
      </c>
      <c r="F347" s="158">
        <f t="shared" si="51"/>
        <v>326216.2711526266</v>
      </c>
      <c r="G347" s="187">
        <f t="shared" si="51"/>
        <v>129169.44599856758</v>
      </c>
      <c r="H347" s="157">
        <f t="shared" si="51"/>
        <v>7260.598847243572</v>
      </c>
      <c r="I347" s="209">
        <f t="shared" si="51"/>
        <v>925.387893583763</v>
      </c>
      <c r="J347" s="191">
        <f>SUM(J331:J346)</f>
        <v>3441134.016300168</v>
      </c>
    </row>
    <row r="348" spans="1:10" ht="18">
      <c r="A348" s="165"/>
      <c r="B348" s="111"/>
      <c r="C348" s="178">
        <f>+C347-D21</f>
        <v>0</v>
      </c>
      <c r="D348" s="111">
        <f>+D347-B62</f>
        <v>0</v>
      </c>
      <c r="E348" s="183">
        <f>+E347-B111</f>
        <v>0</v>
      </c>
      <c r="F348" s="111">
        <f>+F347-B153</f>
        <v>0</v>
      </c>
      <c r="G348" s="183">
        <f>+G347-B196</f>
        <v>0</v>
      </c>
      <c r="H348" s="111">
        <f>+H347-B237</f>
        <v>0</v>
      </c>
      <c r="I348" s="178">
        <f>+I347-B279</f>
        <v>0</v>
      </c>
      <c r="J348" s="178">
        <f>SUM(C347:I347)-J347</f>
        <v>0</v>
      </c>
    </row>
    <row r="349" spans="1:10" ht="18.75" thickBot="1">
      <c r="A349" s="169"/>
      <c r="B349" s="16"/>
      <c r="C349" s="179"/>
      <c r="D349" s="16"/>
      <c r="E349" s="184"/>
      <c r="F349" s="16"/>
      <c r="G349" s="184"/>
      <c r="H349" s="16"/>
      <c r="I349" s="179"/>
      <c r="J349" s="179">
        <f>+D21+B62+B111+B153+B196+B237-J347+F265</f>
        <v>1.3744738680543378E-10</v>
      </c>
    </row>
    <row r="350" spans="3:10" ht="12.75">
      <c r="C350" s="27"/>
      <c r="J350" s="27"/>
    </row>
    <row r="351" spans="3:10" ht="13.5" thickBot="1">
      <c r="C351" s="27"/>
      <c r="J351" s="27"/>
    </row>
    <row r="352" spans="1:10" ht="18.75" thickBot="1">
      <c r="A352" s="146" t="s">
        <v>204</v>
      </c>
      <c r="B352" s="145"/>
      <c r="C352" s="159"/>
      <c r="J352" s="27"/>
    </row>
    <row r="353" spans="1:10" ht="18.75" thickBot="1">
      <c r="A353" s="147"/>
      <c r="C353" s="27"/>
      <c r="J353" s="27"/>
    </row>
    <row r="354" spans="1:10" ht="18.75" thickBot="1">
      <c r="A354" s="148" t="s">
        <v>211</v>
      </c>
      <c r="B354" s="142"/>
      <c r="C354" s="155"/>
      <c r="D354" s="142"/>
      <c r="E354" s="215"/>
      <c r="F354" s="52"/>
      <c r="G354" s="52"/>
      <c r="H354" s="52"/>
      <c r="I354" s="216"/>
      <c r="J354" s="216"/>
    </row>
    <row r="355" spans="1:10" ht="18">
      <c r="A355" s="149"/>
      <c r="B355" s="150"/>
      <c r="C355" s="27"/>
      <c r="J355" s="27"/>
    </row>
    <row r="356" spans="1:10" ht="18.75" thickBot="1">
      <c r="A356" s="149"/>
      <c r="B356" s="151"/>
      <c r="C356" s="152"/>
      <c r="D356" s="153"/>
      <c r="E356" s="153"/>
      <c r="F356" s="153"/>
      <c r="G356" s="153"/>
      <c r="H356" s="153"/>
      <c r="J356" s="152"/>
    </row>
    <row r="357" spans="1:10" ht="18">
      <c r="A357" s="160"/>
      <c r="B357" s="161"/>
      <c r="C357" s="172" t="s">
        <v>188</v>
      </c>
      <c r="D357" s="162" t="s">
        <v>189</v>
      </c>
      <c r="E357" s="180" t="s">
        <v>207</v>
      </c>
      <c r="F357" s="163" t="s">
        <v>208</v>
      </c>
      <c r="G357" s="185" t="s">
        <v>192</v>
      </c>
      <c r="H357" s="164" t="s">
        <v>193</v>
      </c>
      <c r="I357" s="208" t="s">
        <v>217</v>
      </c>
      <c r="J357" s="188" t="s">
        <v>209</v>
      </c>
    </row>
    <row r="358" spans="1:10" ht="18.75" thickBot="1">
      <c r="A358" s="169"/>
      <c r="B358" s="170"/>
      <c r="C358" s="173"/>
      <c r="D358" s="171"/>
      <c r="E358" s="181"/>
      <c r="F358" s="171"/>
      <c r="G358" s="186"/>
      <c r="H358" s="170"/>
      <c r="I358" s="179"/>
      <c r="J358" s="189"/>
    </row>
    <row r="359" spans="1:12" s="228" customFormat="1" ht="15.75">
      <c r="A359" s="218" t="s">
        <v>202</v>
      </c>
      <c r="B359" s="219"/>
      <c r="C359" s="220">
        <f aca="true" t="shared" si="52" ref="C359:H359">+C306+C332</f>
        <v>-345379.33628</v>
      </c>
      <c r="D359" s="220">
        <f t="shared" si="52"/>
        <v>-81222.25259962</v>
      </c>
      <c r="E359" s="220">
        <f t="shared" si="52"/>
        <v>-79806.99135332</v>
      </c>
      <c r="F359" s="220">
        <f t="shared" si="52"/>
        <v>-34616.13200786</v>
      </c>
      <c r="G359" s="220">
        <f t="shared" si="52"/>
        <v>-12704.02894332</v>
      </c>
      <c r="H359" s="230">
        <f t="shared" si="52"/>
        <v>-720.2786144</v>
      </c>
      <c r="I359" s="225">
        <f>+E251+F251</f>
        <v>0</v>
      </c>
      <c r="J359" s="226">
        <f>SUM(C359:I359)</f>
        <v>-554449.01979852</v>
      </c>
      <c r="K359" s="216"/>
      <c r="L359" s="227"/>
    </row>
    <row r="360" spans="1:10" ht="15.75">
      <c r="A360" s="168" t="s">
        <v>3</v>
      </c>
      <c r="B360" s="111"/>
      <c r="C360" s="174">
        <f aca="true" t="shared" si="53" ref="C360:D372">+C307+C333</f>
        <v>223431.6763024686</v>
      </c>
      <c r="D360" s="174">
        <f t="shared" si="53"/>
        <v>57334.79636959275</v>
      </c>
      <c r="E360" s="174">
        <f aca="true" t="shared" si="54" ref="E360:H372">+E307+E333</f>
        <v>61524.90715556716</v>
      </c>
      <c r="F360" s="174">
        <f t="shared" si="54"/>
        <v>34616.13149385288</v>
      </c>
      <c r="G360" s="174">
        <f t="shared" si="54"/>
        <v>12704.02894332</v>
      </c>
      <c r="H360" s="205">
        <f t="shared" si="54"/>
        <v>784.1359776</v>
      </c>
      <c r="I360" s="176">
        <f>+E252+F252</f>
        <v>96.5449820456856</v>
      </c>
      <c r="J360" s="190">
        <f>SUM(C360:I360)</f>
        <v>390492.2212244471</v>
      </c>
    </row>
    <row r="361" spans="1:10" ht="15.75">
      <c r="A361" s="168" t="s">
        <v>4</v>
      </c>
      <c r="B361" s="111"/>
      <c r="C361" s="174">
        <f t="shared" si="53"/>
        <v>257328.7295101</v>
      </c>
      <c r="D361" s="174">
        <f t="shared" si="53"/>
        <v>68376.29591160001</v>
      </c>
      <c r="E361" s="174">
        <f t="shared" si="54"/>
        <v>65848.64233680003</v>
      </c>
      <c r="F361" s="174">
        <f t="shared" si="54"/>
        <v>34984.130655810004</v>
      </c>
      <c r="G361" s="174">
        <f t="shared" si="54"/>
        <v>12791.833571879999</v>
      </c>
      <c r="H361" s="205">
        <f t="shared" si="54"/>
        <v>785.1805919999999</v>
      </c>
      <c r="I361" s="176">
        <f aca="true" t="shared" si="55" ref="I361:I372">+E253+F253</f>
        <v>87.85007698977458</v>
      </c>
      <c r="J361" s="190">
        <f aca="true" t="shared" si="56" ref="J361:J372">SUM(C361:I361)</f>
        <v>440202.6626551799</v>
      </c>
    </row>
    <row r="362" spans="1:10" ht="15.75">
      <c r="A362" s="168" t="s">
        <v>5</v>
      </c>
      <c r="B362" s="111"/>
      <c r="C362" s="174">
        <f t="shared" si="53"/>
        <v>215554.13858121997</v>
      </c>
      <c r="D362" s="174">
        <f t="shared" si="53"/>
        <v>62777.507566399996</v>
      </c>
      <c r="E362" s="174">
        <f t="shared" si="54"/>
        <v>68608.39573143999</v>
      </c>
      <c r="F362" s="174">
        <f t="shared" si="54"/>
        <v>33705.80522288999</v>
      </c>
      <c r="G362" s="174">
        <f t="shared" si="54"/>
        <v>12529.639194929998</v>
      </c>
      <c r="H362" s="205">
        <f t="shared" si="54"/>
        <v>787.6307648</v>
      </c>
      <c r="I362" s="176">
        <f t="shared" si="55"/>
        <v>96.09897396250673</v>
      </c>
      <c r="J362" s="190">
        <f t="shared" si="56"/>
        <v>394059.2160356424</v>
      </c>
    </row>
    <row r="363" spans="1:10" ht="15.75">
      <c r="A363" s="168" t="s">
        <v>6</v>
      </c>
      <c r="B363" s="111"/>
      <c r="C363" s="174">
        <f t="shared" si="53"/>
        <v>209202.72211755</v>
      </c>
      <c r="D363" s="174">
        <f t="shared" si="53"/>
        <v>59608.08631063999</v>
      </c>
      <c r="E363" s="174">
        <f t="shared" si="54"/>
        <v>73214.87264435997</v>
      </c>
      <c r="F363" s="174">
        <f t="shared" si="54"/>
        <v>34378.45034187</v>
      </c>
      <c r="G363" s="174">
        <f t="shared" si="54"/>
        <v>18334.09424682</v>
      </c>
      <c r="H363" s="205">
        <f t="shared" si="54"/>
        <v>787.7411712</v>
      </c>
      <c r="I363" s="176">
        <f t="shared" si="55"/>
        <v>88.98086516025833</v>
      </c>
      <c r="J363" s="190">
        <f t="shared" si="56"/>
        <v>395614.9476976003</v>
      </c>
    </row>
    <row r="364" spans="1:10" ht="15.75">
      <c r="A364" s="168" t="s">
        <v>7</v>
      </c>
      <c r="B364" s="111"/>
      <c r="C364" s="174">
        <f t="shared" si="53"/>
        <v>220549.62742832</v>
      </c>
      <c r="D364" s="174">
        <f t="shared" si="53"/>
        <v>57712.6808914</v>
      </c>
      <c r="E364" s="174">
        <f t="shared" si="54"/>
        <v>69219.84787921996</v>
      </c>
      <c r="F364" s="174">
        <f t="shared" si="54"/>
        <v>36038.64469467</v>
      </c>
      <c r="G364" s="174">
        <f t="shared" si="54"/>
        <v>37302.12772873999</v>
      </c>
      <c r="H364" s="205">
        <f t="shared" si="54"/>
        <v>787.7411712</v>
      </c>
      <c r="I364" s="176">
        <f t="shared" si="55"/>
        <v>94.94566013125632</v>
      </c>
      <c r="J364" s="190">
        <f t="shared" si="56"/>
        <v>421705.6154536812</v>
      </c>
    </row>
    <row r="365" spans="1:10" ht="15.75">
      <c r="A365" s="168" t="s">
        <v>8</v>
      </c>
      <c r="B365" s="111"/>
      <c r="C365" s="174">
        <f t="shared" si="53"/>
        <v>173813.93249898287</v>
      </c>
      <c r="D365" s="174">
        <f t="shared" si="53"/>
        <v>49249.4718844</v>
      </c>
      <c r="E365" s="174">
        <f t="shared" si="54"/>
        <v>63571.2376905</v>
      </c>
      <c r="F365" s="174">
        <f t="shared" si="54"/>
        <v>35411.520708230004</v>
      </c>
      <c r="G365" s="174">
        <f t="shared" si="54"/>
        <v>-16759.504706800202</v>
      </c>
      <c r="H365" s="205">
        <f t="shared" si="54"/>
        <v>787.7411712</v>
      </c>
      <c r="I365" s="176">
        <f t="shared" si="55"/>
        <v>88.98086516025833</v>
      </c>
      <c r="J365" s="190">
        <f t="shared" si="56"/>
        <v>306163.38011167286</v>
      </c>
    </row>
    <row r="366" spans="1:10" ht="15.75">
      <c r="A366" s="168" t="s">
        <v>9</v>
      </c>
      <c r="B366" s="111"/>
      <c r="C366" s="174">
        <f t="shared" si="53"/>
        <v>162960.91156911</v>
      </c>
      <c r="D366" s="174">
        <f t="shared" si="53"/>
        <v>52153.62558332</v>
      </c>
      <c r="E366" s="174">
        <f t="shared" si="54"/>
        <v>69202.35179178</v>
      </c>
      <c r="F366" s="174">
        <f t="shared" si="54"/>
        <v>36806.15662079</v>
      </c>
      <c r="G366" s="174">
        <f t="shared" si="54"/>
        <v>13560.9370776</v>
      </c>
      <c r="H366" s="205">
        <f t="shared" si="54"/>
        <v>787.7411712</v>
      </c>
      <c r="I366" s="176">
        <f t="shared" si="55"/>
        <v>94.94566013125636</v>
      </c>
      <c r="J366" s="190">
        <f t="shared" si="56"/>
        <v>335566.6694739313</v>
      </c>
    </row>
    <row r="367" spans="1:10" ht="15.75">
      <c r="A367" s="168" t="s">
        <v>10</v>
      </c>
      <c r="B367" s="111"/>
      <c r="C367" s="174">
        <f t="shared" si="53"/>
        <v>210677.00050441988</v>
      </c>
      <c r="D367" s="174">
        <f t="shared" si="53"/>
        <v>54214.513840414504</v>
      </c>
      <c r="E367" s="174">
        <f t="shared" si="54"/>
        <v>71325.81535085072</v>
      </c>
      <c r="F367" s="174">
        <f t="shared" si="54"/>
        <v>37671.72514080368</v>
      </c>
      <c r="G367" s="174">
        <f t="shared" si="54"/>
        <v>21964.16602839136</v>
      </c>
      <c r="H367" s="205">
        <f t="shared" si="54"/>
        <v>787.7392459307488</v>
      </c>
      <c r="I367" s="176">
        <f t="shared" si="55"/>
        <v>85.5164185343539</v>
      </c>
      <c r="J367" s="190">
        <f t="shared" si="56"/>
        <v>396726.47652934515</v>
      </c>
    </row>
    <row r="368" spans="1:10" ht="15.75">
      <c r="A368" s="168" t="s">
        <v>11</v>
      </c>
      <c r="B368" s="111"/>
      <c r="C368" s="174">
        <f t="shared" si="53"/>
        <v>176210.56330662983</v>
      </c>
      <c r="D368" s="174">
        <f t="shared" si="53"/>
        <v>57664.82128186527</v>
      </c>
      <c r="E368" s="174">
        <f t="shared" si="54"/>
        <v>69986.20257179128</v>
      </c>
      <c r="F368" s="174">
        <f t="shared" si="54"/>
        <v>35953.13129779506</v>
      </c>
      <c r="G368" s="174">
        <f t="shared" si="54"/>
        <v>7365.019919917818</v>
      </c>
      <c r="H368" s="205">
        <f t="shared" si="54"/>
        <v>787.7392459307488</v>
      </c>
      <c r="I368" s="176">
        <f t="shared" si="55"/>
        <v>94.19330306165159</v>
      </c>
      <c r="J368" s="190">
        <f t="shared" si="56"/>
        <v>348061.6709269916</v>
      </c>
    </row>
    <row r="369" spans="1:10" ht="15.75">
      <c r="A369" s="168" t="s">
        <v>12</v>
      </c>
      <c r="B369" s="111"/>
      <c r="C369" s="174">
        <f t="shared" si="53"/>
        <v>189888.8762790055</v>
      </c>
      <c r="D369" s="174">
        <f t="shared" si="53"/>
        <v>52798.7954880829</v>
      </c>
      <c r="E369" s="174">
        <f t="shared" si="54"/>
        <v>70334.0261589526</v>
      </c>
      <c r="F369" s="174">
        <f t="shared" si="54"/>
        <v>36848.1312146269</v>
      </c>
      <c r="G369" s="174">
        <f t="shared" si="54"/>
        <v>22035.708530484757</v>
      </c>
      <c r="H369" s="205">
        <f t="shared" si="54"/>
        <v>789.3980941106837</v>
      </c>
      <c r="I369" s="176">
        <f t="shared" si="55"/>
        <v>88.2285080906536</v>
      </c>
      <c r="J369" s="190">
        <f t="shared" si="56"/>
        <v>372783.16427335393</v>
      </c>
    </row>
    <row r="370" spans="1:10" ht="15.75">
      <c r="A370" s="168" t="s">
        <v>13</v>
      </c>
      <c r="B370" s="111"/>
      <c r="C370" s="174">
        <f t="shared" si="53"/>
        <v>189231.06930607735</v>
      </c>
      <c r="D370" s="174">
        <f t="shared" si="53"/>
        <v>51448.770748186515</v>
      </c>
      <c r="E370" s="174">
        <f t="shared" si="54"/>
        <v>73594.2472211679</v>
      </c>
      <c r="F370" s="174">
        <f t="shared" si="54"/>
        <v>35778.866380120904</v>
      </c>
      <c r="G370" s="174">
        <f t="shared" si="54"/>
        <v>14366.627276617248</v>
      </c>
      <c r="H370" s="205">
        <f t="shared" si="54"/>
        <v>789.3980941106837</v>
      </c>
      <c r="I370" s="176">
        <f t="shared" si="55"/>
        <v>88.7691239490522</v>
      </c>
      <c r="J370" s="190">
        <f t="shared" si="56"/>
        <v>365297.7481502296</v>
      </c>
    </row>
    <row r="371" spans="1:10" ht="15.75">
      <c r="A371" s="168" t="s">
        <v>14</v>
      </c>
      <c r="B371" s="111"/>
      <c r="C371" s="174">
        <f t="shared" si="53"/>
        <v>180506.2308038674</v>
      </c>
      <c r="D371" s="174">
        <f t="shared" si="53"/>
        <v>49862.62708186528</v>
      </c>
      <c r="E371" s="174">
        <f t="shared" si="54"/>
        <v>69506.9873246883</v>
      </c>
      <c r="F371" s="174">
        <f t="shared" si="54"/>
        <v>35013.3432595927</v>
      </c>
      <c r="G371" s="174">
        <f t="shared" si="54"/>
        <v>7207.703024021323</v>
      </c>
      <c r="H371" s="205">
        <f t="shared" si="54"/>
        <v>792.9042959455461</v>
      </c>
      <c r="I371" s="176">
        <f t="shared" si="55"/>
        <v>88.2285080906536</v>
      </c>
      <c r="J371" s="190">
        <f t="shared" si="56"/>
        <v>342978.0242980712</v>
      </c>
    </row>
    <row r="372" spans="1:12" s="228" customFormat="1" ht="15.75">
      <c r="A372" s="229" t="s">
        <v>203</v>
      </c>
      <c r="B372" s="219"/>
      <c r="C372" s="220">
        <f t="shared" si="53"/>
        <v>332244.849077</v>
      </c>
      <c r="D372" s="220">
        <f t="shared" si="53"/>
        <v>80754.099858</v>
      </c>
      <c r="E372" s="220">
        <f t="shared" si="54"/>
        <v>92237.698874</v>
      </c>
      <c r="F372" s="220">
        <f t="shared" si="54"/>
        <v>35486.972162009995</v>
      </c>
      <c r="G372" s="220">
        <f t="shared" si="54"/>
        <v>18804.01161078</v>
      </c>
      <c r="H372" s="230">
        <f t="shared" si="54"/>
        <v>792.9047936000001</v>
      </c>
      <c r="I372" s="223">
        <f t="shared" si="55"/>
        <v>121.05522741</v>
      </c>
      <c r="J372" s="226">
        <f t="shared" si="56"/>
        <v>560441.5916028001</v>
      </c>
      <c r="K372" s="216"/>
      <c r="L372" s="227"/>
    </row>
    <row r="373" spans="1:10" ht="18">
      <c r="A373" s="165"/>
      <c r="B373" s="111"/>
      <c r="C373" s="176"/>
      <c r="D373" s="167"/>
      <c r="E373" s="176"/>
      <c r="F373" s="167"/>
      <c r="G373" s="176"/>
      <c r="H373" s="167"/>
      <c r="I373" s="178"/>
      <c r="J373" s="176"/>
    </row>
    <row r="374" spans="1:10" ht="18.75" thickBot="1">
      <c r="A374" s="165"/>
      <c r="B374" s="111"/>
      <c r="C374" s="177">
        <f aca="true" t="shared" si="57" ref="C374:I374">SUM(C358:C373)</f>
        <v>2396220.9910047515</v>
      </c>
      <c r="D374" s="156">
        <f t="shared" si="57"/>
        <v>672733.8402161472</v>
      </c>
      <c r="E374" s="182">
        <f t="shared" si="57"/>
        <v>838368.2413777979</v>
      </c>
      <c r="F374" s="158">
        <f t="shared" si="57"/>
        <v>428076.8771852021</v>
      </c>
      <c r="G374" s="187">
        <f t="shared" si="57"/>
        <v>169502.3635033823</v>
      </c>
      <c r="H374" s="157">
        <f t="shared" si="57"/>
        <v>9527.717174428411</v>
      </c>
      <c r="I374" s="209">
        <f t="shared" si="57"/>
        <v>1214.338172717361</v>
      </c>
      <c r="J374" s="191">
        <f>SUM(J358:J373)</f>
        <v>4515644.368634427</v>
      </c>
    </row>
    <row r="375" spans="1:10" ht="18">
      <c r="A375" s="165"/>
      <c r="B375" s="111"/>
      <c r="C375" s="178">
        <f aca="true" t="shared" si="58" ref="C375:H375">+C321+C347-C374</f>
        <v>0</v>
      </c>
      <c r="D375" s="178">
        <f t="shared" si="58"/>
        <v>0</v>
      </c>
      <c r="E375" s="178">
        <f t="shared" si="58"/>
        <v>0</v>
      </c>
      <c r="F375" s="178">
        <f t="shared" si="58"/>
        <v>0</v>
      </c>
      <c r="G375" s="178">
        <f t="shared" si="58"/>
        <v>0</v>
      </c>
      <c r="H375" s="206">
        <f t="shared" si="58"/>
        <v>0</v>
      </c>
      <c r="I375" s="178"/>
      <c r="J375" s="178">
        <f>SUM(C374:I374)-J374</f>
        <v>0</v>
      </c>
    </row>
    <row r="376" spans="1:10" ht="18.75" thickBot="1">
      <c r="A376" s="169"/>
      <c r="B376" s="16"/>
      <c r="C376" s="179"/>
      <c r="D376" s="16"/>
      <c r="E376" s="184"/>
      <c r="F376" s="16"/>
      <c r="G376" s="184"/>
      <c r="H376" s="16"/>
      <c r="I376" s="179"/>
      <c r="J376" s="179">
        <f>+D22+B63+B112+B154+B197+B238-J374+B280</f>
        <v>-5.902620614506304E-10</v>
      </c>
    </row>
    <row r="377" ht="12.75">
      <c r="C377" s="27"/>
    </row>
    <row r="378" spans="1:3" ht="12.75">
      <c r="A378" s="214" t="s">
        <v>219</v>
      </c>
      <c r="C378" s="27"/>
    </row>
    <row r="379" spans="1:3" ht="12.75">
      <c r="A379" s="78" t="s">
        <v>220</v>
      </c>
      <c r="C379" s="27"/>
    </row>
    <row r="380" ht="12.75">
      <c r="C380" s="27"/>
    </row>
    <row r="381" ht="12.75">
      <c r="C381" s="27"/>
    </row>
    <row r="382" ht="12.75">
      <c r="C382" s="27"/>
    </row>
    <row r="383" ht="12.75">
      <c r="C383" s="27"/>
    </row>
    <row r="384" ht="12.75">
      <c r="C384" s="27"/>
    </row>
    <row r="385" ht="12.75">
      <c r="C385" s="27"/>
    </row>
    <row r="386" ht="12.75">
      <c r="C386" s="27"/>
    </row>
    <row r="387" ht="12.75">
      <c r="C387" s="27"/>
    </row>
    <row r="388" ht="12.75">
      <c r="C388" s="27"/>
    </row>
    <row r="389" ht="12.75">
      <c r="C389" s="27"/>
    </row>
    <row r="390" ht="12.75">
      <c r="C390" s="27"/>
    </row>
    <row r="391" ht="12.75">
      <c r="C391" s="27"/>
    </row>
    <row r="392" ht="12.75">
      <c r="C392" s="27"/>
    </row>
    <row r="393" ht="12.75">
      <c r="C393" s="27"/>
    </row>
    <row r="394" ht="12.75">
      <c r="C394" s="27"/>
    </row>
    <row r="395" ht="12.75">
      <c r="C395" s="27"/>
    </row>
    <row r="396" ht="12.75">
      <c r="C396" s="27"/>
    </row>
    <row r="397" ht="12.75">
      <c r="C397" s="27"/>
    </row>
    <row r="398" ht="12.75">
      <c r="C398" s="27"/>
    </row>
    <row r="399" ht="12.75">
      <c r="C399" s="27"/>
    </row>
    <row r="400" ht="12.75">
      <c r="C400" s="27"/>
    </row>
    <row r="401" ht="12.75">
      <c r="C401" s="27"/>
    </row>
    <row r="402" ht="12.75">
      <c r="C402" s="27"/>
    </row>
    <row r="403" ht="12.75">
      <c r="C403" s="27"/>
    </row>
    <row r="404" ht="12.75">
      <c r="C404" s="27"/>
    </row>
  </sheetData>
  <sheetProtection/>
  <printOptions/>
  <pageMargins left="0.75" right="0.75" top="1" bottom="1" header="0.5" footer="0.5"/>
  <pageSetup fitToHeight="0" fitToWidth="1" horizontalDpi="300" verticalDpi="300" orientation="landscape" scale="52" r:id="rId3"/>
  <headerFooter alignWithMargins="0">
    <oddHeader>&amp;RDRAFT</oddHeader>
    <oddFooter>&amp;LI:\JD\YE Dec 31 03\GHESI\Stats\&amp;F&amp;A &amp;D &amp;T&amp;RPILS on Distrib Vble Only
</oddFooter>
  </headerFooter>
  <rowBreaks count="8" manualBreakCount="8">
    <brk id="39" max="255" man="1"/>
    <brk id="79" max="255" man="1"/>
    <brk id="120" max="255" man="1"/>
    <brk id="162" max="255" man="1"/>
    <brk id="203" max="255" man="1"/>
    <brk id="245" max="255" man="1"/>
    <brk id="298" max="255" man="1"/>
    <brk id="351" max="255" man="1"/>
  </rowBreaks>
  <colBreaks count="2" manualBreakCount="2">
    <brk id="1" max="65535" man="1"/>
    <brk id="2" max="6553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355"/>
  <sheetViews>
    <sheetView zoomScale="75" zoomScaleNormal="75" zoomScalePageLayoutView="0" workbookViewId="0" topLeftCell="A155">
      <selection activeCell="B80" sqref="B80"/>
    </sheetView>
  </sheetViews>
  <sheetFormatPr defaultColWidth="9.140625" defaultRowHeight="12.75"/>
  <cols>
    <col min="1" max="1" width="28.00390625" style="0" bestFit="1" customWidth="1"/>
    <col min="2" max="2" width="16.57421875" style="1" bestFit="1" customWidth="1"/>
    <col min="3" max="3" width="15.57421875" style="1" customWidth="1"/>
    <col min="4" max="4" width="17.28125" style="1" customWidth="1"/>
    <col min="5" max="5" width="17.8515625" style="1" customWidth="1"/>
    <col min="6" max="6" width="14.00390625" style="27" customWidth="1"/>
    <col min="7" max="7" width="16.57421875" style="24" customWidth="1"/>
    <col min="8" max="8" width="14.7109375" style="27" customWidth="1"/>
    <col min="9" max="9" width="15.57421875" style="24" customWidth="1"/>
    <col min="10" max="10" width="14.421875" style="0" customWidth="1"/>
    <col min="11" max="11" width="14.8515625" style="0" customWidth="1"/>
    <col min="12" max="12" width="14.421875" style="0" customWidth="1"/>
    <col min="13" max="13" width="11.28125" style="0" customWidth="1"/>
    <col min="14" max="14" width="15.00390625" style="0" customWidth="1"/>
    <col min="15" max="15" width="15.00390625" style="0" bestFit="1" customWidth="1"/>
    <col min="16" max="16" width="12.8515625" style="0" bestFit="1" customWidth="1"/>
    <col min="17" max="18" width="11.28125" style="0" bestFit="1" customWidth="1"/>
    <col min="19" max="19" width="11.8515625" style="0" bestFit="1" customWidth="1"/>
    <col min="20" max="20" width="13.57421875" style="0" bestFit="1" customWidth="1"/>
    <col min="21" max="21" width="6.7109375" style="27" bestFit="1" customWidth="1"/>
    <col min="22" max="22" width="10.28125" style="27" bestFit="1" customWidth="1"/>
    <col min="23" max="23" width="9.421875" style="27" bestFit="1" customWidth="1"/>
    <col min="24" max="24" width="8.00390625" style="27" bestFit="1" customWidth="1"/>
    <col min="25" max="25" width="10.28125" style="0" bestFit="1" customWidth="1"/>
    <col min="26" max="26" width="11.28125" style="0" bestFit="1" customWidth="1"/>
    <col min="28" max="29" width="11.28125" style="0" bestFit="1" customWidth="1"/>
    <col min="30" max="30" width="11.8515625" style="0" bestFit="1" customWidth="1"/>
  </cols>
  <sheetData>
    <row r="1" ht="15.75">
      <c r="A1" s="83" t="s">
        <v>69</v>
      </c>
    </row>
    <row r="2" ht="12.75"/>
    <row r="3" spans="2:17" ht="51">
      <c r="B3" s="5" t="s">
        <v>89</v>
      </c>
      <c r="C3" s="5" t="s">
        <v>90</v>
      </c>
      <c r="D3" s="5" t="s">
        <v>91</v>
      </c>
      <c r="E3" s="5" t="s">
        <v>92</v>
      </c>
      <c r="F3" s="5" t="s">
        <v>67</v>
      </c>
      <c r="G3" s="5" t="s">
        <v>68</v>
      </c>
      <c r="H3" s="5" t="s">
        <v>78</v>
      </c>
      <c r="I3" s="5" t="s">
        <v>79</v>
      </c>
      <c r="J3" s="4" t="s">
        <v>70</v>
      </c>
      <c r="K3" s="5" t="s">
        <v>95</v>
      </c>
      <c r="L3" s="5" t="s">
        <v>93</v>
      </c>
      <c r="M3" s="6" t="s">
        <v>94</v>
      </c>
      <c r="N3" s="5" t="s">
        <v>96</v>
      </c>
      <c r="O3" s="5" t="s">
        <v>97</v>
      </c>
      <c r="P3" s="5" t="s">
        <v>98</v>
      </c>
      <c r="Q3" s="5" t="s">
        <v>99</v>
      </c>
    </row>
    <row r="4" spans="1:10" ht="12.75">
      <c r="A4" s="66" t="s">
        <v>202</v>
      </c>
      <c r="J4" s="27"/>
    </row>
    <row r="5" spans="1:18" ht="12.75">
      <c r="A5" t="s">
        <v>3</v>
      </c>
      <c r="B5" s="1">
        <f>Res!C7</f>
        <v>466112.5699999517</v>
      </c>
      <c r="C5" s="1">
        <f>Res!D7</f>
        <v>532893.0300000018</v>
      </c>
      <c r="D5" s="27">
        <f>Res!E7</f>
        <v>29441517.499337014</v>
      </c>
      <c r="H5" s="1">
        <f>B5+E5</f>
        <v>466112.5699999517</v>
      </c>
      <c r="I5" s="1">
        <f>C5+F5</f>
        <v>532893.0300000018</v>
      </c>
      <c r="J5" s="27">
        <f>D5+G5</f>
        <v>29441517.499337014</v>
      </c>
      <c r="K5" s="50">
        <f>H5+I5</f>
        <v>999005.5999999535</v>
      </c>
      <c r="L5" s="27">
        <f>'[11]Summary'!$J$5</f>
        <v>24186393.93</v>
      </c>
      <c r="M5" s="27">
        <f>'[11]Summary'!$H$5+'[11]Summary'!$I$5</f>
        <v>605771.02</v>
      </c>
      <c r="O5" s="3"/>
      <c r="P5" s="3"/>
      <c r="Q5" s="3"/>
      <c r="R5" s="50"/>
    </row>
    <row r="6" spans="1:17" ht="12.75">
      <c r="A6" t="s">
        <v>4</v>
      </c>
      <c r="B6" s="1">
        <f>Res!C13</f>
        <v>458204.0400000483</v>
      </c>
      <c r="C6" s="1">
        <f>Res!D13</f>
        <v>613549.3100000041</v>
      </c>
      <c r="D6" s="27">
        <f>Res!E13</f>
        <v>33908120.9</v>
      </c>
      <c r="H6" s="1">
        <f aca="true" t="shared" si="0" ref="H6:H16">B6+E6</f>
        <v>458204.0400000483</v>
      </c>
      <c r="I6" s="1">
        <f aca="true" t="shared" si="1" ref="I6:I16">C6+F6</f>
        <v>613549.3100000041</v>
      </c>
      <c r="J6" s="27">
        <f aca="true" t="shared" si="2" ref="J6:J16">D6+G6</f>
        <v>33908120.9</v>
      </c>
      <c r="K6" s="50">
        <f aca="true" t="shared" si="3" ref="K6:K16">H6+I6</f>
        <v>1071753.3500000525</v>
      </c>
      <c r="L6" s="27">
        <f>'[11]Summary'!$J$6</f>
        <v>35979038.24</v>
      </c>
      <c r="M6" s="27">
        <f>'[11]Summary'!$H$6+'[11]Summary'!$I$6</f>
        <v>811755.67</v>
      </c>
      <c r="O6" s="3"/>
      <c r="P6" s="3"/>
      <c r="Q6" s="3"/>
    </row>
    <row r="7" spans="1:17" ht="12.75">
      <c r="A7" t="s">
        <v>5</v>
      </c>
      <c r="B7" s="1">
        <f>Res!C19</f>
        <v>413178.9100000001</v>
      </c>
      <c r="C7" s="1">
        <f>Res!D19</f>
        <v>514085.6300000017</v>
      </c>
      <c r="D7" s="27">
        <f>Res!E19</f>
        <v>28403496.979999997</v>
      </c>
      <c r="E7" s="1">
        <f>Res!J19</f>
        <v>0</v>
      </c>
      <c r="F7" s="1">
        <f>Res!K19</f>
        <v>0</v>
      </c>
      <c r="G7" s="1">
        <f>Res!L19</f>
        <v>0</v>
      </c>
      <c r="H7" s="1">
        <f t="shared" si="0"/>
        <v>413178.9100000001</v>
      </c>
      <c r="I7" s="1">
        <f t="shared" si="1"/>
        <v>514085.6300000017</v>
      </c>
      <c r="J7" s="27">
        <f t="shared" si="2"/>
        <v>28403496.979999997</v>
      </c>
      <c r="K7" s="50">
        <f t="shared" si="3"/>
        <v>927264.5400000018</v>
      </c>
      <c r="L7" s="27">
        <f>'[11]Summary'!$J$7</f>
        <v>23922821.02</v>
      </c>
      <c r="M7" s="27">
        <f>'[11]Summary'!$H$7+'[11]Summary'!$I$7</f>
        <v>617639.47</v>
      </c>
      <c r="O7" s="3"/>
      <c r="P7" s="3"/>
      <c r="Q7" s="3"/>
    </row>
    <row r="8" spans="1:17" ht="12.75">
      <c r="A8" t="s">
        <v>6</v>
      </c>
      <c r="B8" s="1">
        <f>Res!C25</f>
        <v>398031.2099999999</v>
      </c>
      <c r="C8" s="1">
        <f>Res!D25</f>
        <v>498956.72999999736</v>
      </c>
      <c r="D8" s="27">
        <f>Res!E25</f>
        <v>27566572.950000003</v>
      </c>
      <c r="E8" s="1">
        <f>Res!J25</f>
        <v>0</v>
      </c>
      <c r="F8" s="1">
        <f>Res!K25</f>
        <v>0</v>
      </c>
      <c r="G8" s="1">
        <f>Res!L25</f>
        <v>0</v>
      </c>
      <c r="H8" s="1">
        <f t="shared" si="0"/>
        <v>398031.2099999999</v>
      </c>
      <c r="I8" s="1">
        <f t="shared" si="1"/>
        <v>498956.72999999736</v>
      </c>
      <c r="J8" s="27">
        <f t="shared" si="2"/>
        <v>27566572.950000003</v>
      </c>
      <c r="K8" s="50">
        <f t="shared" si="3"/>
        <v>896987.9399999973</v>
      </c>
      <c r="L8" s="27">
        <f>'[11]Summary'!$J$8</f>
        <v>32033147.630000003</v>
      </c>
      <c r="M8" s="27">
        <f>'[11]Summary'!$H$8+'[11]Summary'!$I$8</f>
        <v>959415.9099999999</v>
      </c>
      <c r="O8" s="3"/>
      <c r="P8" s="50"/>
      <c r="Q8" s="50"/>
    </row>
    <row r="9" spans="1:17" ht="12.75">
      <c r="A9" t="s">
        <v>7</v>
      </c>
      <c r="B9" s="1">
        <f>Res!C31</f>
        <v>507841.75</v>
      </c>
      <c r="C9" s="1">
        <f>Res!D31</f>
        <v>526018.6299999997</v>
      </c>
      <c r="D9" s="27">
        <f>Res!E31</f>
        <v>29061750.88</v>
      </c>
      <c r="E9" s="1">
        <f>Res!J31</f>
        <v>0</v>
      </c>
      <c r="F9" s="1">
        <f>Res!K31</f>
        <v>0</v>
      </c>
      <c r="G9" s="1">
        <f>Res!L31</f>
        <v>0</v>
      </c>
      <c r="H9" s="1">
        <f t="shared" si="0"/>
        <v>507841.75</v>
      </c>
      <c r="I9" s="1">
        <f t="shared" si="1"/>
        <v>526018.6299999997</v>
      </c>
      <c r="J9" s="27">
        <f t="shared" si="2"/>
        <v>29061750.88</v>
      </c>
      <c r="K9" s="50">
        <f t="shared" si="3"/>
        <v>1033860.3799999997</v>
      </c>
      <c r="L9" s="27">
        <f>'[11]Summary'!$J$9</f>
        <v>19241422.74</v>
      </c>
      <c r="M9" s="27">
        <f>'[11]Summary'!$H$9+'[11]Summary'!$I$9</f>
        <v>697871.3500000001</v>
      </c>
      <c r="N9">
        <f>SUM(M$5:M9)/SUM(L$5:L9)</f>
        <v>0.02727819443248617</v>
      </c>
      <c r="O9" s="3">
        <f>N9*SUM(J$5:J9)</f>
        <v>4047578.2944883113</v>
      </c>
      <c r="P9" s="50">
        <f>SUM(K$5:K9)-O9</f>
        <v>881293.515511693</v>
      </c>
      <c r="Q9" s="50">
        <f>O9-SUM(M$5:M9)</f>
        <v>355124.87448831135</v>
      </c>
    </row>
    <row r="10" spans="1:13" ht="12.75">
      <c r="A10" t="s">
        <v>8</v>
      </c>
      <c r="B10" s="1">
        <f>Res!C37</f>
        <v>432369.5</v>
      </c>
      <c r="C10" s="1">
        <f>Res!D37</f>
        <v>414593.64000000065</v>
      </c>
      <c r="D10" s="27">
        <f>Res!E37</f>
        <v>22903403.939779006</v>
      </c>
      <c r="E10" s="1">
        <f>Res!J37</f>
        <v>0</v>
      </c>
      <c r="F10" s="1">
        <f>Res!K37</f>
        <v>0</v>
      </c>
      <c r="G10" s="1">
        <f>Res!L37</f>
        <v>0</v>
      </c>
      <c r="H10" s="1">
        <f t="shared" si="0"/>
        <v>432369.5</v>
      </c>
      <c r="I10" s="1">
        <f t="shared" si="1"/>
        <v>414593.64000000065</v>
      </c>
      <c r="J10" s="27">
        <f t="shared" si="2"/>
        <v>22903403.939779006</v>
      </c>
      <c r="K10" s="50">
        <f t="shared" si="3"/>
        <v>846963.1400000006</v>
      </c>
      <c r="L10" s="27">
        <f>'[11]Summary'!$J$10</f>
        <v>23412446.23</v>
      </c>
      <c r="M10" s="27">
        <f>'[11]Summary'!$H$10+'[11]Summary'!$I$10</f>
        <v>838936.5700000001</v>
      </c>
    </row>
    <row r="11" spans="1:13" ht="12.75">
      <c r="A11" t="s">
        <v>9</v>
      </c>
      <c r="B11" s="1">
        <f>Res!C43</f>
        <v>431085.33</v>
      </c>
      <c r="C11" s="1">
        <f>Res!D43</f>
        <v>388668.35000000003</v>
      </c>
      <c r="D11" s="27">
        <f>Res!E43</f>
        <v>21473304.99</v>
      </c>
      <c r="E11" s="1">
        <f>Res!J43</f>
        <v>0</v>
      </c>
      <c r="F11" s="1">
        <f>Res!K43</f>
        <v>0</v>
      </c>
      <c r="G11" s="1">
        <f>Res!L43</f>
        <v>0</v>
      </c>
      <c r="H11" s="1">
        <f t="shared" si="0"/>
        <v>431085.33</v>
      </c>
      <c r="I11" s="1">
        <f t="shared" si="1"/>
        <v>388668.35000000003</v>
      </c>
      <c r="J11" s="27">
        <f t="shared" si="2"/>
        <v>21473304.99</v>
      </c>
      <c r="K11" s="50">
        <f t="shared" si="3"/>
        <v>819753.68</v>
      </c>
      <c r="L11" s="27">
        <f>'[11]Summary'!$J$11</f>
        <v>21622844.150000002</v>
      </c>
      <c r="M11" s="27">
        <f>'[11]Summary'!$H$11+'[11]Summary'!$I$11</f>
        <v>800001.78</v>
      </c>
    </row>
    <row r="12" spans="1:13" ht="12.75">
      <c r="A12" t="s">
        <v>10</v>
      </c>
      <c r="B12" s="1">
        <f>Res!C49</f>
        <v>468658.69</v>
      </c>
      <c r="C12" s="1">
        <f>Res!D49</f>
        <v>502471.17</v>
      </c>
      <c r="D12" s="27">
        <f>Res!E49</f>
        <v>27760838.12154696</v>
      </c>
      <c r="E12" s="1">
        <f>Res!J49</f>
        <v>0</v>
      </c>
      <c r="F12" s="1">
        <f>Res!K49</f>
        <v>0</v>
      </c>
      <c r="G12" s="1">
        <f>Res!L49</f>
        <v>0</v>
      </c>
      <c r="H12" s="1">
        <f t="shared" si="0"/>
        <v>468658.69</v>
      </c>
      <c r="I12" s="1">
        <f t="shared" si="1"/>
        <v>502471.17</v>
      </c>
      <c r="J12" s="27">
        <f t="shared" si="2"/>
        <v>27760838.12154696</v>
      </c>
      <c r="K12" s="50">
        <f t="shared" si="3"/>
        <v>971129.86</v>
      </c>
      <c r="L12" s="27">
        <f>'[11]Summary'!$J$12</f>
        <v>29703009</v>
      </c>
      <c r="M12" s="27">
        <f>'[11]Summary'!$H$12+'[11]Summary'!$I$12</f>
        <v>987190.6299999999</v>
      </c>
    </row>
    <row r="13" spans="1:13" ht="12.75">
      <c r="A13" t="s">
        <v>11</v>
      </c>
      <c r="B13" s="1">
        <f>Res!C55</f>
        <v>415743.12</v>
      </c>
      <c r="C13" s="1">
        <f>Res!D55</f>
        <v>420267.65</v>
      </c>
      <c r="D13" s="27">
        <f>Res!E55</f>
        <v>23219207.182320442</v>
      </c>
      <c r="E13" s="1">
        <f>Res!J55</f>
        <v>0</v>
      </c>
      <c r="F13" s="1">
        <f>Res!K55</f>
        <v>0</v>
      </c>
      <c r="G13" s="1">
        <f>Res!L55</f>
        <v>0</v>
      </c>
      <c r="H13" s="1">
        <f t="shared" si="0"/>
        <v>415743.12</v>
      </c>
      <c r="I13" s="1">
        <f t="shared" si="1"/>
        <v>420267.65</v>
      </c>
      <c r="J13" s="27">
        <f t="shared" si="2"/>
        <v>23219207.182320442</v>
      </c>
      <c r="K13" s="50">
        <f t="shared" si="3"/>
        <v>836010.77</v>
      </c>
      <c r="L13" s="27">
        <f>'[11]Summary'!$J$13</f>
        <v>27504463.99</v>
      </c>
      <c r="M13" s="27">
        <f>'[11]Summary'!$H$13+'[11]Summary'!$I$13</f>
        <v>906641.8500000001</v>
      </c>
    </row>
    <row r="14" spans="1:13" ht="12.75">
      <c r="A14" t="s">
        <v>12</v>
      </c>
      <c r="B14" s="1">
        <f>Res!C61</f>
        <v>464441.1</v>
      </c>
      <c r="C14" s="1">
        <f>Res!D61</f>
        <v>452890.85</v>
      </c>
      <c r="D14" s="27">
        <f>Res!E61</f>
        <v>25021593.92265193</v>
      </c>
      <c r="E14" s="1">
        <f>Res!J61</f>
        <v>0</v>
      </c>
      <c r="F14" s="1">
        <f>Res!K61</f>
        <v>0</v>
      </c>
      <c r="G14" s="1">
        <f>Res!L61</f>
        <v>0</v>
      </c>
      <c r="H14" s="1">
        <f t="shared" si="0"/>
        <v>464441.1</v>
      </c>
      <c r="I14" s="1">
        <f t="shared" si="1"/>
        <v>452890.85</v>
      </c>
      <c r="J14" s="27">
        <f t="shared" si="2"/>
        <v>25021593.92265193</v>
      </c>
      <c r="K14" s="50">
        <f t="shared" si="3"/>
        <v>917331.95</v>
      </c>
      <c r="L14" s="27">
        <f>'[11]Summary'!$J$14</f>
        <v>26952152.98</v>
      </c>
      <c r="M14" s="27">
        <f>'[11]Summary'!$H$14+'[11]Summary'!$I$14</f>
        <v>929691.2</v>
      </c>
    </row>
    <row r="15" spans="1:13" ht="12.75">
      <c r="A15" t="s">
        <v>13</v>
      </c>
      <c r="B15" s="1">
        <f>+Res!C67</f>
        <v>477994.82999999996</v>
      </c>
      <c r="C15" s="1">
        <f>+Res!D67</f>
        <v>451321.95999999996</v>
      </c>
      <c r="D15" s="27">
        <f>+Res!E67</f>
        <v>24934914.917127073</v>
      </c>
      <c r="G15" s="1">
        <f>Res!L67</f>
        <v>0</v>
      </c>
      <c r="H15" s="1">
        <f t="shared" si="0"/>
        <v>477994.82999999996</v>
      </c>
      <c r="I15" s="1">
        <f t="shared" si="1"/>
        <v>451321.95999999996</v>
      </c>
      <c r="J15" s="27">
        <f t="shared" si="2"/>
        <v>24934914.917127073</v>
      </c>
      <c r="K15" s="50">
        <f t="shared" si="3"/>
        <v>929316.7899999999</v>
      </c>
      <c r="L15" s="27">
        <f>'[11]Summary'!$J$15</f>
        <v>28677299.94</v>
      </c>
      <c r="M15" s="27">
        <f>'[11]Summary'!$H$15+'[11]Summary'!$I$15</f>
        <v>1031325.72</v>
      </c>
    </row>
    <row r="16" spans="1:24" s="74" customFormat="1" ht="12.75">
      <c r="A16" s="74" t="s">
        <v>14</v>
      </c>
      <c r="B16" s="111">
        <f>+Res!C73</f>
        <v>399397.32</v>
      </c>
      <c r="C16" s="111">
        <f>+Res!D73</f>
        <v>430512.95</v>
      </c>
      <c r="D16" s="112">
        <f>+Res!E73</f>
        <v>23785245.85635359</v>
      </c>
      <c r="E16" s="111">
        <f>Res!J73</f>
        <v>0</v>
      </c>
      <c r="F16" s="112">
        <f>Res!K73</f>
        <v>0</v>
      </c>
      <c r="G16" s="111">
        <f>Res!L73</f>
        <v>0</v>
      </c>
      <c r="H16" s="111">
        <f t="shared" si="0"/>
        <v>399397.32</v>
      </c>
      <c r="I16" s="111">
        <f t="shared" si="1"/>
        <v>430512.95</v>
      </c>
      <c r="J16" s="112">
        <f t="shared" si="2"/>
        <v>23785245.85635359</v>
      </c>
      <c r="K16" s="113">
        <f t="shared" si="3"/>
        <v>829910.27</v>
      </c>
      <c r="L16" s="112">
        <f>'[11]Summary'!$J$16</f>
        <v>23066981</v>
      </c>
      <c r="M16" s="112">
        <f>'[11]Summary'!$H$16+'[11]Summary'!$I$16</f>
        <v>783312.3</v>
      </c>
      <c r="U16" s="112"/>
      <c r="V16" s="112"/>
      <c r="W16" s="112"/>
      <c r="X16" s="112"/>
    </row>
    <row r="17" spans="1:17" ht="12.75">
      <c r="A17" s="114" t="s">
        <v>203</v>
      </c>
      <c r="B17" s="8"/>
      <c r="C17" s="8"/>
      <c r="D17" s="28"/>
      <c r="E17" s="8"/>
      <c r="F17" s="28"/>
      <c r="G17" s="31"/>
      <c r="H17" s="28"/>
      <c r="I17" s="31"/>
      <c r="J17" s="28"/>
      <c r="K17" s="7"/>
      <c r="L17" s="31"/>
      <c r="M17" s="28"/>
      <c r="N17" s="7"/>
      <c r="O17" s="7"/>
      <c r="P17" s="7"/>
      <c r="Q17" s="7"/>
    </row>
    <row r="18" spans="2:17" ht="12.75">
      <c r="B18" s="58">
        <f aca="true" t="shared" si="4" ref="B18:Q18">SUM(B4:B17)</f>
        <v>5333058.37</v>
      </c>
      <c r="C18" s="58">
        <f t="shared" si="4"/>
        <v>5746229.900000005</v>
      </c>
      <c r="D18" s="58">
        <f t="shared" si="4"/>
        <v>317479968.13911605</v>
      </c>
      <c r="E18" s="135">
        <f t="shared" si="4"/>
        <v>0</v>
      </c>
      <c r="F18" s="135">
        <f t="shared" si="4"/>
        <v>0</v>
      </c>
      <c r="G18" s="135">
        <f t="shared" si="4"/>
        <v>0</v>
      </c>
      <c r="H18" s="135">
        <f t="shared" si="4"/>
        <v>5333058.37</v>
      </c>
      <c r="I18" s="135">
        <f t="shared" si="4"/>
        <v>5746229.900000005</v>
      </c>
      <c r="J18" s="135">
        <f t="shared" si="4"/>
        <v>317479968.13911605</v>
      </c>
      <c r="K18" s="135">
        <f t="shared" si="4"/>
        <v>11079288.270000003</v>
      </c>
      <c r="L18" s="135">
        <f t="shared" si="4"/>
        <v>316302020.85</v>
      </c>
      <c r="M18" s="135">
        <f t="shared" si="4"/>
        <v>9969553.47</v>
      </c>
      <c r="N18" s="135">
        <f t="shared" si="4"/>
        <v>0.02727819443248617</v>
      </c>
      <c r="O18" s="135">
        <f t="shared" si="4"/>
        <v>4047578.2944883113</v>
      </c>
      <c r="P18" s="135">
        <f t="shared" si="4"/>
        <v>881293.515511693</v>
      </c>
      <c r="Q18" s="135">
        <f t="shared" si="4"/>
        <v>355124.87448831135</v>
      </c>
    </row>
    <row r="19" spans="2:12" ht="12.75">
      <c r="B19" s="1">
        <f>+B18-Res!C81</f>
        <v>0</v>
      </c>
      <c r="C19" s="1">
        <f>+C18-Res!D81</f>
        <v>0</v>
      </c>
      <c r="D19" s="1">
        <f>+D18-Res!E81</f>
        <v>0</v>
      </c>
      <c r="J19" s="27"/>
      <c r="L19" s="24"/>
    </row>
    <row r="20" spans="1:24" s="1" customFormat="1" ht="12.75">
      <c r="A20" s="58" t="s">
        <v>196</v>
      </c>
      <c r="C20" s="58"/>
      <c r="D20" s="58">
        <f>+D18*G32</f>
        <v>573368.8224592436</v>
      </c>
      <c r="U20" s="27"/>
      <c r="V20" s="27"/>
      <c r="W20" s="27"/>
      <c r="X20" s="27"/>
    </row>
    <row r="21" spans="1:24" s="1" customFormat="1" ht="12.75">
      <c r="A21" s="58" t="s">
        <v>197</v>
      </c>
      <c r="C21" s="58"/>
      <c r="D21" s="58">
        <f>+D18*I32</f>
        <v>1835986.6557485082</v>
      </c>
      <c r="N21" s="1">
        <v>2003</v>
      </c>
      <c r="O21" s="1">
        <v>2002</v>
      </c>
      <c r="U21" s="27"/>
      <c r="V21" s="27"/>
      <c r="W21" s="27"/>
      <c r="X21" s="27"/>
    </row>
    <row r="22" spans="1:24" s="1" customFormat="1" ht="13.5" thickBot="1">
      <c r="A22" s="58" t="s">
        <v>198</v>
      </c>
      <c r="C22" s="58"/>
      <c r="D22" s="115">
        <f>SUM(D20:D21)</f>
        <v>2409355.4782077516</v>
      </c>
      <c r="N22" s="1">
        <f>SUM(K5:K9)</f>
        <v>4928871.810000004</v>
      </c>
      <c r="O22" s="1">
        <f>SUM(M5:M9)</f>
        <v>3692453.42</v>
      </c>
      <c r="P22" s="1">
        <f>N22-O22</f>
        <v>1236418.3900000043</v>
      </c>
      <c r="U22" s="27"/>
      <c r="V22" s="27"/>
      <c r="W22" s="27"/>
      <c r="X22" s="27"/>
    </row>
    <row r="23" spans="3:24" s="1" customFormat="1" ht="12.75">
      <c r="C23" s="58"/>
      <c r="D23" s="27">
        <v>337000000</v>
      </c>
      <c r="N23" s="1">
        <f>SUM(J5:J9)</f>
        <v>148381459.20933703</v>
      </c>
      <c r="O23" s="1">
        <f>SUM(L5:L9)</f>
        <v>135362823.56</v>
      </c>
      <c r="P23" s="24">
        <f>N23/O23-1</f>
        <v>0.09617585764651593</v>
      </c>
      <c r="U23" s="27"/>
      <c r="V23" s="27"/>
      <c r="W23" s="27"/>
      <c r="X23" s="27"/>
    </row>
    <row r="24" spans="4:24" s="1" customFormat="1" ht="12.75">
      <c r="D24" s="24">
        <f>D18/D23</f>
        <v>0.9420770567926292</v>
      </c>
      <c r="U24" s="27"/>
      <c r="V24" s="27"/>
      <c r="W24" s="27"/>
      <c r="X24" s="27"/>
    </row>
    <row r="25" spans="4:12" ht="12.75">
      <c r="D25" s="57">
        <v>0.001806</v>
      </c>
      <c r="E25" s="1" t="s">
        <v>116</v>
      </c>
      <c r="I25" s="1"/>
      <c r="J25" s="27"/>
      <c r="L25" s="1"/>
    </row>
    <row r="26" spans="4:10" ht="12.75">
      <c r="D26" s="27">
        <f>ROUND(D18*D25,0)</f>
        <v>573369</v>
      </c>
      <c r="E26" s="1" t="s">
        <v>117</v>
      </c>
      <c r="J26" s="27"/>
    </row>
    <row r="27" ht="13.5" thickBot="1">
      <c r="J27" s="27"/>
    </row>
    <row r="28" spans="1:10" ht="12.75">
      <c r="A28" t="s">
        <v>10</v>
      </c>
      <c r="B28" s="1">
        <f>E28*11.77</f>
        <v>457594.06</v>
      </c>
      <c r="C28" s="24">
        <f>'[16]kWh'!J12</f>
        <v>0.08414518664441924</v>
      </c>
      <c r="D28" s="27">
        <f>C28*D$23-1000000</f>
        <v>27356927.89916928</v>
      </c>
      <c r="E28" s="27">
        <v>38878</v>
      </c>
      <c r="G28" s="91"/>
      <c r="H28" s="107" t="s">
        <v>195</v>
      </c>
      <c r="I28" s="93"/>
      <c r="J28" s="27"/>
    </row>
    <row r="29" spans="1:10" ht="12.75">
      <c r="A29" t="s">
        <v>11</v>
      </c>
      <c r="B29" s="1">
        <f>E29*11.77</f>
        <v>443540.68</v>
      </c>
      <c r="C29" s="24">
        <f>'[16]kWh'!J13</f>
        <v>0.08282746334919878</v>
      </c>
      <c r="D29" s="27">
        <f>C29*D$23-1000000</f>
        <v>26912855.14867999</v>
      </c>
      <c r="E29" s="27">
        <v>37684</v>
      </c>
      <c r="G29" s="105" t="s">
        <v>194</v>
      </c>
      <c r="H29" s="94"/>
      <c r="I29" s="95"/>
      <c r="J29" s="27"/>
    </row>
    <row r="30" spans="1:10" ht="12.75">
      <c r="A30" t="s">
        <v>12</v>
      </c>
      <c r="B30" s="1">
        <f>E30*11.77</f>
        <v>459053.54</v>
      </c>
      <c r="C30" s="24">
        <f>'[16]kWh'!J14</f>
        <v>0.08498021556687134</v>
      </c>
      <c r="D30" s="27">
        <f>C30*D$23-1000000</f>
        <v>27638332.64603564</v>
      </c>
      <c r="E30" s="27">
        <v>39002</v>
      </c>
      <c r="G30" s="96" t="s">
        <v>186</v>
      </c>
      <c r="H30" s="97"/>
      <c r="I30" s="98" t="s">
        <v>187</v>
      </c>
      <c r="J30" s="27"/>
    </row>
    <row r="31" spans="1:10" ht="12.75">
      <c r="A31" t="s">
        <v>13</v>
      </c>
      <c r="B31" s="1">
        <f>E31*11.77</f>
        <v>445129.63</v>
      </c>
      <c r="C31" s="24">
        <f>'[16]kWh'!J15</f>
        <v>0.08546284393466597</v>
      </c>
      <c r="D31" s="27">
        <f>C31*D$23-1000000+500000</f>
        <v>28300978.40598243</v>
      </c>
      <c r="E31" s="27">
        <v>37819</v>
      </c>
      <c r="G31" s="99"/>
      <c r="H31" s="100"/>
      <c r="I31" s="101"/>
      <c r="J31" s="27"/>
    </row>
    <row r="32" spans="1:10" ht="12.75">
      <c r="A32" s="74" t="s">
        <v>14</v>
      </c>
      <c r="B32" s="1">
        <f>E32*11.77</f>
        <v>460877.88999999996</v>
      </c>
      <c r="C32" s="24">
        <f>'[16]kWh'!J16</f>
        <v>0.0855294429531431</v>
      </c>
      <c r="D32" s="27">
        <f>C32*D$23-1000000+500000</f>
        <v>28323422.275209226</v>
      </c>
      <c r="E32" s="27">
        <v>39157</v>
      </c>
      <c r="G32" s="108">
        <v>0.001806</v>
      </c>
      <c r="H32" s="109" t="s">
        <v>188</v>
      </c>
      <c r="I32" s="110">
        <v>0.005783</v>
      </c>
      <c r="J32" s="27"/>
    </row>
    <row r="33" spans="7:10" ht="12.75">
      <c r="G33" s="99">
        <v>0.001148</v>
      </c>
      <c r="H33" s="106" t="s">
        <v>189</v>
      </c>
      <c r="I33" s="101">
        <v>0.003678</v>
      </c>
      <c r="J33" s="27"/>
    </row>
    <row r="34" spans="2:9" ht="12.75">
      <c r="B34" s="1">
        <f>ROUND(SUM(B18:B32),-3)</f>
        <v>7599000</v>
      </c>
      <c r="C34" s="1">
        <f>ROUND(D34*0.0181,-3)</f>
        <v>8254000</v>
      </c>
      <c r="D34" s="27">
        <f>ROUND(D18+SUM(D28:D32),-6)</f>
        <v>456000000</v>
      </c>
      <c r="G34" s="99">
        <v>0.195271</v>
      </c>
      <c r="H34" s="106" t="s">
        <v>190</v>
      </c>
      <c r="I34" s="101">
        <v>0.625371</v>
      </c>
    </row>
    <row r="35" spans="7:9" ht="12.75">
      <c r="G35" s="99">
        <v>0.120059</v>
      </c>
      <c r="H35" s="106" t="s">
        <v>191</v>
      </c>
      <c r="I35" s="101">
        <v>0.384498</v>
      </c>
    </row>
    <row r="36" spans="4:9" ht="12.75">
      <c r="D36" s="57">
        <f>D25</f>
        <v>0.001806</v>
      </c>
      <c r="G36" s="99">
        <v>0.097704</v>
      </c>
      <c r="H36" s="106" t="s">
        <v>192</v>
      </c>
      <c r="I36" s="101">
        <v>0.312905</v>
      </c>
    </row>
    <row r="37" spans="4:9" ht="12.75">
      <c r="D37" s="27">
        <f>D34*D36</f>
        <v>823536</v>
      </c>
      <c r="G37" s="99">
        <v>0.101043</v>
      </c>
      <c r="H37" s="106" t="s">
        <v>193</v>
      </c>
      <c r="I37" s="101">
        <v>0.323597</v>
      </c>
    </row>
    <row r="38" spans="7:9" ht="12.75">
      <c r="G38" s="99"/>
      <c r="H38" s="100"/>
      <c r="I38" s="101"/>
    </row>
    <row r="39" spans="7:9" ht="13.5" thickBot="1">
      <c r="G39" s="102"/>
      <c r="H39" s="103"/>
      <c r="I39" s="104"/>
    </row>
    <row r="40" ht="12.75"/>
    <row r="41" spans="1:24" s="20" customFormat="1" ht="15.75">
      <c r="A41" s="84" t="s">
        <v>46</v>
      </c>
      <c r="B41" s="21"/>
      <c r="C41" s="21"/>
      <c r="D41" s="21"/>
      <c r="E41" s="21"/>
      <c r="F41" s="25"/>
      <c r="G41" s="29"/>
      <c r="H41" s="25"/>
      <c r="I41" s="29"/>
      <c r="U41" s="25"/>
      <c r="V41" s="25"/>
      <c r="W41" s="25"/>
      <c r="X41" s="25"/>
    </row>
    <row r="42" ht="12.75"/>
    <row r="43" spans="2:24" s="4" customFormat="1" ht="38.25">
      <c r="B43" s="5" t="s">
        <v>172</v>
      </c>
      <c r="C43" s="5" t="s">
        <v>184</v>
      </c>
      <c r="D43" s="5" t="s">
        <v>173</v>
      </c>
      <c r="E43" s="5" t="s">
        <v>93</v>
      </c>
      <c r="F43" s="6" t="s">
        <v>101</v>
      </c>
      <c r="G43" s="5" t="s">
        <v>96</v>
      </c>
      <c r="H43" s="5" t="s">
        <v>97</v>
      </c>
      <c r="I43" s="5" t="s">
        <v>98</v>
      </c>
      <c r="J43" s="5" t="s">
        <v>99</v>
      </c>
      <c r="U43" s="26"/>
      <c r="V43" s="26"/>
      <c r="W43" s="26"/>
      <c r="X43" s="26"/>
    </row>
    <row r="44" spans="2:24" s="22" customFormat="1" ht="12.75">
      <c r="B44" s="23"/>
      <c r="C44" s="23"/>
      <c r="D44" s="23"/>
      <c r="E44" s="23"/>
      <c r="F44" s="26"/>
      <c r="G44" s="30"/>
      <c r="H44" s="26"/>
      <c r="I44" s="30"/>
      <c r="U44" s="26"/>
      <c r="V44" s="26"/>
      <c r="W44" s="26"/>
      <c r="X44" s="26"/>
    </row>
    <row r="45" ht="12.75">
      <c r="A45" s="66" t="s">
        <v>202</v>
      </c>
    </row>
    <row r="46" spans="1:7" ht="12.75">
      <c r="A46" t="s">
        <v>3</v>
      </c>
      <c r="B46" s="27">
        <f>'GS&lt;50'!C9</f>
        <v>11880397.092746114</v>
      </c>
      <c r="C46" s="1">
        <v>32057.5</v>
      </c>
      <c r="D46" s="1">
        <f>'GS&lt;50'!B9</f>
        <v>229291.92000000007</v>
      </c>
      <c r="E46" s="1">
        <f>'[11]Summary'!$B$46</f>
        <v>14235023.56</v>
      </c>
      <c r="F46" s="27">
        <f>34364.12+192173.56</f>
        <v>226537.68</v>
      </c>
      <c r="G46" s="44"/>
    </row>
    <row r="47" spans="1:7" ht="12.75">
      <c r="A47" t="s">
        <v>4</v>
      </c>
      <c r="B47" s="27">
        <f>'GS&lt;50'!C13</f>
        <v>14168316.600000001</v>
      </c>
      <c r="C47" s="1">
        <f>70657.35-32057.5</f>
        <v>38599.850000000006</v>
      </c>
      <c r="D47" s="1">
        <f>'GS&lt;50'!B13</f>
        <v>273449.0200000009</v>
      </c>
      <c r="E47" s="1">
        <f>'[11]Summary'!$B$47</f>
        <v>12098748.47</v>
      </c>
      <c r="F47" s="27">
        <f>62168.35-34364.12+354787.67-192173.56</f>
        <v>190418.33999999997</v>
      </c>
      <c r="G47" s="44"/>
    </row>
    <row r="48" spans="1:7" ht="12.75">
      <c r="A48" t="s">
        <v>5</v>
      </c>
      <c r="B48" s="27">
        <f>'GS&lt;50'!C18</f>
        <v>13008186.4</v>
      </c>
      <c r="C48" s="1">
        <f>103558.44-70657.35</f>
        <v>32901.09</v>
      </c>
      <c r="D48" s="1">
        <f>'GS&lt;50'!B18</f>
        <v>251058.25999999917</v>
      </c>
      <c r="E48" s="1">
        <f>'[11]Summary'!$B$48</f>
        <v>10769433.6</v>
      </c>
      <c r="F48" s="27">
        <f>90430.3-62168.35+545352.75-354787.67</f>
        <v>218827.02999999997</v>
      </c>
      <c r="G48" s="44"/>
    </row>
    <row r="49" spans="1:10" ht="12.75">
      <c r="A49" t="s">
        <v>6</v>
      </c>
      <c r="B49" s="27">
        <f>'GS&lt;50'!C24</f>
        <v>12351447.639999999</v>
      </c>
      <c r="C49" s="1">
        <f>136032.22-103558.44</f>
        <v>32473.78</v>
      </c>
      <c r="D49" s="1">
        <f>'GS&lt;50'!B24</f>
        <v>238383.2800000001</v>
      </c>
      <c r="E49" s="1">
        <f>'[11]Summary'!$B$49</f>
        <v>12542603.5</v>
      </c>
      <c r="F49" s="27">
        <f>123253.99-90430.3+785684.62-545352.75</f>
        <v>273155.56000000006</v>
      </c>
      <c r="G49" s="54"/>
      <c r="I49" s="53"/>
      <c r="J49" s="50"/>
    </row>
    <row r="50" spans="1:10" ht="12.75">
      <c r="A50" t="s">
        <v>7</v>
      </c>
      <c r="B50" s="27">
        <f>'GS&lt;50'!C30</f>
        <v>11958698.9</v>
      </c>
      <c r="C50" s="1">
        <f>36786.12-325.14</f>
        <v>36460.98</v>
      </c>
      <c r="D50" s="1">
        <f>'GS&lt;50'!B30</f>
        <v>230803.19000000076</v>
      </c>
      <c r="E50" s="1">
        <f>'[11]Summary'!$B$50</f>
        <v>1662905.9000000001</v>
      </c>
      <c r="F50" s="27">
        <f>130380.57-123253.99+817772.84-785684.62</f>
        <v>39214.79999999993</v>
      </c>
      <c r="G50" s="54">
        <f>SUM(F$46:F50)/SUM(E$46:E50)</f>
        <v>0.01847938326745502</v>
      </c>
      <c r="H50" s="27">
        <f>G50*SUM(B$46:B50)</f>
        <v>1170983.9412532104</v>
      </c>
      <c r="I50" s="53">
        <f>SUM(C$46:D50)-H50</f>
        <v>224494.92874679063</v>
      </c>
      <c r="J50" s="50">
        <f>H50-SUM(F$46:F50)</f>
        <v>222830.5312532105</v>
      </c>
    </row>
    <row r="51" spans="1:7" ht="12.75">
      <c r="A51" t="s">
        <v>8</v>
      </c>
      <c r="B51" s="27">
        <f>'GS&lt;50'!C36</f>
        <v>10205029.4</v>
      </c>
      <c r="C51" s="1">
        <f>205595.77-172493.2</f>
        <v>33102.56999999998</v>
      </c>
      <c r="D51" s="1">
        <f>'GS&lt;50'!B36</f>
        <v>196957.15000000017</v>
      </c>
      <c r="E51" s="1">
        <f>'[11]Summary'!$B$51</f>
        <v>10346585.7</v>
      </c>
      <c r="F51" s="27">
        <f>159931.08-130380.57+1017656.19-817772.84</f>
        <v>229433.86</v>
      </c>
      <c r="G51" s="44"/>
    </row>
    <row r="52" spans="1:7" ht="12.75">
      <c r="A52" t="s">
        <v>9</v>
      </c>
      <c r="B52" s="27">
        <f>'GS&lt;50'!C41</f>
        <v>10806801.82</v>
      </c>
      <c r="C52" s="1">
        <f>239835.81-205595.77</f>
        <v>34240.04000000001</v>
      </c>
      <c r="D52" s="1">
        <f>'GS&lt;50'!B41</f>
        <v>208569.49</v>
      </c>
      <c r="E52" s="1">
        <f>'[11]Summary'!$B$52</f>
        <v>11562479.999999998</v>
      </c>
      <c r="F52" s="27">
        <f>191666.1-159931.08+1240824.11-1017656.19</f>
        <v>254902.94000000018</v>
      </c>
      <c r="G52" s="44"/>
    </row>
    <row r="53" spans="1:7" ht="12.75">
      <c r="A53" t="s">
        <v>10</v>
      </c>
      <c r="B53" s="27">
        <f>'GS&lt;50'!C47</f>
        <v>11233840.41450777</v>
      </c>
      <c r="C53" s="1">
        <f>33365.5-105.82</f>
        <v>33259.68</v>
      </c>
      <c r="D53" s="1">
        <f>'GS&lt;50'!B47</f>
        <v>216813.12</v>
      </c>
      <c r="E53" s="1">
        <f>'[11]Summary'!$B$53</f>
        <v>12690713.200000001</v>
      </c>
      <c r="F53" s="27">
        <f>258255.54-191666.1+1486652.61-1240824.11</f>
        <v>312417.93999999994</v>
      </c>
      <c r="G53" s="44"/>
    </row>
    <row r="54" spans="1:7" ht="12.75">
      <c r="A54" t="s">
        <v>11</v>
      </c>
      <c r="B54" s="27">
        <f>'GS&lt;50'!C53</f>
        <v>11948781.865284972</v>
      </c>
      <c r="C54" s="1">
        <f>35677.35-254.59</f>
        <v>35422.76</v>
      </c>
      <c r="D54" s="1">
        <f>'GS&lt;50'!B53</f>
        <v>230611.49</v>
      </c>
      <c r="E54" s="1">
        <f>'[11]Summary'!$B$54</f>
        <v>12784640.7</v>
      </c>
      <c r="F54" s="27">
        <f>294606.24-258255.54+1733396.37-1486652.61</f>
        <v>283094.45999999996</v>
      </c>
      <c r="G54" s="44"/>
    </row>
    <row r="55" spans="1:7" ht="12.75">
      <c r="A55" t="s">
        <v>12</v>
      </c>
      <c r="B55" s="27">
        <f>'GS&lt;50'!C59</f>
        <v>10940488.082901554</v>
      </c>
      <c r="C55" s="1">
        <f>35360.16-356.57</f>
        <v>35003.590000000004</v>
      </c>
      <c r="D55" s="1">
        <f>'GS&lt;50'!B59</f>
        <v>211151.41999999998</v>
      </c>
      <c r="E55" s="1">
        <f>'[11]Summary'!$B$55</f>
        <v>12277745.2</v>
      </c>
      <c r="F55" s="27">
        <f>326934.53-294606.24+1970357.09-1733396.37</f>
        <v>269289.01</v>
      </c>
      <c r="G55" s="44"/>
    </row>
    <row r="56" spans="1:7" ht="12.75">
      <c r="A56" t="s">
        <v>13</v>
      </c>
      <c r="B56" s="27">
        <f>'GS&lt;50'!C65</f>
        <v>10660748.186528495</v>
      </c>
      <c r="C56" s="1">
        <f>35082.08-435.51</f>
        <v>34646.57</v>
      </c>
      <c r="D56" s="1">
        <f>'GS&lt;50'!B65</f>
        <v>205752.43999999997</v>
      </c>
      <c r="E56" s="1">
        <f>'[11]Summary'!$B$56</f>
        <v>12015335.39</v>
      </c>
      <c r="F56" s="27">
        <f>366200.08-326934.53+2202253.53-1970357.09</f>
        <v>271161.9899999995</v>
      </c>
      <c r="G56" s="44"/>
    </row>
    <row r="57" spans="1:24" s="74" customFormat="1" ht="12.75">
      <c r="A57" s="74" t="s">
        <v>14</v>
      </c>
      <c r="B57" s="112">
        <f>'GS&lt;50'!C71</f>
        <v>10332081.865284974</v>
      </c>
      <c r="C57" s="111">
        <f>31501.01-213.56</f>
        <v>31287.449999999997</v>
      </c>
      <c r="D57" s="111">
        <f>'GS&lt;50'!B71</f>
        <v>199409.18</v>
      </c>
      <c r="E57" s="111">
        <f>'[11]Summary'!$B$57</f>
        <v>10351606.34</v>
      </c>
      <c r="F57" s="112">
        <f>395619.74-366200.08+2402039.74-2202253.53</f>
        <v>229205.87000000058</v>
      </c>
      <c r="G57" s="119"/>
      <c r="H57" s="112"/>
      <c r="I57" s="120"/>
      <c r="U57" s="112"/>
      <c r="V57" s="112"/>
      <c r="W57" s="112"/>
      <c r="X57" s="112"/>
    </row>
    <row r="58" spans="1:10" ht="12.75">
      <c r="A58" s="114" t="s">
        <v>203</v>
      </c>
      <c r="B58" s="28"/>
      <c r="C58" s="8"/>
      <c r="D58" s="8"/>
      <c r="E58" s="8"/>
      <c r="F58" s="28"/>
      <c r="G58" s="31"/>
      <c r="H58" s="28"/>
      <c r="I58" s="31"/>
      <c r="J58" s="7"/>
    </row>
    <row r="59" spans="2:10" ht="12.75">
      <c r="B59" s="59">
        <f aca="true" t="shared" si="5" ref="B59:J59">SUM(B45:B58)</f>
        <v>139494818.2672539</v>
      </c>
      <c r="C59" s="59">
        <f t="shared" si="5"/>
        <v>409455.86000000004</v>
      </c>
      <c r="D59" s="59">
        <f t="shared" si="5"/>
        <v>2692249.9600000014</v>
      </c>
      <c r="E59" s="143">
        <f t="shared" si="5"/>
        <v>133337821.56000002</v>
      </c>
      <c r="F59" s="143">
        <f t="shared" si="5"/>
        <v>2797659.48</v>
      </c>
      <c r="G59" s="143">
        <f t="shared" si="5"/>
        <v>0.01847938326745502</v>
      </c>
      <c r="H59" s="143">
        <f t="shared" si="5"/>
        <v>1170983.9412532104</v>
      </c>
      <c r="I59" s="143">
        <f t="shared" si="5"/>
        <v>224494.92874679063</v>
      </c>
      <c r="J59" s="143">
        <f t="shared" si="5"/>
        <v>222830.5312532105</v>
      </c>
    </row>
    <row r="60" spans="2:6" ht="12.75">
      <c r="B60" s="1">
        <f>+B59-'GS&lt;50'!C73</f>
        <v>0</v>
      </c>
      <c r="D60" s="1">
        <f>+D59-'GS&lt;50'!B73</f>
        <v>0</v>
      </c>
      <c r="E60" s="24"/>
      <c r="F60" s="27">
        <f>395619.74+2402039.74</f>
        <v>2797659.4800000004</v>
      </c>
    </row>
    <row r="61" spans="1:4" ht="12.75">
      <c r="A61" s="58" t="s">
        <v>196</v>
      </c>
      <c r="B61" s="58">
        <f>+B59*G72</f>
        <v>160140.0513708075</v>
      </c>
      <c r="D61" s="27"/>
    </row>
    <row r="62" spans="1:2" ht="12.75">
      <c r="A62" s="58" t="s">
        <v>197</v>
      </c>
      <c r="B62" s="58">
        <f>+B59*I72</f>
        <v>513061.9415869598</v>
      </c>
    </row>
    <row r="63" spans="1:4" ht="13.5" thickBot="1">
      <c r="A63" s="58" t="s">
        <v>198</v>
      </c>
      <c r="B63" s="122">
        <f>SUM(B61:B62)</f>
        <v>673201.9929577673</v>
      </c>
      <c r="D63" s="24"/>
    </row>
    <row r="64" s="27" customFormat="1" ht="12.75"/>
    <row r="65" spans="2:8" s="27" customFormat="1" ht="12.75">
      <c r="B65" s="27">
        <v>151000000</v>
      </c>
      <c r="C65" s="1">
        <v>384000</v>
      </c>
      <c r="H65" s="27">
        <f>SUM(D46:D49)</f>
        <v>992182.4800000002</v>
      </c>
    </row>
    <row r="66" spans="2:3" s="27" customFormat="1" ht="13.5" thickBot="1">
      <c r="B66" s="24">
        <f>B59/B65</f>
        <v>0.9238067434917477</v>
      </c>
      <c r="C66" s="24">
        <f>C59/C65</f>
        <v>1.0662913020833336</v>
      </c>
    </row>
    <row r="67" spans="2:9" s="27" customFormat="1" ht="12.75">
      <c r="B67" s="57">
        <v>0.001148</v>
      </c>
      <c r="C67" s="1" t="s">
        <v>116</v>
      </c>
      <c r="G67" s="91"/>
      <c r="H67" s="107" t="s">
        <v>195</v>
      </c>
      <c r="I67" s="93"/>
    </row>
    <row r="68" spans="2:9" s="27" customFormat="1" ht="12.75">
      <c r="B68" s="27">
        <f>ROUND(B59*B67,0)</f>
        <v>160140</v>
      </c>
      <c r="C68" s="1" t="s">
        <v>117</v>
      </c>
      <c r="G68" s="105" t="s">
        <v>194</v>
      </c>
      <c r="H68" s="94"/>
      <c r="I68" s="95"/>
    </row>
    <row r="69" spans="7:9" s="27" customFormat="1" ht="12.75">
      <c r="G69" s="96" t="s">
        <v>186</v>
      </c>
      <c r="H69" s="97"/>
      <c r="I69" s="98" t="s">
        <v>187</v>
      </c>
    </row>
    <row r="70" spans="1:9" ht="12.75">
      <c r="A70" t="str">
        <f>A28</f>
        <v>August</v>
      </c>
      <c r="B70" s="27">
        <f>B$65*C70-500000</f>
        <v>12205923.183307305</v>
      </c>
      <c r="C70" s="56">
        <f>C28</f>
        <v>0.08414518664441924</v>
      </c>
      <c r="D70" s="27">
        <f>3422+263</f>
        <v>3685</v>
      </c>
      <c r="E70" s="27">
        <f>D70*9.62</f>
        <v>35449.7</v>
      </c>
      <c r="G70" s="99"/>
      <c r="H70" s="100"/>
      <c r="I70" s="101"/>
    </row>
    <row r="71" spans="1:9" ht="12.75">
      <c r="A71" t="str">
        <f>A29</f>
        <v>September</v>
      </c>
      <c r="B71" s="27">
        <f>B$65*C71-500000</f>
        <v>12006946.965729017</v>
      </c>
      <c r="C71" s="56">
        <f>C29</f>
        <v>0.08282746334919878</v>
      </c>
      <c r="D71" s="27">
        <f>3313+263</f>
        <v>3576</v>
      </c>
      <c r="E71" s="27">
        <f>D71*9.62</f>
        <v>34401.119999999995</v>
      </c>
      <c r="G71" s="99">
        <v>0.001806</v>
      </c>
      <c r="H71" s="106" t="s">
        <v>188</v>
      </c>
      <c r="I71" s="101">
        <v>0.005783</v>
      </c>
    </row>
    <row r="72" spans="1:9" ht="12.75">
      <c r="A72" t="str">
        <f>A30</f>
        <v>October</v>
      </c>
      <c r="B72" s="27">
        <f>B$65*C72-500000</f>
        <v>12332012.550597573</v>
      </c>
      <c r="C72" s="56">
        <f>C30</f>
        <v>0.08498021556687134</v>
      </c>
      <c r="D72" s="27">
        <f>3424+263</f>
        <v>3687</v>
      </c>
      <c r="E72" s="27">
        <f>D72*9.62</f>
        <v>35468.939999999995</v>
      </c>
      <c r="G72" s="116">
        <v>0.001148</v>
      </c>
      <c r="H72" s="117" t="s">
        <v>189</v>
      </c>
      <c r="I72" s="118">
        <v>0.003678</v>
      </c>
    </row>
    <row r="73" spans="1:9" ht="12.75">
      <c r="A73" t="str">
        <f>A31</f>
        <v>November</v>
      </c>
      <c r="B73" s="27">
        <f>B$65*C73-500000</f>
        <v>12404889.434134562</v>
      </c>
      <c r="C73" s="56">
        <f>C31</f>
        <v>0.08546284393466597</v>
      </c>
      <c r="D73" s="27">
        <f>3315+263</f>
        <v>3578</v>
      </c>
      <c r="E73" s="27">
        <f>D73*9.62</f>
        <v>34420.36</v>
      </c>
      <c r="G73" s="99">
        <v>0.195271</v>
      </c>
      <c r="H73" s="106" t="s">
        <v>190</v>
      </c>
      <c r="I73" s="101">
        <v>0.625371</v>
      </c>
    </row>
    <row r="74" spans="1:9" ht="12.75">
      <c r="A74" t="str">
        <f>A32</f>
        <v>December</v>
      </c>
      <c r="B74" s="27">
        <f>B$65*C74-500000</f>
        <v>12414945.88592461</v>
      </c>
      <c r="C74" s="56">
        <f>C32</f>
        <v>0.0855294429531431</v>
      </c>
      <c r="D74" s="27">
        <f>3427+263</f>
        <v>3690</v>
      </c>
      <c r="E74" s="27">
        <f>D74*9.62</f>
        <v>35497.799999999996</v>
      </c>
      <c r="G74" s="99">
        <v>0.120059</v>
      </c>
      <c r="H74" s="106" t="s">
        <v>191</v>
      </c>
      <c r="I74" s="101">
        <v>0.384498</v>
      </c>
    </row>
    <row r="75" spans="7:9" ht="12.75">
      <c r="G75" s="99">
        <v>0.097704</v>
      </c>
      <c r="H75" s="106" t="s">
        <v>192</v>
      </c>
      <c r="I75" s="101">
        <v>0.312905</v>
      </c>
    </row>
    <row r="76" spans="2:9" ht="12.75">
      <c r="B76" s="27">
        <f>ROUND(B59+SUM(B70:B74),-6)</f>
        <v>201000000</v>
      </c>
      <c r="E76" s="27">
        <f>ROUND(C59+SUM(E70:E74),-3)</f>
        <v>585000</v>
      </c>
      <c r="G76" s="99">
        <v>0.101043</v>
      </c>
      <c r="H76" s="106" t="s">
        <v>193</v>
      </c>
      <c r="I76" s="101">
        <v>0.323597</v>
      </c>
    </row>
    <row r="77" spans="7:9" ht="12.75">
      <c r="G77" s="99"/>
      <c r="H77" s="100"/>
      <c r="I77" s="101"/>
    </row>
    <row r="78" spans="2:9" ht="13.5" thickBot="1">
      <c r="B78" s="2">
        <v>0.0193</v>
      </c>
      <c r="C78" s="57">
        <f>B67</f>
        <v>0.001148</v>
      </c>
      <c r="G78" s="102"/>
      <c r="H78" s="103"/>
      <c r="I78" s="104"/>
    </row>
    <row r="79" ht="12.75">
      <c r="C79" s="27">
        <f>B76*C78</f>
        <v>230748</v>
      </c>
    </row>
    <row r="80" ht="12.75">
      <c r="B80" s="1">
        <f>ROUND(B76*B78,-3)</f>
        <v>3879000</v>
      </c>
    </row>
    <row r="81" spans="1:24" s="20" customFormat="1" ht="15.75">
      <c r="A81" s="85" t="s">
        <v>48</v>
      </c>
      <c r="B81" s="21"/>
      <c r="C81" s="21"/>
      <c r="D81" s="21"/>
      <c r="E81" s="21"/>
      <c r="F81" s="25"/>
      <c r="G81" s="29"/>
      <c r="H81" s="25"/>
      <c r="I81" s="29"/>
      <c r="U81" s="25"/>
      <c r="V81" s="25"/>
      <c r="W81" s="25"/>
      <c r="X81" s="25"/>
    </row>
    <row r="83" spans="2:24" s="4" customFormat="1" ht="38.25">
      <c r="B83" s="5" t="s">
        <v>175</v>
      </c>
      <c r="C83" s="5" t="s">
        <v>174</v>
      </c>
      <c r="D83" s="5" t="s">
        <v>173</v>
      </c>
      <c r="E83" s="5" t="s">
        <v>51</v>
      </c>
      <c r="F83" s="26" t="s">
        <v>55</v>
      </c>
      <c r="G83" s="30" t="s">
        <v>70</v>
      </c>
      <c r="H83" s="26" t="s">
        <v>56</v>
      </c>
      <c r="I83" s="30"/>
      <c r="J83" s="4" t="s">
        <v>71</v>
      </c>
      <c r="K83" s="4" t="s">
        <v>72</v>
      </c>
      <c r="O83" s="5" t="s">
        <v>102</v>
      </c>
      <c r="P83" s="6" t="s">
        <v>101</v>
      </c>
      <c r="Q83" s="5" t="s">
        <v>103</v>
      </c>
      <c r="R83" s="5" t="s">
        <v>104</v>
      </c>
      <c r="S83" s="5" t="s">
        <v>98</v>
      </c>
      <c r="T83" s="5" t="s">
        <v>99</v>
      </c>
      <c r="U83" s="26"/>
      <c r="V83" s="26"/>
      <c r="W83" s="26"/>
      <c r="X83" s="26"/>
    </row>
    <row r="84" spans="2:24" s="22" customFormat="1" ht="12.75">
      <c r="B84" s="23"/>
      <c r="C84" s="23"/>
      <c r="D84" s="23"/>
      <c r="E84" s="23"/>
      <c r="F84" s="26"/>
      <c r="G84" s="30"/>
      <c r="H84" s="26"/>
      <c r="I84" s="30"/>
      <c r="U84" s="26"/>
      <c r="V84" s="26"/>
      <c r="W84" s="26"/>
      <c r="X84" s="26"/>
    </row>
    <row r="85" ht="12.75">
      <c r="A85" s="66" t="s">
        <v>202</v>
      </c>
    </row>
    <row r="86" spans="1:16" ht="12.75">
      <c r="A86" t="s">
        <v>3</v>
      </c>
      <c r="B86" s="1">
        <f>'GS&gt;50'!E7</f>
        <v>74971.67724241162</v>
      </c>
      <c r="C86" s="1">
        <v>77026.37</v>
      </c>
      <c r="D86" s="1">
        <f>'GS&gt;50'!B7</f>
        <v>197842.58000000005</v>
      </c>
      <c r="E86" s="1">
        <f>'GS&gt;50'!C72</f>
        <v>30838858.94</v>
      </c>
      <c r="F86" s="27">
        <v>1452000</v>
      </c>
      <c r="G86" s="27">
        <f>E86</f>
        <v>30838858.94</v>
      </c>
      <c r="H86" s="27">
        <v>617065</v>
      </c>
      <c r="J86" s="3">
        <f>'GS&gt;50'!B156</f>
        <v>-16339.249999999998</v>
      </c>
      <c r="K86" s="3">
        <f>'GS&gt;50'!E156</f>
        <v>27232.109999999997</v>
      </c>
      <c r="M86" s="3">
        <f>B86</f>
        <v>74971.67724241162</v>
      </c>
      <c r="N86" s="24">
        <f>M86/M$99</f>
        <v>0.07470225182467587</v>
      </c>
      <c r="O86" s="3">
        <f>'[11]Summary'!$B$88</f>
        <v>81335.76</v>
      </c>
      <c r="P86" s="1">
        <f>103884.31+138108.33</f>
        <v>241992.63999999998</v>
      </c>
    </row>
    <row r="87" spans="1:16" ht="12.75">
      <c r="A87" t="s">
        <v>4</v>
      </c>
      <c r="B87" s="1">
        <f>'GS&gt;50'!E11</f>
        <v>80240.40000000004</v>
      </c>
      <c r="C87" s="1">
        <f>195167.52-77026.37</f>
        <v>118141.15</v>
      </c>
      <c r="D87" s="1">
        <f>'GS&gt;50'!B11</f>
        <v>211746.41000000024</v>
      </c>
      <c r="E87" s="1">
        <f>'GS&gt;50'!C78</f>
        <v>36543316.32</v>
      </c>
      <c r="G87" s="27">
        <f aca="true" t="shared" si="6" ref="G87:G97">E87</f>
        <v>36543316.32</v>
      </c>
      <c r="J87" s="3">
        <f>'GS&gt;50'!B160</f>
        <v>-16351.73</v>
      </c>
      <c r="K87" s="3">
        <f>'GS&gt;50'!E160</f>
        <v>27252.91</v>
      </c>
      <c r="M87" s="3">
        <f aca="true" t="shared" si="7" ref="M87:M96">B87</f>
        <v>80240.40000000004</v>
      </c>
      <c r="N87" s="24">
        <f aca="true" t="shared" si="8" ref="N87:N97">M87/M$99</f>
        <v>0.07995204039428677</v>
      </c>
      <c r="O87" s="3">
        <f>'[11]Summary'!$B$89</f>
        <v>65541.65999999999</v>
      </c>
      <c r="P87" s="1">
        <f>179722.3-103884.31+249398.11-138108.33</f>
        <v>187127.77</v>
      </c>
    </row>
    <row r="88" spans="1:16" ht="12.75">
      <c r="A88" t="s">
        <v>5</v>
      </c>
      <c r="B88" s="1">
        <f>'GS&gt;50'!E16</f>
        <v>83603.31999999999</v>
      </c>
      <c r="C88" s="1">
        <f>285373.86-195167.52</f>
        <v>90206.34</v>
      </c>
      <c r="D88" s="1">
        <f>'GS&gt;50'!B16</f>
        <v>220620.6100000003</v>
      </c>
      <c r="E88" s="1">
        <f>'GS&gt;50'!C84</f>
        <v>33030121.38000001</v>
      </c>
      <c r="G88" s="27">
        <f t="shared" si="6"/>
        <v>33030121.38000001</v>
      </c>
      <c r="J88" s="3">
        <f>'GS&gt;50'!B164</f>
        <v>-16322.630000000001</v>
      </c>
      <c r="K88" s="3">
        <f>'GS&gt;50'!E164</f>
        <v>27204.383333333335</v>
      </c>
      <c r="M88" s="3">
        <f t="shared" si="7"/>
        <v>83603.31999999999</v>
      </c>
      <c r="N88" s="24">
        <f t="shared" si="8"/>
        <v>0.08330287508208432</v>
      </c>
      <c r="O88" s="3">
        <f>'[11]Summary'!$B$90</f>
        <v>69622.18</v>
      </c>
      <c r="P88" s="1">
        <f>257621.44-179722.3+402955.78-249398.11</f>
        <v>231456.81000000006</v>
      </c>
    </row>
    <row r="89" spans="1:20" ht="12.75">
      <c r="A89" t="s">
        <v>6</v>
      </c>
      <c r="B89" s="1">
        <f>'GS&gt;50'!E22</f>
        <v>89216.57999999997</v>
      </c>
      <c r="C89" s="1">
        <f>381386.5-285373.86</f>
        <v>96012.64000000001</v>
      </c>
      <c r="D89" s="1">
        <f>'GS&gt;50'!B22</f>
        <v>235433.48999999985</v>
      </c>
      <c r="E89" s="1">
        <f>'GS&gt;50'!C90</f>
        <v>35454226.22</v>
      </c>
      <c r="G89" s="27">
        <f t="shared" si="6"/>
        <v>35454226.22</v>
      </c>
      <c r="J89" s="3">
        <f>'GS&gt;50'!B168</f>
        <v>-16634.410000000003</v>
      </c>
      <c r="K89" s="3">
        <f>'GS&gt;50'!E168</f>
        <v>27724.016666666674</v>
      </c>
      <c r="M89" s="3">
        <f t="shared" si="7"/>
        <v>89216.57999999997</v>
      </c>
      <c r="N89" s="24">
        <f t="shared" si="8"/>
        <v>0.08889596273199175</v>
      </c>
      <c r="O89" s="3">
        <f>'[11]Summary'!$B$91</f>
        <v>76120.55</v>
      </c>
      <c r="P89" s="1">
        <f>353938.42-257621.44+605931.51-402955.78</f>
        <v>299292.70999999996</v>
      </c>
      <c r="Q89" s="3"/>
      <c r="R89" s="27"/>
      <c r="S89" s="3"/>
      <c r="T89" s="3"/>
    </row>
    <row r="90" spans="1:20" ht="12.75">
      <c r="A90" t="s">
        <v>7</v>
      </c>
      <c r="B90" s="1">
        <f>'GS&gt;50'!E26</f>
        <v>84348.40999999995</v>
      </c>
      <c r="C90" s="1">
        <f>104348.37-2441.42</f>
        <v>101906.95</v>
      </c>
      <c r="D90" s="1">
        <f>'GS&gt;50'!B26</f>
        <v>222586.86000000028</v>
      </c>
      <c r="E90" s="1">
        <f>'GS&gt;50'!C96</f>
        <v>32686811.49</v>
      </c>
      <c r="G90" s="27">
        <f t="shared" si="6"/>
        <v>32686811.49</v>
      </c>
      <c r="J90" s="3">
        <f>'GS&gt;50'!B172</f>
        <v>-16429.190000000002</v>
      </c>
      <c r="K90" s="3">
        <f>'GS&gt;50'!E172</f>
        <v>27381.983333333337</v>
      </c>
      <c r="M90" s="3">
        <f>B90+B104</f>
        <v>166200.4573996471</v>
      </c>
      <c r="N90" s="24">
        <f t="shared" si="8"/>
        <v>0.1656031834782169</v>
      </c>
      <c r="O90" s="3">
        <f>'[11]Summary'!$B$92</f>
        <v>38276.329999999994</v>
      </c>
      <c r="P90" s="1">
        <f>375472.92-353938.42+706938.88-605931.51</f>
        <v>122541.87</v>
      </c>
      <c r="Q90" s="3">
        <f>SUM(P$86:P90)/SUM(O$86:O90)</f>
        <v>3.2711493334713015</v>
      </c>
      <c r="R90" s="27">
        <f>Q90*SUM(B$86:B90)</f>
        <v>1348957.828864652</v>
      </c>
      <c r="S90" s="3">
        <f>SUM(C$86:D90)-R90</f>
        <v>222565.57113534887</v>
      </c>
      <c r="T90" s="3">
        <f>R90-SUM(P$86:P90)</f>
        <v>266546.02886465215</v>
      </c>
    </row>
    <row r="91" spans="1:16" ht="12.75">
      <c r="A91" t="s">
        <v>8</v>
      </c>
      <c r="B91" s="1">
        <f>'GS&gt;50'!E30</f>
        <v>77465.25</v>
      </c>
      <c r="C91" s="1">
        <f>575481.79-483293.45</f>
        <v>92188.34000000003</v>
      </c>
      <c r="D91" s="1">
        <f>'GS&gt;50'!B30</f>
        <v>204422.94000000018</v>
      </c>
      <c r="E91" s="1">
        <f>'GS&gt;50'!C102</f>
        <v>27602201.2</v>
      </c>
      <c r="G91" s="27">
        <f t="shared" si="6"/>
        <v>27602201.2</v>
      </c>
      <c r="J91" s="3">
        <f>'GS&gt;50'!B176</f>
        <v>-16433.089999999997</v>
      </c>
      <c r="K91" s="3">
        <f>'GS&gt;50'!E176</f>
        <v>27388.48333333333</v>
      </c>
      <c r="M91" s="3">
        <f t="shared" si="7"/>
        <v>77465.25</v>
      </c>
      <c r="N91" s="24">
        <f t="shared" si="8"/>
        <v>0.07718686343978245</v>
      </c>
      <c r="O91" s="3">
        <f>'[11]Summary'!$B$93</f>
        <v>78920.88</v>
      </c>
      <c r="P91" s="1">
        <f>465786.16-375472.92+915203.21-706938.88</f>
        <v>298577.56999999995</v>
      </c>
    </row>
    <row r="92" spans="1:16" ht="12.75">
      <c r="A92" t="s">
        <v>9</v>
      </c>
      <c r="B92" s="1">
        <f>'GS&gt;50'!E34</f>
        <v>84327.09</v>
      </c>
      <c r="C92" s="1">
        <f>672182.06-575481.79</f>
        <v>96700.27000000002</v>
      </c>
      <c r="D92" s="1">
        <f>'GS&gt;50'!B34</f>
        <v>222572.59</v>
      </c>
      <c r="E92" s="1">
        <f>'GS&gt;50'!C108</f>
        <v>29710979.29</v>
      </c>
      <c r="G92" s="27">
        <f t="shared" si="6"/>
        <v>29710979.29</v>
      </c>
      <c r="J92" s="3">
        <f>'GS&gt;50'!B180</f>
        <v>-18215.05</v>
      </c>
      <c r="K92" s="3">
        <f>'GS&gt;50'!E180</f>
        <v>30358.47</v>
      </c>
      <c r="M92" s="3">
        <f t="shared" si="7"/>
        <v>84327.09</v>
      </c>
      <c r="N92" s="24">
        <f t="shared" si="8"/>
        <v>0.08402404407271963</v>
      </c>
      <c r="O92" s="3">
        <f>'[11]Summary'!$B$94</f>
        <v>81118.73</v>
      </c>
      <c r="P92" s="1">
        <f>560645.29-465786.16+1129267.2-915203.21</f>
        <v>308923.1200000001</v>
      </c>
    </row>
    <row r="93" spans="1:16" ht="12.75">
      <c r="A93" t="s">
        <v>10</v>
      </c>
      <c r="B93" s="1">
        <f>'GS&gt;50'!E38</f>
        <v>86914.65383303649</v>
      </c>
      <c r="C93" s="1">
        <f>95513.6-384.43</f>
        <v>95129.17000000001</v>
      </c>
      <c r="D93" s="1">
        <f>'GS&gt;50'!B38</f>
        <v>229359.08000000002</v>
      </c>
      <c r="E93" s="1">
        <f>'GS&gt;50'!C114</f>
        <v>0</v>
      </c>
      <c r="G93" s="27">
        <f t="shared" si="6"/>
        <v>0</v>
      </c>
      <c r="J93" s="3">
        <f>'GS&gt;50'!B184</f>
        <v>0</v>
      </c>
      <c r="K93" s="3">
        <f>'GS&gt;50'!E184</f>
        <v>0</v>
      </c>
      <c r="M93" s="3">
        <f t="shared" si="7"/>
        <v>86914.65383303649</v>
      </c>
      <c r="N93" s="24">
        <f t="shared" si="8"/>
        <v>0.08660230898792107</v>
      </c>
      <c r="O93" s="3">
        <f>'[11]Summary'!$B$95</f>
        <v>82272.65</v>
      </c>
      <c r="P93" s="1">
        <f>654931.35-560645.29+1346376.25-1129267.2</f>
        <v>311395.1100000001</v>
      </c>
    </row>
    <row r="94" spans="1:16" ht="12.75">
      <c r="A94" t="s">
        <v>11</v>
      </c>
      <c r="B94" s="1">
        <f>'GS&gt;50'!E42</f>
        <v>85282.2577589147</v>
      </c>
      <c r="C94" s="1">
        <f>107255.19-445.12</f>
        <v>106810.07</v>
      </c>
      <c r="D94" s="1">
        <f>'GS&gt;50'!B42</f>
        <v>225051.34999999998</v>
      </c>
      <c r="E94" s="1">
        <f>'GS&gt;50'!C120</f>
        <v>0</v>
      </c>
      <c r="G94" s="27">
        <f t="shared" si="6"/>
        <v>0</v>
      </c>
      <c r="J94" s="3">
        <f>'GS&gt;50'!B188</f>
        <v>0</v>
      </c>
      <c r="K94" s="3">
        <f>'GS&gt;50'!E188</f>
        <v>0</v>
      </c>
      <c r="M94" s="3">
        <f t="shared" si="7"/>
        <v>85282.2577589147</v>
      </c>
      <c r="N94" s="24">
        <f t="shared" si="8"/>
        <v>0.08497577924906556</v>
      </c>
      <c r="O94" s="3">
        <f>'[11]Summary'!$B$96</f>
        <v>79621.42000000001</v>
      </c>
      <c r="P94" s="1">
        <f>750154.46-654931.35+1556489.02-1346376.25</f>
        <v>305335.8799999999</v>
      </c>
    </row>
    <row r="95" spans="1:16" ht="12.75">
      <c r="A95" t="s">
        <v>12</v>
      </c>
      <c r="B95" s="1">
        <f>'GS&gt;50'!E46</f>
        <v>85706.10102694306</v>
      </c>
      <c r="C95" s="1">
        <f>104354.79-5564.07</f>
        <v>98790.72</v>
      </c>
      <c r="D95" s="1">
        <f>'GS&gt;50'!B46</f>
        <v>226169.83000000002</v>
      </c>
      <c r="E95" s="1">
        <f>'GS&gt;50'!C126</f>
        <v>0</v>
      </c>
      <c r="G95" s="27">
        <f t="shared" si="6"/>
        <v>0</v>
      </c>
      <c r="J95" s="3">
        <f>'GS&gt;50'!B192</f>
        <v>0</v>
      </c>
      <c r="K95" s="3">
        <f>'GS&gt;50'!E192</f>
        <v>0</v>
      </c>
      <c r="M95" s="3">
        <f t="shared" si="7"/>
        <v>85706.10102694306</v>
      </c>
      <c r="N95" s="24">
        <f t="shared" si="8"/>
        <v>0.08539809935323067</v>
      </c>
      <c r="O95" s="3">
        <f>'[11]Summary'!$B$97</f>
        <v>88372.22</v>
      </c>
      <c r="P95" s="1">
        <f>846396.41-750154.46+1789694.35-1556489.02</f>
        <v>329447.28000000026</v>
      </c>
    </row>
    <row r="96" spans="1:16" ht="12.75">
      <c r="A96" t="s">
        <v>13</v>
      </c>
      <c r="B96" s="1">
        <f>'GS&gt;50'!E50</f>
        <v>89678.86998370533</v>
      </c>
      <c r="C96" s="1">
        <f>102729.57-1227.46</f>
        <v>101502.11</v>
      </c>
      <c r="D96" s="1">
        <f>'GS&gt;50'!B50</f>
        <v>236653.57</v>
      </c>
      <c r="E96" s="1">
        <f>'GS&gt;50'!C132</f>
        <v>0</v>
      </c>
      <c r="G96" s="27">
        <f t="shared" si="6"/>
        <v>0</v>
      </c>
      <c r="J96" s="3">
        <f>'GS&gt;50'!B196</f>
        <v>0</v>
      </c>
      <c r="K96" s="3">
        <f>'GS&gt;50'!E196</f>
        <v>0</v>
      </c>
      <c r="M96" s="3">
        <f t="shared" si="7"/>
        <v>89678.86998370533</v>
      </c>
      <c r="N96" s="24">
        <f t="shared" si="8"/>
        <v>0.08935659138602495</v>
      </c>
      <c r="O96" s="3">
        <f>'[11]Summary'!$B$98</f>
        <v>81256.24</v>
      </c>
      <c r="P96" s="1">
        <f>946576.32-846396.41+2004121.18-1789694.35</f>
        <v>314606.73999999976</v>
      </c>
    </row>
    <row r="97" spans="1:24" s="74" customFormat="1" ht="12.75">
      <c r="A97" s="74" t="s">
        <v>14</v>
      </c>
      <c r="B97" s="111">
        <f>'GS&gt;50'!E54</f>
        <v>84698.30611239531</v>
      </c>
      <c r="C97" s="111">
        <f>89618.57-2785.4</f>
        <v>86833.17000000001</v>
      </c>
      <c r="D97" s="111">
        <f>'GS&gt;50'!B54</f>
        <v>223510.36</v>
      </c>
      <c r="E97" s="111">
        <f>'GS&gt;50'!C138</f>
        <v>0</v>
      </c>
      <c r="F97" s="112"/>
      <c r="G97" s="112">
        <f t="shared" si="6"/>
        <v>0</v>
      </c>
      <c r="H97" s="112"/>
      <c r="I97" s="120"/>
      <c r="J97" s="121">
        <f>'GS&gt;50'!B200</f>
        <v>0</v>
      </c>
      <c r="K97" s="121">
        <f>'GS&gt;50'!E200</f>
        <v>0</v>
      </c>
      <c r="M97" s="113">
        <f>B106</f>
        <v>0</v>
      </c>
      <c r="N97" s="120">
        <f t="shared" si="8"/>
        <v>0</v>
      </c>
      <c r="O97" s="121">
        <f>'[11]Summary'!$B$99</f>
        <v>80528.87</v>
      </c>
      <c r="P97" s="111">
        <f>1028540.19-946576.32+2216628.69-2004121.18</f>
        <v>294471.3800000001</v>
      </c>
      <c r="U97" s="112"/>
      <c r="V97" s="112"/>
      <c r="W97" s="112"/>
      <c r="X97" s="112"/>
    </row>
    <row r="98" spans="1:20" ht="12.75">
      <c r="A98" s="114" t="s">
        <v>203</v>
      </c>
      <c r="B98" s="8"/>
      <c r="C98" s="8"/>
      <c r="D98" s="8"/>
      <c r="E98" s="8"/>
      <c r="F98" s="28"/>
      <c r="G98" s="28"/>
      <c r="H98" s="28"/>
      <c r="I98" s="31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</row>
    <row r="99" spans="2:20" ht="12.75">
      <c r="B99" s="59">
        <f aca="true" t="shared" si="9" ref="B99:T99">SUM(B85:B98)</f>
        <v>1006452.9159574066</v>
      </c>
      <c r="C99" s="59">
        <f t="shared" si="9"/>
        <v>1161247.3</v>
      </c>
      <c r="D99" s="59">
        <f t="shared" si="9"/>
        <v>2655969.670000001</v>
      </c>
      <c r="E99" s="143">
        <f t="shared" si="9"/>
        <v>225866514.84</v>
      </c>
      <c r="F99" s="143">
        <f t="shared" si="9"/>
        <v>1452000</v>
      </c>
      <c r="G99" s="143">
        <f t="shared" si="9"/>
        <v>225866514.84</v>
      </c>
      <c r="H99" s="143">
        <f t="shared" si="9"/>
        <v>617065</v>
      </c>
      <c r="I99" s="143">
        <f t="shared" si="9"/>
        <v>0</v>
      </c>
      <c r="J99" s="143">
        <f t="shared" si="9"/>
        <v>-116725.35</v>
      </c>
      <c r="K99" s="143">
        <f t="shared" si="9"/>
        <v>194542.3566666667</v>
      </c>
      <c r="L99" s="143">
        <f t="shared" si="9"/>
        <v>0</v>
      </c>
      <c r="M99" s="143">
        <f t="shared" si="9"/>
        <v>1003606.6572446583</v>
      </c>
      <c r="N99" s="143">
        <f t="shared" si="9"/>
        <v>0.9999999999999999</v>
      </c>
      <c r="O99" s="143">
        <f t="shared" si="9"/>
        <v>902987.49</v>
      </c>
      <c r="P99" s="143">
        <f t="shared" si="9"/>
        <v>3245168.88</v>
      </c>
      <c r="Q99" s="143">
        <f t="shared" si="9"/>
        <v>3.2711493334713015</v>
      </c>
      <c r="R99" s="143">
        <f t="shared" si="9"/>
        <v>1348957.828864652</v>
      </c>
      <c r="S99" s="143">
        <f t="shared" si="9"/>
        <v>222565.57113534887</v>
      </c>
      <c r="T99" s="143">
        <f t="shared" si="9"/>
        <v>266546.02886465215</v>
      </c>
    </row>
    <row r="100" spans="2:4" ht="12.75">
      <c r="B100" s="1">
        <f>+B99-'GS&gt;50'!E55</f>
        <v>0</v>
      </c>
      <c r="D100" s="1">
        <f>+D99-'GS&gt;50'!I54</f>
        <v>0</v>
      </c>
    </row>
    <row r="101" spans="1:16" ht="12.75">
      <c r="A101" t="str">
        <f>A70</f>
        <v>August</v>
      </c>
      <c r="B101" s="27">
        <f>C101*B$115-1000</f>
        <v>85656.12202751638</v>
      </c>
      <c r="C101" s="24">
        <f>'[16]kWh'!K12</f>
        <v>0.0883344770922695</v>
      </c>
      <c r="D101" s="1">
        <f>E101*202.33</f>
        <v>80527.34000000001</v>
      </c>
      <c r="E101" s="27">
        <v>398</v>
      </c>
      <c r="F101" s="24">
        <f>C70</f>
        <v>0.08414518664441924</v>
      </c>
      <c r="G101" s="27">
        <f>F101*G$115-750000+1000000</f>
        <v>31131283.49850186</v>
      </c>
      <c r="P101" s="27">
        <f>1028540.19+2216628.69</f>
        <v>3245168.88</v>
      </c>
    </row>
    <row r="102" spans="1:7" ht="12.75">
      <c r="A102" t="str">
        <f>A71</f>
        <v>September</v>
      </c>
      <c r="B102" s="27">
        <f>C102*B$115-1000</f>
        <v>86249.41807039507</v>
      </c>
      <c r="C102" s="24">
        <f>'[16]kWh'!K13</f>
        <v>0.08893926408806838</v>
      </c>
      <c r="D102" s="1">
        <f>E102*202.33</f>
        <v>78099.38</v>
      </c>
      <c r="E102" s="27">
        <v>386</v>
      </c>
      <c r="F102" s="24">
        <f>C71</f>
        <v>0.08282746334919878</v>
      </c>
      <c r="G102" s="27">
        <f>F102*G$115-750000+1000000</f>
        <v>30647679.049155954</v>
      </c>
    </row>
    <row r="103" spans="1:11" ht="12.75">
      <c r="A103" t="str">
        <f>A72</f>
        <v>October</v>
      </c>
      <c r="B103" s="27">
        <f>C103*B$115-1000</f>
        <v>78327.1709096032</v>
      </c>
      <c r="C103" s="24">
        <f>'[16]kWh'!K14</f>
        <v>0.08086357890887176</v>
      </c>
      <c r="D103" s="1">
        <f>E103*202.33</f>
        <v>80932</v>
      </c>
      <c r="E103" s="27">
        <v>400</v>
      </c>
      <c r="F103" s="24">
        <f>C72</f>
        <v>0.08498021556687134</v>
      </c>
      <c r="G103" s="27">
        <f>F103*G$115-750000+1000000</f>
        <v>31437739.11304178</v>
      </c>
      <c r="J103" s="27"/>
      <c r="K103" s="27"/>
    </row>
    <row r="104" spans="1:11" ht="12.75">
      <c r="A104" t="str">
        <f>A73</f>
        <v>November</v>
      </c>
      <c r="B104" s="27">
        <f>C104*B$115-1000</f>
        <v>81852.04739964716</v>
      </c>
      <c r="C104" s="24">
        <f>'[16]kWh'!K15</f>
        <v>0.08445672517802973</v>
      </c>
      <c r="D104" s="1">
        <f>E104*202.33</f>
        <v>78504.04000000001</v>
      </c>
      <c r="E104" s="27">
        <v>388</v>
      </c>
      <c r="F104" s="24">
        <f>C73</f>
        <v>0.08546284393466597</v>
      </c>
      <c r="G104" s="27">
        <f>F104*G$115-750000+1000000</f>
        <v>31614863.72402241</v>
      </c>
      <c r="J104" s="27"/>
      <c r="K104" s="27"/>
    </row>
    <row r="105" spans="1:11" ht="12.75">
      <c r="A105" t="str">
        <f>A74</f>
        <v>December</v>
      </c>
      <c r="B105" s="27">
        <f>C105*B$115-1000</f>
        <v>84539.32947621534</v>
      </c>
      <c r="C105" s="24">
        <f>'[16]kWh'!K16</f>
        <v>0.08719605451194223</v>
      </c>
      <c r="D105" s="1">
        <f>E105*202.33</f>
        <v>81336.66</v>
      </c>
      <c r="E105" s="27">
        <v>402</v>
      </c>
      <c r="F105" s="24">
        <f>C74</f>
        <v>0.0855294429531431</v>
      </c>
      <c r="G105" s="27">
        <f>F105*G$115-750000+1000000</f>
        <v>31639305.56380352</v>
      </c>
      <c r="J105" s="27"/>
      <c r="K105" s="27"/>
    </row>
    <row r="106" spans="2:11" ht="12.75">
      <c r="B106" s="27"/>
      <c r="C106" s="27"/>
      <c r="D106" s="27"/>
      <c r="E106" s="27"/>
      <c r="G106" s="27"/>
      <c r="J106" s="27"/>
      <c r="K106" s="27"/>
    </row>
    <row r="107" spans="2:20" ht="12.75">
      <c r="B107" s="27">
        <f>ROUND(SUM(B99:B105),-3)</f>
        <v>1423000</v>
      </c>
      <c r="C107" s="27"/>
      <c r="D107" s="27">
        <f>ROUND(C99+SUM(D101:D105),-3)</f>
        <v>1561000</v>
      </c>
      <c r="E107" s="27"/>
      <c r="G107" s="27">
        <f>ROUND(SUM(G99:G105),-6)</f>
        <v>382000000</v>
      </c>
      <c r="H107" s="24">
        <f>G107/(B107*24*30)</f>
        <v>0.3728429764972281</v>
      </c>
      <c r="J107" s="27"/>
      <c r="K107" s="27"/>
      <c r="R107" s="3"/>
      <c r="S107" s="3"/>
      <c r="T107" s="1"/>
    </row>
    <row r="108" spans="2:11" ht="12.75">
      <c r="B108" s="1">
        <f>ROUND(B107*2.6389,-3)</f>
        <v>3755000</v>
      </c>
      <c r="C108" s="27"/>
      <c r="D108" s="27"/>
      <c r="E108" s="27"/>
      <c r="G108" s="27"/>
      <c r="J108" s="27"/>
      <c r="K108" s="27"/>
    </row>
    <row r="109" ht="13.5" thickBot="1">
      <c r="G109" s="27"/>
    </row>
    <row r="110" spans="1:10" ht="12.75">
      <c r="A110" s="58" t="s">
        <v>196</v>
      </c>
      <c r="B110" s="58">
        <f>+B99*H116</f>
        <v>196531.06735191875</v>
      </c>
      <c r="G110" s="27"/>
      <c r="H110" s="91"/>
      <c r="I110" s="107" t="s">
        <v>195</v>
      </c>
      <c r="J110" s="93"/>
    </row>
    <row r="111" spans="1:10" ht="12.75">
      <c r="A111" s="58" t="s">
        <v>197</v>
      </c>
      <c r="B111" s="58">
        <f>+B99*J116</f>
        <v>629406.4665051993</v>
      </c>
      <c r="H111" s="105" t="s">
        <v>194</v>
      </c>
      <c r="I111" s="94"/>
      <c r="J111" s="95"/>
    </row>
    <row r="112" spans="1:10" ht="13.5" thickBot="1">
      <c r="A112" s="58" t="s">
        <v>198</v>
      </c>
      <c r="B112" s="126">
        <f>SUM(B110:B111)</f>
        <v>825937.5338571181</v>
      </c>
      <c r="H112" s="96" t="s">
        <v>186</v>
      </c>
      <c r="I112" s="97"/>
      <c r="J112" s="98" t="s">
        <v>187</v>
      </c>
    </row>
    <row r="113" spans="8:10" ht="12.75">
      <c r="H113" s="99"/>
      <c r="I113" s="100"/>
      <c r="J113" s="101"/>
    </row>
    <row r="114" spans="8:10" ht="12.75">
      <c r="H114" s="99">
        <v>0.001806</v>
      </c>
      <c r="I114" s="106" t="s">
        <v>188</v>
      </c>
      <c r="J114" s="101">
        <v>0.005783</v>
      </c>
    </row>
    <row r="115" spans="2:10" ht="12.75">
      <c r="B115" s="27">
        <v>981000</v>
      </c>
      <c r="D115" s="1">
        <v>1030000</v>
      </c>
      <c r="G115" s="27">
        <v>367000000</v>
      </c>
      <c r="H115" s="99">
        <v>0.001148</v>
      </c>
      <c r="I115" s="106" t="s">
        <v>189</v>
      </c>
      <c r="J115" s="101">
        <v>0.003678</v>
      </c>
    </row>
    <row r="116" spans="8:10" ht="12.75">
      <c r="H116" s="123">
        <v>0.195271</v>
      </c>
      <c r="I116" s="124" t="s">
        <v>190</v>
      </c>
      <c r="J116" s="125">
        <v>0.625371</v>
      </c>
    </row>
    <row r="117" spans="2:10" ht="12.75">
      <c r="B117" s="24">
        <f>B99/B115</f>
        <v>1.0259458878261025</v>
      </c>
      <c r="D117" s="24">
        <f>C99/D115</f>
        <v>1.127424563106796</v>
      </c>
      <c r="G117" s="24">
        <f>G99/G115</f>
        <v>0.6154400949318801</v>
      </c>
      <c r="H117" s="99">
        <v>0.120059</v>
      </c>
      <c r="I117" s="106" t="s">
        <v>191</v>
      </c>
      <c r="J117" s="101">
        <v>0.384498</v>
      </c>
    </row>
    <row r="118" spans="2:10" ht="12.75">
      <c r="B118" s="57">
        <v>0.195271</v>
      </c>
      <c r="C118" s="1" t="s">
        <v>116</v>
      </c>
      <c r="H118" s="99">
        <v>0.097704</v>
      </c>
      <c r="I118" s="106" t="s">
        <v>192</v>
      </c>
      <c r="J118" s="101">
        <v>0.312905</v>
      </c>
    </row>
    <row r="119" spans="2:10" ht="12.75">
      <c r="B119" s="27">
        <f>ROUND(B99*B118,0)</f>
        <v>196531</v>
      </c>
      <c r="C119" s="1" t="s">
        <v>117</v>
      </c>
      <c r="H119" s="99">
        <v>0.101043</v>
      </c>
      <c r="I119" s="106" t="s">
        <v>193</v>
      </c>
      <c r="J119" s="101">
        <v>0.323597</v>
      </c>
    </row>
    <row r="120" spans="2:10" ht="12.75">
      <c r="B120" s="27">
        <f>B118*B107</f>
        <v>277870.633</v>
      </c>
      <c r="H120" s="99"/>
      <c r="I120" s="100"/>
      <c r="J120" s="101"/>
    </row>
    <row r="121" spans="1:24" s="20" customFormat="1" ht="16.5" thickBot="1">
      <c r="A121" s="86" t="s">
        <v>52</v>
      </c>
      <c r="B121" s="21"/>
      <c r="C121" s="21"/>
      <c r="D121" s="21"/>
      <c r="E121" s="21"/>
      <c r="F121" s="25"/>
      <c r="G121" s="29"/>
      <c r="H121" s="102"/>
      <c r="I121" s="103"/>
      <c r="J121" s="104"/>
      <c r="U121" s="25"/>
      <c r="V121" s="25"/>
      <c r="W121" s="25"/>
      <c r="X121" s="25"/>
    </row>
    <row r="122" ht="12.75">
      <c r="U122" s="27" t="s">
        <v>111</v>
      </c>
    </row>
    <row r="123" spans="2:26" s="4" customFormat="1" ht="38.25">
      <c r="B123" s="5" t="s">
        <v>175</v>
      </c>
      <c r="C123" s="5" t="s">
        <v>174</v>
      </c>
      <c r="D123" s="5" t="s">
        <v>173</v>
      </c>
      <c r="E123" s="5" t="s">
        <v>51</v>
      </c>
      <c r="F123" s="26" t="s">
        <v>55</v>
      </c>
      <c r="G123" s="30" t="s">
        <v>70</v>
      </c>
      <c r="H123" s="26" t="s">
        <v>56</v>
      </c>
      <c r="I123" s="30"/>
      <c r="J123" s="4" t="s">
        <v>71</v>
      </c>
      <c r="K123" s="4" t="s">
        <v>72</v>
      </c>
      <c r="N123" s="5" t="s">
        <v>102</v>
      </c>
      <c r="O123" s="6" t="s">
        <v>101</v>
      </c>
      <c r="P123" s="5" t="s">
        <v>103</v>
      </c>
      <c r="Q123" s="5" t="s">
        <v>104</v>
      </c>
      <c r="R123" s="5" t="s">
        <v>98</v>
      </c>
      <c r="S123" s="5" t="s">
        <v>99</v>
      </c>
      <c r="U123" s="26" t="s">
        <v>24</v>
      </c>
      <c r="V123" s="26" t="s">
        <v>16</v>
      </c>
      <c r="W123" s="26" t="s">
        <v>100</v>
      </c>
      <c r="X123" s="26" t="s">
        <v>112</v>
      </c>
      <c r="Y123" s="4" t="s">
        <v>113</v>
      </c>
      <c r="Z123" s="4" t="s">
        <v>114</v>
      </c>
    </row>
    <row r="124" spans="2:24" s="4" customFormat="1" ht="12.75">
      <c r="B124" s="23"/>
      <c r="C124" s="5"/>
      <c r="D124" s="5"/>
      <c r="E124" s="5"/>
      <c r="F124" s="26"/>
      <c r="G124" s="30"/>
      <c r="H124" s="26"/>
      <c r="I124" s="30"/>
      <c r="U124" s="26"/>
      <c r="V124" s="26"/>
      <c r="W124" s="26"/>
      <c r="X124" s="26"/>
    </row>
    <row r="125" ht="12.75">
      <c r="A125" s="66" t="s">
        <v>202</v>
      </c>
    </row>
    <row r="126" spans="1:26" ht="12.75">
      <c r="A126" t="s">
        <v>3</v>
      </c>
      <c r="B126" s="27">
        <f>'GS TOU'!E9</f>
        <v>68606.97898127045</v>
      </c>
      <c r="C126" s="1">
        <f>19766.65</f>
        <v>19766.65</v>
      </c>
      <c r="D126" s="1">
        <f>'GS TOU'!B9</f>
        <v>138462.61</v>
      </c>
      <c r="E126" s="1">
        <f>'GS TOU'!C80</f>
        <v>30117354.779999994</v>
      </c>
      <c r="F126" s="27">
        <v>412000</v>
      </c>
      <c r="G126" s="27">
        <f>E126</f>
        <v>30117354.779999994</v>
      </c>
      <c r="H126" s="27">
        <v>194577</v>
      </c>
      <c r="J126" s="3">
        <f>'GS TOU'!B164</f>
        <v>-41164.21</v>
      </c>
      <c r="K126" s="3">
        <f>'GS TOU'!E164</f>
        <v>68607.01666666666</v>
      </c>
      <c r="L126" s="3">
        <f>B126</f>
        <v>68606.97898127045</v>
      </c>
      <c r="M126" s="24">
        <f>L126/L$139</f>
        <v>0.08826307079046344</v>
      </c>
      <c r="N126" s="3">
        <f>'[11]Summary'!$B$129</f>
        <v>70337.71</v>
      </c>
      <c r="O126" s="1">
        <f>18362.36+99422.35</f>
        <v>117784.71</v>
      </c>
      <c r="T126" s="76">
        <f>B126/N126</f>
        <v>0.9753939811414168</v>
      </c>
      <c r="U126" s="27">
        <v>2815</v>
      </c>
      <c r="V126" s="27">
        <v>1001179</v>
      </c>
      <c r="W126" s="27">
        <v>483.22</v>
      </c>
      <c r="X126" s="27">
        <v>3867.34</v>
      </c>
      <c r="Y126" s="3">
        <f>N126-U126</f>
        <v>67522.71</v>
      </c>
      <c r="Z126" s="3">
        <f>O126-W126-X126</f>
        <v>113434.15000000001</v>
      </c>
    </row>
    <row r="127" spans="1:26" ht="12.75">
      <c r="A127" t="s">
        <v>4</v>
      </c>
      <c r="B127" s="27">
        <f>'GS TOU'!E13</f>
        <v>69336.33</v>
      </c>
      <c r="C127" s="1">
        <f>39567.8-19766.65</f>
        <v>19801.15</v>
      </c>
      <c r="D127" s="1">
        <f>'GS TOU'!B13</f>
        <v>139934.57</v>
      </c>
      <c r="E127" s="1">
        <f>'GS TOU'!C86</f>
        <v>32158865.529999997</v>
      </c>
      <c r="G127" s="27">
        <f aca="true" t="shared" si="10" ref="G127:G137">E127</f>
        <v>32158865.529999997</v>
      </c>
      <c r="J127" s="3">
        <f>'GS TOU'!B169</f>
        <v>-41601.79</v>
      </c>
      <c r="K127" s="3">
        <f>'GS TOU'!E169</f>
        <v>69336.33</v>
      </c>
      <c r="L127" s="3">
        <f aca="true" t="shared" si="11" ref="L127:L136">B127</f>
        <v>69336.33</v>
      </c>
      <c r="M127" s="24">
        <f aca="true" t="shared" si="12" ref="M127:M137">L127/L$139</f>
        <v>0.08920138292070309</v>
      </c>
      <c r="N127" s="3">
        <f>'[11]Summary'!$B$130</f>
        <v>71365.11</v>
      </c>
      <c r="O127" s="1">
        <f>37932.6-18362.36+200296.95-99422.35</f>
        <v>120444.84</v>
      </c>
      <c r="T127" s="76">
        <f aca="true" t="shared" si="13" ref="T127:T132">B127/N127</f>
        <v>0.9715718227015975</v>
      </c>
      <c r="U127" s="27">
        <v>3039</v>
      </c>
      <c r="V127" s="27">
        <v>1066008</v>
      </c>
      <c r="W127" s="27">
        <v>515.43</v>
      </c>
      <c r="X127" s="27">
        <v>4152.86</v>
      </c>
      <c r="Y127" s="3">
        <f aca="true" t="shared" si="14" ref="Y127:Y137">N127-U127</f>
        <v>68326.11</v>
      </c>
      <c r="Z127" s="3">
        <f aca="true" t="shared" si="15" ref="Z127:Z137">O127-W127-X127</f>
        <v>115776.55</v>
      </c>
    </row>
    <row r="128" spans="1:26" ht="12.75">
      <c r="A128" t="s">
        <v>5</v>
      </c>
      <c r="B128" s="27">
        <f>'GS TOU'!E19</f>
        <v>66802.76999999999</v>
      </c>
      <c r="C128" s="1">
        <f>56954-39567.8</f>
        <v>17386.199999999997</v>
      </c>
      <c r="D128" s="1">
        <f>'GS TOU'!B19</f>
        <v>134821.35999999996</v>
      </c>
      <c r="E128" s="1">
        <f>'GS TOU'!C92</f>
        <v>29555875.2</v>
      </c>
      <c r="G128" s="27">
        <f t="shared" si="10"/>
        <v>29555875.2</v>
      </c>
      <c r="J128" s="3">
        <f>'GS TOU'!B174</f>
        <v>-40081.67</v>
      </c>
      <c r="K128" s="3">
        <f>'GS TOU'!E174</f>
        <v>66802.78333333334</v>
      </c>
      <c r="L128" s="3">
        <f t="shared" si="11"/>
        <v>66802.76999999999</v>
      </c>
      <c r="M128" s="24">
        <f t="shared" si="12"/>
        <v>0.08594195087818544</v>
      </c>
      <c r="N128" s="3">
        <f>'[11]Summary'!$B$131</f>
        <v>70544.19</v>
      </c>
      <c r="O128" s="1">
        <f>54492.16-37932.6+300057.7-200296.95</f>
        <v>116320.31</v>
      </c>
      <c r="T128" s="76">
        <f t="shared" si="13"/>
        <v>0.9469634565227836</v>
      </c>
      <c r="U128" s="27">
        <v>2273</v>
      </c>
      <c r="V128" s="27">
        <v>939403</v>
      </c>
      <c r="W128" s="27">
        <v>434.9</v>
      </c>
      <c r="X128" s="27">
        <v>3039.03</v>
      </c>
      <c r="Y128" s="3">
        <f t="shared" si="14"/>
        <v>68271.19</v>
      </c>
      <c r="Z128" s="3">
        <f t="shared" si="15"/>
        <v>112846.38</v>
      </c>
    </row>
    <row r="129" spans="1:30" ht="12.75">
      <c r="A129" t="s">
        <v>6</v>
      </c>
      <c r="B129" s="27">
        <f>'GS TOU'!E23</f>
        <v>68135.90999999999</v>
      </c>
      <c r="C129" s="1">
        <f>76686.15-56954</f>
        <v>19732.149999999994</v>
      </c>
      <c r="D129" s="1">
        <f>'GS TOU'!B23</f>
        <v>137511.94</v>
      </c>
      <c r="E129" s="1">
        <f>'GS TOU'!C98</f>
        <v>32616213.7</v>
      </c>
      <c r="G129" s="27">
        <f t="shared" si="10"/>
        <v>32616213.7</v>
      </c>
      <c r="J129" s="3">
        <f>'GS TOU'!B178</f>
        <v>-40881.53999999999</v>
      </c>
      <c r="K129" s="3">
        <f>'GS TOU'!E178</f>
        <v>68135.9</v>
      </c>
      <c r="L129" s="3">
        <f t="shared" si="11"/>
        <v>68135.90999999999</v>
      </c>
      <c r="M129" s="24">
        <f t="shared" si="12"/>
        <v>0.0876570392254762</v>
      </c>
      <c r="N129" s="3">
        <f>'[11]Summary'!$B$132</f>
        <v>72009.33</v>
      </c>
      <c r="O129" s="1">
        <f>74793.51-54492.16+445386.96-300057.7</f>
        <v>165630.61</v>
      </c>
      <c r="P129" s="1"/>
      <c r="Q129" s="27"/>
      <c r="R129" s="3"/>
      <c r="S129" s="3"/>
      <c r="T129" s="76">
        <f t="shared" si="13"/>
        <v>0.9462094703561328</v>
      </c>
      <c r="U129" s="27">
        <v>3076</v>
      </c>
      <c r="V129" s="27">
        <v>1110857</v>
      </c>
      <c r="W129" s="27">
        <v>534.7</v>
      </c>
      <c r="X129" s="27">
        <v>6123.22</v>
      </c>
      <c r="Y129" s="3">
        <f t="shared" si="14"/>
        <v>68933.33</v>
      </c>
      <c r="Z129" s="3">
        <f t="shared" si="15"/>
        <v>158972.68999999997</v>
      </c>
      <c r="AA129">
        <f>SUM(Z126:Z129)/SUM(Y126:Y129)</f>
        <v>1.8349153685503352</v>
      </c>
      <c r="AB129" s="3">
        <f>AA129*SUM(B126:B129)</f>
        <v>500715.3553823164</v>
      </c>
      <c r="AC129" s="3">
        <f>SUM(C126:D129)-AB129</f>
        <v>126701.27461768349</v>
      </c>
      <c r="AD129" s="3">
        <f>AB129-SUM(Z126:Z129)</f>
        <v>-314.41461768362205</v>
      </c>
    </row>
    <row r="130" spans="1:26" ht="12.75">
      <c r="A130" t="s">
        <v>7</v>
      </c>
      <c r="B130" s="27">
        <f>'GS TOU'!E27</f>
        <v>71426.31</v>
      </c>
      <c r="C130" s="1">
        <f>20215.05-534.7</f>
        <v>19680.35</v>
      </c>
      <c r="D130" s="1">
        <f>'GS TOU'!B27</f>
        <v>144152.59</v>
      </c>
      <c r="E130" s="1">
        <f>'GS TOU'!C104</f>
        <v>32607624.78</v>
      </c>
      <c r="G130" s="27">
        <f t="shared" si="10"/>
        <v>32607624.78</v>
      </c>
      <c r="J130" s="3">
        <f>'GS TOU'!B183</f>
        <v>-42855.80000000002</v>
      </c>
      <c r="K130" s="3">
        <f>'GS TOU'!E183</f>
        <v>71426.33333333337</v>
      </c>
      <c r="L130" s="3">
        <f t="shared" si="11"/>
        <v>71426.31</v>
      </c>
      <c r="M130" s="24">
        <f t="shared" si="12"/>
        <v>0.09189014804969983</v>
      </c>
      <c r="N130" s="3">
        <f>'[11]Summary'!$B$133</f>
        <v>75290.03</v>
      </c>
      <c r="O130" s="1">
        <f>94456.61-74793.51+597337.3-445386.96</f>
        <v>171613.44</v>
      </c>
      <c r="P130" s="1">
        <f>SUM(O$126:O130)/SUM(N$126:N130)</f>
        <v>1.9240742438868175</v>
      </c>
      <c r="Q130" s="27">
        <f>P130*SUM(B$126:B130)</f>
        <v>662474.7300263443</v>
      </c>
      <c r="R130" s="3">
        <f>SUM(C$126:D130)-Q130</f>
        <v>128774.83997365553</v>
      </c>
      <c r="S130" s="3">
        <f>Q130-SUM(O$126:O130)</f>
        <v>-29319.179973655613</v>
      </c>
      <c r="T130" s="76">
        <f t="shared" si="13"/>
        <v>0.9486821827538121</v>
      </c>
      <c r="U130" s="27">
        <v>3173</v>
      </c>
      <c r="V130" s="27">
        <v>1028762</v>
      </c>
      <c r="W130" s="27">
        <v>517.45</v>
      </c>
      <c r="X130" s="27">
        <v>6258.44</v>
      </c>
      <c r="Y130" s="3">
        <f t="shared" si="14"/>
        <v>72117.03</v>
      </c>
      <c r="Z130" s="3">
        <f t="shared" si="15"/>
        <v>164837.55</v>
      </c>
    </row>
    <row r="131" spans="1:26" ht="12.75">
      <c r="A131" t="s">
        <v>8</v>
      </c>
      <c r="B131" s="27">
        <f>'GS TOU'!E31</f>
        <v>70183.39</v>
      </c>
      <c r="C131" s="1">
        <f>115598.45-96366.5</f>
        <v>19231.949999999997</v>
      </c>
      <c r="D131" s="1">
        <f>'GS TOU'!B31</f>
        <v>141644.13999999996</v>
      </c>
      <c r="E131" s="1">
        <f>'GS TOU'!C110</f>
        <v>32639469.390000004</v>
      </c>
      <c r="G131" s="27">
        <f t="shared" si="10"/>
        <v>32639469.390000004</v>
      </c>
      <c r="J131" s="3">
        <f>'GS TOU'!B187</f>
        <v>-42110.03999999998</v>
      </c>
      <c r="K131" s="3">
        <f>'GS TOU'!E187</f>
        <v>70183.39999999997</v>
      </c>
      <c r="L131" s="3">
        <f t="shared" si="11"/>
        <v>70183.39</v>
      </c>
      <c r="M131" s="24">
        <f t="shared" si="12"/>
        <v>0.09029112798532954</v>
      </c>
      <c r="N131" s="3">
        <f>'[11]Summary'!$B$134</f>
        <v>71598.94</v>
      </c>
      <c r="O131" s="1">
        <f>113705.81-94456.61+741838.3-597337.3</f>
        <v>163750.19999999995</v>
      </c>
      <c r="T131" s="76">
        <f t="shared" si="13"/>
        <v>0.9802294559109395</v>
      </c>
      <c r="Y131" s="3">
        <f t="shared" si="14"/>
        <v>71598.94</v>
      </c>
      <c r="Z131" s="3">
        <f t="shared" si="15"/>
        <v>163750.19999999995</v>
      </c>
    </row>
    <row r="132" spans="1:26" ht="12.75">
      <c r="A132" t="s">
        <v>9</v>
      </c>
      <c r="B132" s="27">
        <f>'GS TOU'!E35</f>
        <v>72947.47</v>
      </c>
      <c r="C132" s="1">
        <f>134778.6-115598.45</f>
        <v>19180.15000000001</v>
      </c>
      <c r="D132" s="1">
        <f>'GS TOU'!B35</f>
        <v>147222.58</v>
      </c>
      <c r="E132" s="1">
        <f>'GS TOU'!C116</f>
        <v>32365328.59</v>
      </c>
      <c r="G132" s="27">
        <f t="shared" si="10"/>
        <v>32365328.59</v>
      </c>
      <c r="J132" s="3">
        <f>'GS TOU'!B191</f>
        <v>-43768.48</v>
      </c>
      <c r="K132" s="3">
        <f>'GS TOU'!E191</f>
        <v>72947.47</v>
      </c>
      <c r="L132" s="3">
        <f t="shared" si="11"/>
        <v>72947.47</v>
      </c>
      <c r="M132" s="24">
        <f t="shared" si="12"/>
        <v>0.09384712465408107</v>
      </c>
      <c r="N132" s="3">
        <f>'[11]Summary'!$B$135</f>
        <v>74192.33</v>
      </c>
      <c r="O132" s="1">
        <f>133386.16-113705.81+891573.27-741838.3</f>
        <v>169415.31999999995</v>
      </c>
      <c r="T132" s="76">
        <f t="shared" si="13"/>
        <v>0.9832211766364528</v>
      </c>
      <c r="Y132" s="3">
        <f t="shared" si="14"/>
        <v>74192.33</v>
      </c>
      <c r="Z132" s="3">
        <f t="shared" si="15"/>
        <v>169415.31999999995</v>
      </c>
    </row>
    <row r="133" spans="1:26" ht="12.75">
      <c r="A133" t="s">
        <v>10</v>
      </c>
      <c r="B133" s="27">
        <f>'GS TOU'!E39</f>
        <v>74662.9719552076</v>
      </c>
      <c r="C133" s="1">
        <v>20301.35</v>
      </c>
      <c r="D133" s="1">
        <f>'GS TOU'!B39</f>
        <v>150684.81</v>
      </c>
      <c r="E133" s="1">
        <f>'GS TOU'!C122</f>
        <v>0</v>
      </c>
      <c r="G133" s="27">
        <f t="shared" si="10"/>
        <v>0</v>
      </c>
      <c r="J133" s="3">
        <f>'GS TOU'!B195</f>
        <v>0</v>
      </c>
      <c r="K133" s="3">
        <f>'GS TOU'!E195</f>
        <v>0</v>
      </c>
      <c r="L133" s="3">
        <f t="shared" si="11"/>
        <v>74662.9719552076</v>
      </c>
      <c r="M133" s="24">
        <f t="shared" si="12"/>
        <v>0.09605412272865017</v>
      </c>
      <c r="N133" s="3">
        <f>'[11]Summary'!$B$136</f>
        <v>74208.23</v>
      </c>
      <c r="O133" s="1">
        <f>153170.06-133386.16+1041340.33-891573.27</f>
        <v>169550.95999999996</v>
      </c>
      <c r="Y133" s="3">
        <f t="shared" si="14"/>
        <v>74208.23</v>
      </c>
      <c r="Z133" s="3">
        <f t="shared" si="15"/>
        <v>169550.95999999996</v>
      </c>
    </row>
    <row r="134" spans="1:26" ht="12.75">
      <c r="A134" t="s">
        <v>11</v>
      </c>
      <c r="B134" s="27">
        <f>'GS TOU'!E43</f>
        <v>71256.82786641561</v>
      </c>
      <c r="C134" s="1">
        <v>18628.2</v>
      </c>
      <c r="D134" s="1">
        <f>'GS TOU'!B43</f>
        <v>143810.53</v>
      </c>
      <c r="E134" s="1">
        <f>'GS TOU'!C128</f>
        <v>0</v>
      </c>
      <c r="G134" s="27">
        <f t="shared" si="10"/>
        <v>0</v>
      </c>
      <c r="J134" s="3">
        <f>'GS TOU'!B199</f>
        <v>0</v>
      </c>
      <c r="K134" s="3">
        <f>'GS TOU'!E199</f>
        <v>0</v>
      </c>
      <c r="L134" s="3">
        <f t="shared" si="11"/>
        <v>71256.82786641561</v>
      </c>
      <c r="M134" s="24">
        <f t="shared" si="12"/>
        <v>0.09167210880972161</v>
      </c>
      <c r="N134" s="3">
        <f>'[11]Summary'!$B$137</f>
        <v>74474.56</v>
      </c>
      <c r="O134" s="1">
        <f>172953.96-153170.06+1191644.89-1041340.33</f>
        <v>170088.45999999985</v>
      </c>
      <c r="Y134" s="3">
        <f t="shared" si="14"/>
        <v>74474.56</v>
      </c>
      <c r="Z134" s="3">
        <f t="shared" si="15"/>
        <v>170088.45999999985</v>
      </c>
    </row>
    <row r="135" spans="1:26" ht="12.75">
      <c r="A135" t="s">
        <v>12</v>
      </c>
      <c r="B135" s="27">
        <f>'GS TOU'!E47</f>
        <v>73030.66098503617</v>
      </c>
      <c r="C135" s="1">
        <f>22422.9-2121.55</f>
        <v>20301.350000000002</v>
      </c>
      <c r="D135" s="1">
        <f>'GS TOU'!B47</f>
        <v>147390.48</v>
      </c>
      <c r="E135" s="1">
        <f>'GS TOU'!C134</f>
        <v>0</v>
      </c>
      <c r="G135" s="27">
        <f t="shared" si="10"/>
        <v>0</v>
      </c>
      <c r="J135" s="3">
        <f>'GS TOU'!B203</f>
        <v>0</v>
      </c>
      <c r="K135" s="3">
        <f>'GS TOU'!E203</f>
        <v>0</v>
      </c>
      <c r="L135" s="3">
        <f t="shared" si="11"/>
        <v>73030.66098503617</v>
      </c>
      <c r="M135" s="24">
        <f t="shared" si="12"/>
        <v>0.0939541500895456</v>
      </c>
      <c r="N135" s="3">
        <f>'[11]Summary'!$B$138</f>
        <v>74317.92</v>
      </c>
      <c r="O135" s="1">
        <f>192099.61-172953.96+1341633.32-1191644.89</f>
        <v>169134.08000000007</v>
      </c>
      <c r="Y135" s="3">
        <f t="shared" si="14"/>
        <v>74317.92</v>
      </c>
      <c r="Z135" s="3">
        <f t="shared" si="15"/>
        <v>169134.08000000007</v>
      </c>
    </row>
    <row r="136" spans="1:26" ht="12.75">
      <c r="A136" t="s">
        <v>13</v>
      </c>
      <c r="B136" s="27">
        <f>'GS TOU'!E51</f>
        <v>70911.44584283025</v>
      </c>
      <c r="C136" s="1">
        <v>19783.9</v>
      </c>
      <c r="D136" s="1">
        <f>'GS TOU'!B51</f>
        <v>143113.48</v>
      </c>
      <c r="E136" s="1">
        <f>'GS TOU'!C140</f>
        <v>0</v>
      </c>
      <c r="G136" s="27">
        <f t="shared" si="10"/>
        <v>0</v>
      </c>
      <c r="J136" s="3">
        <f>'GS TOU'!B207</f>
        <v>0</v>
      </c>
      <c r="K136" s="3">
        <f>'GS TOU'!E207</f>
        <v>0</v>
      </c>
      <c r="L136" s="3">
        <f t="shared" si="11"/>
        <v>70911.44584283025</v>
      </c>
      <c r="M136" s="24">
        <f t="shared" si="12"/>
        <v>0.09122777386814387</v>
      </c>
      <c r="N136" s="3">
        <f>'[11]Summary'!$B$139</f>
        <v>74136.13</v>
      </c>
      <c r="O136" s="1">
        <f>211883.51-192099.61+1491254.84-1341633.32</f>
        <v>169405.42000000016</v>
      </c>
      <c r="Y136" s="3">
        <f t="shared" si="14"/>
        <v>74136.13</v>
      </c>
      <c r="Z136" s="3">
        <f t="shared" si="15"/>
        <v>169405.42000000016</v>
      </c>
    </row>
    <row r="137" spans="1:26" s="74" customFormat="1" ht="12.75">
      <c r="A137" s="74" t="s">
        <v>14</v>
      </c>
      <c r="B137" s="112">
        <f>'GS TOU'!E55</f>
        <v>69394.22752948171</v>
      </c>
      <c r="C137" s="111">
        <v>18628.2</v>
      </c>
      <c r="D137" s="111">
        <f>'GS TOU'!B55</f>
        <v>140051.43</v>
      </c>
      <c r="E137" s="111">
        <f>'GS TOU'!C146</f>
        <v>0</v>
      </c>
      <c r="F137" s="112"/>
      <c r="G137" s="112">
        <f t="shared" si="10"/>
        <v>0</v>
      </c>
      <c r="H137" s="112"/>
      <c r="I137" s="120"/>
      <c r="J137" s="121">
        <f>'GS TOU'!B211</f>
        <v>0</v>
      </c>
      <c r="K137" s="121">
        <f>'GS TOU'!E211</f>
        <v>0</v>
      </c>
      <c r="L137" s="113">
        <f>B146</f>
        <v>0</v>
      </c>
      <c r="M137" s="120">
        <f t="shared" si="12"/>
        <v>0</v>
      </c>
      <c r="N137" s="121">
        <f>'[11]Summary'!$B$140</f>
        <v>69938.18</v>
      </c>
      <c r="O137" s="111">
        <f>231029.16-211883.51+1632404.06-1491254.84</f>
        <v>160294.86999999988</v>
      </c>
      <c r="U137" s="112"/>
      <c r="V137" s="112"/>
      <c r="W137" s="112"/>
      <c r="X137" s="112"/>
      <c r="Y137" s="121">
        <f t="shared" si="14"/>
        <v>69938.18</v>
      </c>
      <c r="Z137" s="121">
        <f t="shared" si="15"/>
        <v>160294.86999999988</v>
      </c>
    </row>
    <row r="138" spans="1:30" ht="12.75">
      <c r="A138" s="114" t="s">
        <v>203</v>
      </c>
      <c r="B138" s="28"/>
      <c r="C138" s="8"/>
      <c r="D138" s="8"/>
      <c r="E138" s="8"/>
      <c r="F138" s="28"/>
      <c r="G138" s="28"/>
      <c r="H138" s="28"/>
      <c r="I138" s="31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28"/>
      <c r="V138" s="28"/>
      <c r="W138" s="28"/>
      <c r="X138" s="28"/>
      <c r="Y138" s="7"/>
      <c r="Z138" s="7"/>
      <c r="AA138" s="7"/>
      <c r="AB138" s="7"/>
      <c r="AC138" s="7"/>
      <c r="AD138" s="7"/>
    </row>
    <row r="139" spans="2:30" ht="12.75">
      <c r="B139" s="59">
        <f aca="true" t="shared" si="16" ref="B139:AD139">SUM(B125:B138)</f>
        <v>846695.2931602419</v>
      </c>
      <c r="C139" s="59">
        <f t="shared" si="16"/>
        <v>232421.60000000003</v>
      </c>
      <c r="D139" s="59">
        <f t="shared" si="16"/>
        <v>1708800.5199999998</v>
      </c>
      <c r="E139" s="143">
        <f t="shared" si="16"/>
        <v>222060731.97000003</v>
      </c>
      <c r="F139" s="143">
        <f t="shared" si="16"/>
        <v>412000</v>
      </c>
      <c r="G139" s="143">
        <f t="shared" si="16"/>
        <v>222060731.97000003</v>
      </c>
      <c r="H139" s="143">
        <f t="shared" si="16"/>
        <v>194577</v>
      </c>
      <c r="I139" s="143">
        <f t="shared" si="16"/>
        <v>0</v>
      </c>
      <c r="J139" s="143">
        <f t="shared" si="16"/>
        <v>-292463.52999999997</v>
      </c>
      <c r="K139" s="143">
        <f t="shared" si="16"/>
        <v>487439.2333333334</v>
      </c>
      <c r="L139" s="143">
        <f t="shared" si="16"/>
        <v>777301.0656307602</v>
      </c>
      <c r="M139" s="143">
        <f t="shared" si="16"/>
        <v>0.9999999999999999</v>
      </c>
      <c r="N139" s="143">
        <f t="shared" si="16"/>
        <v>872412.6599999999</v>
      </c>
      <c r="O139" s="143">
        <f t="shared" si="16"/>
        <v>1863433.2199999997</v>
      </c>
      <c r="P139" s="143">
        <f t="shared" si="16"/>
        <v>1.9240742438868175</v>
      </c>
      <c r="Q139" s="143">
        <f t="shared" si="16"/>
        <v>662474.7300263443</v>
      </c>
      <c r="R139" s="143">
        <f t="shared" si="16"/>
        <v>128774.83997365553</v>
      </c>
      <c r="S139" s="143">
        <f t="shared" si="16"/>
        <v>-29319.179973655613</v>
      </c>
      <c r="T139" s="143">
        <f t="shared" si="16"/>
        <v>6.7522715460231355</v>
      </c>
      <c r="U139" s="143">
        <f t="shared" si="16"/>
        <v>14376</v>
      </c>
      <c r="V139" s="143">
        <f t="shared" si="16"/>
        <v>5146209</v>
      </c>
      <c r="W139" s="143">
        <f t="shared" si="16"/>
        <v>2485.7</v>
      </c>
      <c r="X139" s="143">
        <f t="shared" si="16"/>
        <v>23440.89</v>
      </c>
      <c r="Y139" s="143">
        <f t="shared" si="16"/>
        <v>858036.6599999999</v>
      </c>
      <c r="Z139" s="143">
        <f t="shared" si="16"/>
        <v>1837506.63</v>
      </c>
      <c r="AA139" s="143">
        <f t="shared" si="16"/>
        <v>1.8349153685503352</v>
      </c>
      <c r="AB139" s="143">
        <f t="shared" si="16"/>
        <v>500715.3553823164</v>
      </c>
      <c r="AC139" s="143">
        <f t="shared" si="16"/>
        <v>126701.27461768349</v>
      </c>
      <c r="AD139" s="143">
        <f t="shared" si="16"/>
        <v>-314.41461768362205</v>
      </c>
    </row>
    <row r="140" spans="2:4" ht="12.75">
      <c r="B140" s="1">
        <f>+B139-'GS TOU'!E57</f>
        <v>0</v>
      </c>
      <c r="D140" s="1">
        <f>+D139-'GS TOU'!I55</f>
        <v>0</v>
      </c>
    </row>
    <row r="141" spans="1:16" ht="12.75">
      <c r="A141" t="str">
        <f>A101</f>
        <v>August</v>
      </c>
      <c r="B141" s="27">
        <f>C141*B$156-4000-1000</f>
        <v>74589.36386013482</v>
      </c>
      <c r="C141" s="24">
        <f>C101</f>
        <v>0.0883344770922695</v>
      </c>
      <c r="D141" s="1">
        <f>517.45*E141</f>
        <v>19663.100000000002</v>
      </c>
      <c r="E141" s="27">
        <v>38</v>
      </c>
      <c r="F141" s="24">
        <f>F101</f>
        <v>0.08414518664441924</v>
      </c>
      <c r="G141" s="27">
        <f>F141*G$156-2000000</f>
        <v>32078800.59098979</v>
      </c>
      <c r="P141" s="27">
        <f>1028540.19+2216628.69</f>
        <v>3245168.88</v>
      </c>
    </row>
    <row r="142" spans="1:7" ht="12.75">
      <c r="A142" t="str">
        <f>A102</f>
        <v>September</v>
      </c>
      <c r="B142" s="27">
        <f>C142*B$156-4000-1000</f>
        <v>75134.2769433496</v>
      </c>
      <c r="C142" s="24">
        <f>C102</f>
        <v>0.08893926408806838</v>
      </c>
      <c r="D142" s="1">
        <f>517.45*E142</f>
        <v>19145.65</v>
      </c>
      <c r="E142" s="27">
        <v>37</v>
      </c>
      <c r="F142" s="24">
        <f>F102</f>
        <v>0.08282746334919878</v>
      </c>
      <c r="G142" s="27">
        <f>F142*G$156-2000000</f>
        <v>31545122.65642551</v>
      </c>
    </row>
    <row r="143" spans="1:11" ht="12.75">
      <c r="A143" t="str">
        <f>A103</f>
        <v>October</v>
      </c>
      <c r="B143" s="27">
        <f>C143*B$156-4000-1000</f>
        <v>67858.08459689346</v>
      </c>
      <c r="C143" s="24">
        <f>C103</f>
        <v>0.08086357890887176</v>
      </c>
      <c r="D143" s="1">
        <f>517.45*E143</f>
        <v>19663.100000000002</v>
      </c>
      <c r="E143" s="27">
        <v>38</v>
      </c>
      <c r="F143" s="24">
        <f>F103</f>
        <v>0.08498021556687134</v>
      </c>
      <c r="G143" s="27">
        <f>F143*G$156-2000000</f>
        <v>32416987.304582894</v>
      </c>
      <c r="J143" s="27"/>
      <c r="K143" s="27"/>
    </row>
    <row r="144" spans="1:11" ht="12.75">
      <c r="A144" t="str">
        <f>A104</f>
        <v>November</v>
      </c>
      <c r="B144" s="27">
        <f>C144*B$156-4000-1000</f>
        <v>71095.50938540479</v>
      </c>
      <c r="C144" s="24">
        <f>C104</f>
        <v>0.08445672517802973</v>
      </c>
      <c r="D144" s="1">
        <f>517.45*E144</f>
        <v>19145.65</v>
      </c>
      <c r="E144" s="27">
        <v>37</v>
      </c>
      <c r="F144" s="24">
        <f>F104</f>
        <v>0.08546284393466597</v>
      </c>
      <c r="G144" s="27">
        <f>F144*G$156-2000000</f>
        <v>32612451.793539718</v>
      </c>
      <c r="J144" s="27"/>
      <c r="K144" s="27"/>
    </row>
    <row r="145" spans="1:11" ht="12.75">
      <c r="A145" t="str">
        <f>A105</f>
        <v>December</v>
      </c>
      <c r="B145" s="27">
        <f>C145*B$156-4000-1000</f>
        <v>73563.64511525995</v>
      </c>
      <c r="C145" s="24">
        <f>C105</f>
        <v>0.08719605451194223</v>
      </c>
      <c r="D145" s="1">
        <f>517.45*E145</f>
        <v>19663.100000000002</v>
      </c>
      <c r="E145" s="27">
        <v>38</v>
      </c>
      <c r="F145" s="24">
        <f>F105</f>
        <v>0.0855294429531431</v>
      </c>
      <c r="G145" s="27">
        <f>F145*G$156-2000000</f>
        <v>32639424.39602296</v>
      </c>
      <c r="J145" s="27"/>
      <c r="K145" s="27"/>
    </row>
    <row r="146" spans="2:11" ht="12.75">
      <c r="B146" s="27"/>
      <c r="C146" s="27"/>
      <c r="D146" s="27"/>
      <c r="E146" s="27"/>
      <c r="G146" s="27"/>
      <c r="J146" s="27"/>
      <c r="K146" s="27"/>
    </row>
    <row r="147" spans="2:20" ht="12.75">
      <c r="B147" s="27">
        <f>ROUND(SUM(B139:B145),-3)</f>
        <v>1209000</v>
      </c>
      <c r="C147" s="27"/>
      <c r="D147" s="27">
        <f>ROUND(C139+SUM(D141:D145),-3)</f>
        <v>330000</v>
      </c>
      <c r="E147" s="27"/>
      <c r="G147" s="27">
        <f>ROUND(SUM(G139:G145),-6)</f>
        <v>383000000</v>
      </c>
      <c r="H147" s="24">
        <f>G147/(B147*24*30)</f>
        <v>0.43998713353552066</v>
      </c>
      <c r="J147" s="27"/>
      <c r="K147" s="27"/>
      <c r="R147" s="3"/>
      <c r="S147" s="3"/>
      <c r="T147" s="1"/>
    </row>
    <row r="148" spans="1:20" ht="13.5" thickBot="1">
      <c r="A148" s="27"/>
      <c r="B148" s="2">
        <v>2.0182</v>
      </c>
      <c r="C148" s="27"/>
      <c r="D148" s="27"/>
      <c r="E148" s="27"/>
      <c r="G148" s="27"/>
      <c r="I148" s="27"/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/>
    </row>
    <row r="149" spans="2:10" ht="12.75">
      <c r="B149" s="1">
        <f>ROUND(B147*B148,-3)</f>
        <v>2440000</v>
      </c>
      <c r="H149" s="91"/>
      <c r="I149" s="107" t="s">
        <v>195</v>
      </c>
      <c r="J149" s="93"/>
    </row>
    <row r="150" spans="8:10" ht="12.75">
      <c r="H150" s="105" t="s">
        <v>194</v>
      </c>
      <c r="I150" s="94"/>
      <c r="J150" s="95"/>
    </row>
    <row r="151" spans="1:10" ht="12.75">
      <c r="A151" s="58" t="s">
        <v>196</v>
      </c>
      <c r="B151" s="58">
        <f>+B139*H156</f>
        <v>101653.39020152549</v>
      </c>
      <c r="H151" s="96" t="s">
        <v>186</v>
      </c>
      <c r="I151" s="97"/>
      <c r="J151" s="98" t="s">
        <v>187</v>
      </c>
    </row>
    <row r="152" spans="1:10" ht="12.75">
      <c r="A152" s="58" t="s">
        <v>197</v>
      </c>
      <c r="B152" s="58">
        <f>+B139*J156</f>
        <v>325552.6468295267</v>
      </c>
      <c r="H152" s="99"/>
      <c r="I152" s="100"/>
      <c r="J152" s="101"/>
    </row>
    <row r="153" spans="1:10" ht="13.5" thickBot="1">
      <c r="A153" s="58" t="s">
        <v>198</v>
      </c>
      <c r="B153" s="130">
        <f>SUM(B151:B152)</f>
        <v>427206.03703105217</v>
      </c>
      <c r="H153" s="99">
        <v>0.001806</v>
      </c>
      <c r="I153" s="106" t="s">
        <v>188</v>
      </c>
      <c r="J153" s="101">
        <v>0.005783</v>
      </c>
    </row>
    <row r="154" spans="8:10" ht="12.75">
      <c r="H154" s="99">
        <v>0.001148</v>
      </c>
      <c r="I154" s="106" t="s">
        <v>189</v>
      </c>
      <c r="J154" s="101">
        <v>0.003678</v>
      </c>
    </row>
    <row r="155" spans="8:10" ht="12.75">
      <c r="H155" s="99">
        <v>0.195271</v>
      </c>
      <c r="I155" s="106" t="s">
        <v>190</v>
      </c>
      <c r="J155" s="101">
        <v>0.625371</v>
      </c>
    </row>
    <row r="156" spans="2:10" ht="12.75">
      <c r="B156" s="27">
        <v>901000</v>
      </c>
      <c r="G156" s="27">
        <v>405000000</v>
      </c>
      <c r="H156" s="127">
        <v>0.120059</v>
      </c>
      <c r="I156" s="128" t="s">
        <v>191</v>
      </c>
      <c r="J156" s="129">
        <v>0.384498</v>
      </c>
    </row>
    <row r="157" spans="2:10" ht="12.75">
      <c r="B157" s="24">
        <f>B139/B156</f>
        <v>0.9397284052832874</v>
      </c>
      <c r="G157" s="24">
        <f>G139/G156</f>
        <v>0.5482981036296297</v>
      </c>
      <c r="H157" s="99">
        <v>0.097704</v>
      </c>
      <c r="I157" s="106" t="s">
        <v>192</v>
      </c>
      <c r="J157" s="101">
        <v>0.312905</v>
      </c>
    </row>
    <row r="158" spans="2:10" ht="12.75">
      <c r="B158" s="57">
        <v>0.120059</v>
      </c>
      <c r="C158" s="1" t="s">
        <v>116</v>
      </c>
      <c r="H158" s="99">
        <v>0.101043</v>
      </c>
      <c r="I158" s="106" t="s">
        <v>193</v>
      </c>
      <c r="J158" s="101">
        <v>0.323597</v>
      </c>
    </row>
    <row r="159" spans="2:10" ht="12.75">
      <c r="B159" s="27">
        <f>ROUND(B139*B158,0)</f>
        <v>101653</v>
      </c>
      <c r="C159" s="1" t="s">
        <v>117</v>
      </c>
      <c r="H159" s="99"/>
      <c r="I159" s="100"/>
      <c r="J159" s="101"/>
    </row>
    <row r="160" spans="2:10" ht="13.5" thickBot="1">
      <c r="B160" s="27">
        <f>B158*B147</f>
        <v>145151.331</v>
      </c>
      <c r="H160" s="102"/>
      <c r="I160" s="103"/>
      <c r="J160" s="104"/>
    </row>
    <row r="161" ht="12.75">
      <c r="A161" t="s">
        <v>57</v>
      </c>
    </row>
    <row r="163" spans="2:24" s="4" customFormat="1" ht="25.5">
      <c r="B163" s="5" t="s">
        <v>49</v>
      </c>
      <c r="C163" s="5" t="s">
        <v>50</v>
      </c>
      <c r="D163" s="5" t="s">
        <v>47</v>
      </c>
      <c r="E163" s="5" t="s">
        <v>51</v>
      </c>
      <c r="F163" s="26" t="s">
        <v>55</v>
      </c>
      <c r="G163" s="30"/>
      <c r="H163" s="26" t="s">
        <v>56</v>
      </c>
      <c r="I163" s="30"/>
      <c r="U163" s="26"/>
      <c r="V163" s="26"/>
      <c r="W163" s="26"/>
      <c r="X163" s="26"/>
    </row>
    <row r="165" spans="1:8" ht="12.75">
      <c r="A165" t="s">
        <v>46</v>
      </c>
      <c r="E165" s="1">
        <f>B59</f>
        <v>139494818.2672539</v>
      </c>
      <c r="H165" s="27">
        <f>D59</f>
        <v>2692249.9600000014</v>
      </c>
    </row>
    <row r="166" spans="1:8" ht="12.75">
      <c r="A166" t="s">
        <v>48</v>
      </c>
      <c r="B166" s="1">
        <f>B99</f>
        <v>1006452.9159574066</v>
      </c>
      <c r="E166" s="1">
        <f>E99</f>
        <v>225866514.84</v>
      </c>
      <c r="F166" s="27">
        <f>F99</f>
        <v>1452000</v>
      </c>
      <c r="H166" s="27">
        <f>H99</f>
        <v>617065</v>
      </c>
    </row>
    <row r="167" spans="1:256" s="7" customFormat="1" ht="12.75">
      <c r="A167" s="7" t="s">
        <v>52</v>
      </c>
      <c r="B167" s="8">
        <f>B139</f>
        <v>846695.2931602419</v>
      </c>
      <c r="C167" s="8"/>
      <c r="D167" s="8"/>
      <c r="E167" s="8">
        <f>E139</f>
        <v>222060731.97000003</v>
      </c>
      <c r="F167" s="28">
        <f>F139</f>
        <v>412000</v>
      </c>
      <c r="G167" s="31"/>
      <c r="H167" s="28">
        <f>H139</f>
        <v>194577</v>
      </c>
      <c r="I167" s="31"/>
      <c r="U167" s="28"/>
      <c r="V167" s="28"/>
      <c r="W167" s="28"/>
      <c r="X167" s="28"/>
      <c r="IV167" s="10"/>
    </row>
    <row r="169" spans="2:9" ht="12.75">
      <c r="B169" s="1">
        <f>SUM(B165:B167)</f>
        <v>1853148.2091176487</v>
      </c>
      <c r="E169" s="1">
        <f>SUM(E165:E167)</f>
        <v>587422065.0772539</v>
      </c>
      <c r="F169" s="27">
        <f>SUM(F165:F167)</f>
        <v>1864000</v>
      </c>
      <c r="G169" s="24">
        <f>B169/F169</f>
        <v>0.9941782237755625</v>
      </c>
      <c r="H169" s="27">
        <f>SUM(H165:H167)</f>
        <v>3503891.9600000014</v>
      </c>
      <c r="I169" s="24">
        <f>E169/H169</f>
        <v>167.64845257307925</v>
      </c>
    </row>
    <row r="171" spans="1:5" ht="12.75">
      <c r="A171" t="s">
        <v>46</v>
      </c>
      <c r="E171" s="1">
        <v>9000000</v>
      </c>
    </row>
    <row r="172" spans="1:5" ht="12.75">
      <c r="A172" t="s">
        <v>48</v>
      </c>
      <c r="B172" s="1">
        <v>40000</v>
      </c>
      <c r="E172" s="1">
        <v>13000000</v>
      </c>
    </row>
    <row r="173" spans="1:24" s="7" customFormat="1" ht="12.75">
      <c r="A173" s="7" t="s">
        <v>52</v>
      </c>
      <c r="B173" s="8"/>
      <c r="C173" s="8"/>
      <c r="D173" s="8"/>
      <c r="E173" s="8"/>
      <c r="F173" s="28"/>
      <c r="G173" s="31"/>
      <c r="H173" s="28"/>
      <c r="I173" s="31"/>
      <c r="U173" s="28"/>
      <c r="V173" s="28"/>
      <c r="W173" s="28"/>
      <c r="X173" s="28"/>
    </row>
    <row r="174" spans="2:9" ht="12.75">
      <c r="B174" s="1">
        <f>SUM(B169:B173)</f>
        <v>1893148.2091176487</v>
      </c>
      <c r="E174" s="1">
        <f>SUM(E169:E173)</f>
        <v>609422065.0772539</v>
      </c>
      <c r="F174" s="27">
        <f>F169</f>
        <v>1864000</v>
      </c>
      <c r="G174" s="24">
        <f>B174/F174</f>
        <v>1.0156374512433737</v>
      </c>
      <c r="H174" s="27">
        <f>H169</f>
        <v>3503891.9600000014</v>
      </c>
      <c r="I174" s="24">
        <f>E174/H174</f>
        <v>173.92718498011385</v>
      </c>
    </row>
    <row r="176" ht="12.75">
      <c r="G176" s="24">
        <f>9/12</f>
        <v>0.75</v>
      </c>
    </row>
    <row r="202" spans="1:24" s="20" customFormat="1" ht="15.75">
      <c r="A202" s="87" t="s">
        <v>54</v>
      </c>
      <c r="B202" s="21"/>
      <c r="C202" s="21"/>
      <c r="D202" s="21"/>
      <c r="E202" s="21"/>
      <c r="F202" s="25"/>
      <c r="G202" s="29"/>
      <c r="H202" s="25"/>
      <c r="I202" s="29"/>
      <c r="U202" s="25"/>
      <c r="V202" s="25"/>
      <c r="W202" s="25"/>
      <c r="X202" s="25"/>
    </row>
    <row r="204" spans="2:24" s="4" customFormat="1" ht="38.25">
      <c r="B204" s="5" t="s">
        <v>175</v>
      </c>
      <c r="C204" s="5" t="s">
        <v>174</v>
      </c>
      <c r="D204" s="5" t="s">
        <v>173</v>
      </c>
      <c r="E204" s="5" t="s">
        <v>51</v>
      </c>
      <c r="F204" s="26" t="s">
        <v>55</v>
      </c>
      <c r="G204" s="30" t="s">
        <v>70</v>
      </c>
      <c r="H204" s="26" t="s">
        <v>56</v>
      </c>
      <c r="I204" s="30"/>
      <c r="J204" s="4" t="s">
        <v>71</v>
      </c>
      <c r="K204" s="4" t="s">
        <v>72</v>
      </c>
      <c r="O204" s="5" t="s">
        <v>102</v>
      </c>
      <c r="P204" s="6" t="s">
        <v>101</v>
      </c>
      <c r="Q204" s="5" t="s">
        <v>103</v>
      </c>
      <c r="R204" s="5" t="s">
        <v>104</v>
      </c>
      <c r="S204" s="5" t="s">
        <v>98</v>
      </c>
      <c r="T204" s="5" t="s">
        <v>99</v>
      </c>
      <c r="U204" s="26"/>
      <c r="V204" s="26"/>
      <c r="W204" s="26"/>
      <c r="X204" s="26"/>
    </row>
    <row r="205" spans="2:24" s="4" customFormat="1" ht="12.75">
      <c r="B205" s="5"/>
      <c r="C205" s="5"/>
      <c r="D205" s="5"/>
      <c r="E205" s="5"/>
      <c r="F205" s="26"/>
      <c r="G205" s="30"/>
      <c r="H205" s="26"/>
      <c r="I205" s="30"/>
      <c r="U205" s="26"/>
      <c r="V205" s="26"/>
      <c r="W205" s="26"/>
      <c r="X205" s="26"/>
    </row>
    <row r="206" ht="12.75">
      <c r="A206" s="66" t="s">
        <v>202</v>
      </c>
    </row>
    <row r="207" spans="1:16" ht="12.75">
      <c r="A207" t="s">
        <v>3</v>
      </c>
      <c r="B207" s="27">
        <f>LU!E8</f>
        <v>30939.48</v>
      </c>
      <c r="C207" s="1">
        <v>2326.77</v>
      </c>
      <c r="D207" s="1">
        <f>LU!B8</f>
        <v>55718.91</v>
      </c>
      <c r="E207" s="1">
        <f>LU!C85</f>
        <v>16903395.63</v>
      </c>
      <c r="F207" s="27">
        <v>379000</v>
      </c>
      <c r="G207" s="27">
        <f>D207+E207</f>
        <v>16959114.54</v>
      </c>
      <c r="H207" s="27">
        <v>233966</v>
      </c>
      <c r="J207" s="3">
        <f>LU!B167</f>
        <v>-18563.68</v>
      </c>
      <c r="K207" s="3">
        <f>LU!E167</f>
        <v>30939.48</v>
      </c>
      <c r="M207" s="3">
        <f>B207</f>
        <v>30939.48</v>
      </c>
      <c r="N207" s="24">
        <f>M207/M$220</f>
        <v>0.08133458272258773</v>
      </c>
      <c r="O207" s="3">
        <f>'[11]Summary'!$B$211</f>
        <v>31178.46</v>
      </c>
      <c r="P207" s="27">
        <f>2102.76+40479</f>
        <v>42581.76</v>
      </c>
    </row>
    <row r="208" spans="1:16" ht="12.75">
      <c r="A208" t="s">
        <v>4</v>
      </c>
      <c r="B208" s="27">
        <f>LU!E12</f>
        <v>31153.32</v>
      </c>
      <c r="C208" s="1">
        <f>3877.95-2326.77</f>
        <v>1551.1799999999998</v>
      </c>
      <c r="D208" s="1">
        <f>LU!B12</f>
        <v>56104.01</v>
      </c>
      <c r="E208" s="1">
        <f>LU!C91</f>
        <v>18637720.2</v>
      </c>
      <c r="G208" s="27">
        <f aca="true" t="shared" si="17" ref="G208:G218">D208+E208</f>
        <v>18693824.21</v>
      </c>
      <c r="J208" s="3">
        <f>LU!B172</f>
        <v>-18691.989999999998</v>
      </c>
      <c r="K208" s="3">
        <f>LU!E172</f>
        <v>31153.32</v>
      </c>
      <c r="M208" s="3">
        <f aca="true" t="shared" si="18" ref="M208:M217">B208</f>
        <v>31153.32</v>
      </c>
      <c r="N208" s="24">
        <f aca="true" t="shared" si="19" ref="N208:N218">M208/M$220</f>
        <v>0.08189673138085213</v>
      </c>
      <c r="O208" s="3">
        <f>'[11]Summary'!$B$212</f>
        <v>31288.55</v>
      </c>
      <c r="P208" s="27">
        <f>4345.71-2102.76+81100.92-40479</f>
        <v>42864.869999999995</v>
      </c>
    </row>
    <row r="209" spans="1:16" ht="12.75">
      <c r="A209" t="s">
        <v>5</v>
      </c>
      <c r="B209" s="27">
        <f>LU!E18</f>
        <v>30514.769999999997</v>
      </c>
      <c r="C209" s="1">
        <f>6054.6-3877.95</f>
        <v>2176.6500000000005</v>
      </c>
      <c r="D209" s="1">
        <f>LU!B18</f>
        <v>54954.049999999996</v>
      </c>
      <c r="E209" s="1">
        <f>LU!C97</f>
        <v>17378046.18</v>
      </c>
      <c r="G209" s="27">
        <f t="shared" si="17"/>
        <v>17433000.23</v>
      </c>
      <c r="J209" s="3">
        <f>LU!B177</f>
        <v>-9998.21</v>
      </c>
      <c r="K209" s="3">
        <f>LU!E177</f>
        <v>0</v>
      </c>
      <c r="M209" s="3">
        <f t="shared" si="18"/>
        <v>30514.769999999997</v>
      </c>
      <c r="N209" s="24">
        <f t="shared" si="19"/>
        <v>0.0802180930263126</v>
      </c>
      <c r="O209" s="3">
        <f>'[11]Summary'!$B$213</f>
        <v>31555.06</v>
      </c>
      <c r="P209" s="27">
        <f>6238.2-4345.71+122068.85-81100.92</f>
        <v>42860.42000000001</v>
      </c>
    </row>
    <row r="210" spans="1:20" ht="12.75">
      <c r="A210" t="s">
        <v>6</v>
      </c>
      <c r="B210" s="27">
        <f>LU!E22</f>
        <v>44650.98</v>
      </c>
      <c r="C210" s="1">
        <f>9081.9-6054.6</f>
        <v>3027.2999999999993</v>
      </c>
      <c r="D210" s="1">
        <f>LU!B22</f>
        <v>80411.95</v>
      </c>
      <c r="E210" s="1">
        <f>LU!C103</f>
        <v>26045353.619999997</v>
      </c>
      <c r="G210" s="27">
        <f t="shared" si="17"/>
        <v>26125765.569999997</v>
      </c>
      <c r="J210" s="3">
        <f>LU!B181</f>
        <v>-26790.590000000004</v>
      </c>
      <c r="K210" s="3">
        <f>LU!E181</f>
        <v>0</v>
      </c>
      <c r="M210" s="3">
        <f t="shared" si="18"/>
        <v>44650.98</v>
      </c>
      <c r="N210" s="24">
        <f t="shared" si="19"/>
        <v>0.11737976289370768</v>
      </c>
      <c r="O210" s="3">
        <f>'[11]Summary'!$B$214</f>
        <v>31342.01</v>
      </c>
      <c r="P210" s="27">
        <f>8564.97-6238.2+178512.68-122068.85</f>
        <v>58770.59999999998</v>
      </c>
      <c r="Q210" s="1"/>
      <c r="R210" s="27"/>
      <c r="S210" s="3"/>
      <c r="T210" s="50"/>
    </row>
    <row r="211" spans="1:20" ht="12.75">
      <c r="A211" t="s">
        <v>7</v>
      </c>
      <c r="B211" s="27">
        <f>LU!E26</f>
        <v>90845.85999999999</v>
      </c>
      <c r="C211" s="1">
        <v>2251.71</v>
      </c>
      <c r="D211" s="1">
        <f>LU!B26</f>
        <v>163604.31</v>
      </c>
      <c r="E211" s="1">
        <f>LU!C109</f>
        <v>17998177.229999997</v>
      </c>
      <c r="G211" s="27">
        <f t="shared" si="17"/>
        <v>18161781.539999995</v>
      </c>
      <c r="J211" s="3">
        <f>LU!B186</f>
        <v>-54507.509999999995</v>
      </c>
      <c r="K211" s="3">
        <f>LU!E186</f>
        <v>0</v>
      </c>
      <c r="M211" s="3">
        <f t="shared" si="18"/>
        <v>90845.85999999999</v>
      </c>
      <c r="N211" s="24">
        <f t="shared" si="19"/>
        <v>0.2388181739051407</v>
      </c>
      <c r="O211" s="3">
        <f>'[11]Summary'!$B$215</f>
        <v>35663.85</v>
      </c>
      <c r="P211" s="27">
        <f>10816.68-8564.97+242739.71-178512.38</f>
        <v>66479.03999999998</v>
      </c>
      <c r="Q211" s="1">
        <f>SUM(P$207:P211)/SUM(O$207:O211)</f>
        <v>1.5746131121476876</v>
      </c>
      <c r="R211" s="27">
        <f>Q211*SUM(B$207:B211)</f>
        <v>359176.1949247121</v>
      </c>
      <c r="S211" s="3">
        <f>SUM(C$207:D211)-R211</f>
        <v>62950.645075287845</v>
      </c>
      <c r="T211" s="50">
        <f>R211-SUM(P$207:P211)</f>
        <v>105619.50492471215</v>
      </c>
    </row>
    <row r="212" spans="1:18" ht="12.75">
      <c r="A212" t="s">
        <v>8</v>
      </c>
      <c r="B212" s="27">
        <f>LU!E31</f>
        <v>-40816.21373813093</v>
      </c>
      <c r="C212" s="1">
        <f>13660.38-11333.61</f>
        <v>2326.7699999999986</v>
      </c>
      <c r="D212" s="1">
        <f>LU!B31</f>
        <v>-73505.92</v>
      </c>
      <c r="E212" s="1">
        <f>LU!C115</f>
        <v>10964728.169999998</v>
      </c>
      <c r="G212" s="27">
        <f t="shared" si="17"/>
        <v>10891222.249999998</v>
      </c>
      <c r="J212" s="3">
        <f>LU!B190</f>
        <v>16179.080000000002</v>
      </c>
      <c r="K212" s="3">
        <f>LU!E190</f>
        <v>0</v>
      </c>
      <c r="M212" s="3">
        <f t="shared" si="18"/>
        <v>-40816.21373813093</v>
      </c>
      <c r="N212" s="24">
        <f t="shared" si="19"/>
        <v>-0.10729882055893739</v>
      </c>
      <c r="O212" s="3">
        <f>'[11]Summary'!$B$216</f>
        <v>34778.5</v>
      </c>
      <c r="P212" s="27">
        <f>13143.45-10816.68+305372.31-242739.71</f>
        <v>64959.370000000024</v>
      </c>
      <c r="R212" s="27"/>
    </row>
    <row r="213" spans="1:16" ht="12.75">
      <c r="A213" t="s">
        <v>9</v>
      </c>
      <c r="B213" s="27">
        <f>LU!E35</f>
        <v>33026.4</v>
      </c>
      <c r="C213" s="1">
        <f>15161.52-13660.38</f>
        <v>1501.1400000000012</v>
      </c>
      <c r="D213" s="1">
        <f>LU!B35</f>
        <v>33726.95</v>
      </c>
      <c r="E213" s="1">
        <f>LU!C121</f>
        <v>18825088.59</v>
      </c>
      <c r="G213" s="27">
        <f t="shared" si="17"/>
        <v>18858815.54</v>
      </c>
      <c r="J213" s="3">
        <f>LU!B194</f>
        <v>-11236.700000000012</v>
      </c>
      <c r="K213" s="3">
        <f>LU!E194</f>
        <v>33026.4</v>
      </c>
      <c r="M213" s="3">
        <f t="shared" si="18"/>
        <v>33026.4</v>
      </c>
      <c r="N213" s="24">
        <f t="shared" si="19"/>
        <v>0.08682073722083472</v>
      </c>
      <c r="O213" s="3">
        <f>'[11]Summary'!$B$217</f>
        <v>36257.26</v>
      </c>
      <c r="P213" s="27">
        <f>15395.16-13143.45+370668.01-305372.31</f>
        <v>67547.41000000003</v>
      </c>
    </row>
    <row r="214" spans="1:16" ht="12.75">
      <c r="A214" t="s">
        <v>10</v>
      </c>
      <c r="B214" s="27">
        <f>LU!E39</f>
        <v>53491.68193680937</v>
      </c>
      <c r="C214" s="1">
        <v>3077.34</v>
      </c>
      <c r="D214" s="1">
        <f>LU!B39</f>
        <v>96333.17</v>
      </c>
      <c r="E214" s="1">
        <f>LU!C127</f>
        <v>0</v>
      </c>
      <c r="G214" s="27">
        <f t="shared" si="17"/>
        <v>96333.17</v>
      </c>
      <c r="J214" s="3">
        <f>LU!B198</f>
        <v>-10595.18</v>
      </c>
      <c r="K214" s="3">
        <f>LU!E198</f>
        <v>0</v>
      </c>
      <c r="M214" s="3">
        <f t="shared" si="18"/>
        <v>53491.68193680937</v>
      </c>
      <c r="N214" s="24">
        <f t="shared" si="19"/>
        <v>0.14062045094034462</v>
      </c>
      <c r="O214" s="3">
        <f>'[11]Summary'!$B$218</f>
        <v>38016.68</v>
      </c>
      <c r="P214" s="27">
        <f>17721.93-15395.16+439132.26-370668.01</f>
        <v>70791.02000000002</v>
      </c>
    </row>
    <row r="215" spans="1:16" ht="12.75">
      <c r="A215" t="s">
        <v>11</v>
      </c>
      <c r="B215" s="27">
        <f>LU!E43</f>
        <v>17936.820478649563</v>
      </c>
      <c r="C215" s="1">
        <v>1501.14</v>
      </c>
      <c r="D215" s="1">
        <f>LU!B43</f>
        <v>32302.42</v>
      </c>
      <c r="E215" s="1">
        <f>LU!C133</f>
        <v>0</v>
      </c>
      <c r="G215" s="27">
        <f t="shared" si="17"/>
        <v>32302.42</v>
      </c>
      <c r="J215" s="3">
        <f>LU!B202</f>
        <v>0</v>
      </c>
      <c r="K215" s="3">
        <f>LU!E202</f>
        <v>0</v>
      </c>
      <c r="M215" s="3">
        <f t="shared" si="18"/>
        <v>17936.820478649563</v>
      </c>
      <c r="N215" s="24">
        <f t="shared" si="19"/>
        <v>0.047152822510298446</v>
      </c>
      <c r="O215" s="3">
        <f>'[11]Summary'!$B$219</f>
        <v>36614.25</v>
      </c>
      <c r="P215" s="27">
        <f>20048.7-17721.93+505070.86-439132.26</f>
        <v>68265.37</v>
      </c>
    </row>
    <row r="216" spans="1:16" ht="12.75">
      <c r="A216" t="s">
        <v>12</v>
      </c>
      <c r="B216" s="27">
        <f>LU!E47</f>
        <v>53665.91704147926</v>
      </c>
      <c r="C216" s="1">
        <v>3077.34</v>
      </c>
      <c r="D216" s="1">
        <f>LU!B47</f>
        <v>96646.95</v>
      </c>
      <c r="E216" s="1">
        <f>LU!C139</f>
        <v>0</v>
      </c>
      <c r="G216" s="27">
        <f t="shared" si="17"/>
        <v>96646.95</v>
      </c>
      <c r="J216" s="3">
        <f>LU!B206</f>
        <v>0</v>
      </c>
      <c r="K216" s="3">
        <f>LU!E206</f>
        <v>0</v>
      </c>
      <c r="M216" s="3">
        <f t="shared" si="18"/>
        <v>53665.91704147926</v>
      </c>
      <c r="N216" s="24">
        <f t="shared" si="19"/>
        <v>0.14107848512624407</v>
      </c>
      <c r="O216" s="3">
        <f>'[11]Summary'!$B$220</f>
        <v>37696.32</v>
      </c>
      <c r="P216" s="27">
        <f>22300.41-20048.7+572958.16-505070.86</f>
        <v>70139.01000000001</v>
      </c>
    </row>
    <row r="217" spans="1:16" ht="12.75">
      <c r="A217" t="s">
        <v>13</v>
      </c>
      <c r="B217" s="27">
        <f>LU!E51</f>
        <v>34988.58348603476</v>
      </c>
      <c r="C217" s="1">
        <v>2326.77</v>
      </c>
      <c r="D217" s="1">
        <f>LU!B51</f>
        <v>63010.94</v>
      </c>
      <c r="E217" s="1">
        <f>LU!C145</f>
        <v>0</v>
      </c>
      <c r="G217" s="27">
        <f t="shared" si="17"/>
        <v>63010.94</v>
      </c>
      <c r="J217" s="3">
        <f>LU!B210</f>
        <v>0</v>
      </c>
      <c r="K217" s="3">
        <f>LU!E210</f>
        <v>0</v>
      </c>
      <c r="M217" s="3">
        <f t="shared" si="18"/>
        <v>34988.58348603476</v>
      </c>
      <c r="N217" s="24">
        <f t="shared" si="19"/>
        <v>0.09197898083261455</v>
      </c>
      <c r="O217" s="3">
        <f>'[11]Summary'!$B$221</f>
        <v>37228.05</v>
      </c>
      <c r="P217" s="27">
        <f>24627.18-22300.41+640002.16-572958.16</f>
        <v>69370.77000000002</v>
      </c>
    </row>
    <row r="218" spans="1:24" s="74" customFormat="1" ht="12.75">
      <c r="A218" s="74" t="s">
        <v>14</v>
      </c>
      <c r="B218" s="112">
        <f>LU!E55</f>
        <v>17553.68982175579</v>
      </c>
      <c r="C218" s="111">
        <v>1501.14</v>
      </c>
      <c r="D218" s="111">
        <f>LU!B55</f>
        <v>31612.44</v>
      </c>
      <c r="E218" s="111">
        <f>LU!C151</f>
        <v>0</v>
      </c>
      <c r="F218" s="112"/>
      <c r="G218" s="112">
        <f t="shared" si="17"/>
        <v>31612.44</v>
      </c>
      <c r="H218" s="112"/>
      <c r="I218" s="120"/>
      <c r="J218" s="121">
        <f>LU!B214</f>
        <v>0</v>
      </c>
      <c r="K218" s="121">
        <f>LU!E214</f>
        <v>0</v>
      </c>
      <c r="M218" s="113">
        <f>B227</f>
        <v>0</v>
      </c>
      <c r="N218" s="120">
        <f t="shared" si="19"/>
        <v>0</v>
      </c>
      <c r="O218" s="121">
        <f>'[11]Summary'!$B$222</f>
        <v>31930.47</v>
      </c>
      <c r="P218" s="112">
        <f>26878.89-24627.18+697505.74-640002.16</f>
        <v>59755.28999999992</v>
      </c>
      <c r="U218" s="112"/>
      <c r="V218" s="112"/>
      <c r="W218" s="112"/>
      <c r="X218" s="112"/>
    </row>
    <row r="219" spans="1:20" ht="12.75">
      <c r="A219" s="114" t="s">
        <v>203</v>
      </c>
      <c r="B219" s="28"/>
      <c r="C219" s="8"/>
      <c r="D219" s="8"/>
      <c r="E219" s="8"/>
      <c r="F219" s="28"/>
      <c r="G219" s="28"/>
      <c r="H219" s="28"/>
      <c r="I219" s="31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</row>
    <row r="220" spans="2:20" ht="12.75">
      <c r="B220" s="59">
        <f aca="true" t="shared" si="20" ref="B220:T220">SUM(B206:B219)</f>
        <v>397951.28902659786</v>
      </c>
      <c r="C220" s="59">
        <f t="shared" si="20"/>
        <v>26645.25</v>
      </c>
      <c r="D220" s="59">
        <f t="shared" si="20"/>
        <v>690920.1799999999</v>
      </c>
      <c r="E220" s="143">
        <f t="shared" si="20"/>
        <v>126752509.61999999</v>
      </c>
      <c r="F220" s="143">
        <f t="shared" si="20"/>
        <v>379000</v>
      </c>
      <c r="G220" s="143">
        <f t="shared" si="20"/>
        <v>127443429.8</v>
      </c>
      <c r="H220" s="143">
        <f t="shared" si="20"/>
        <v>233966</v>
      </c>
      <c r="I220" s="143">
        <f t="shared" si="20"/>
        <v>0</v>
      </c>
      <c r="J220" s="143">
        <f t="shared" si="20"/>
        <v>-134204.78</v>
      </c>
      <c r="K220" s="143">
        <f t="shared" si="20"/>
        <v>95119.20000000001</v>
      </c>
      <c r="L220" s="143">
        <f t="shared" si="20"/>
        <v>0</v>
      </c>
      <c r="M220" s="143">
        <f t="shared" si="20"/>
        <v>380397.59920484206</v>
      </c>
      <c r="N220" s="143">
        <f t="shared" si="20"/>
        <v>0.9999999999999998</v>
      </c>
      <c r="O220" s="143">
        <f t="shared" si="20"/>
        <v>413549.45999999996</v>
      </c>
      <c r="P220" s="143">
        <f t="shared" si="20"/>
        <v>724384.93</v>
      </c>
      <c r="Q220" s="143">
        <f t="shared" si="20"/>
        <v>1.5746131121476876</v>
      </c>
      <c r="R220" s="143">
        <f t="shared" si="20"/>
        <v>359176.1949247121</v>
      </c>
      <c r="S220" s="143">
        <f t="shared" si="20"/>
        <v>62950.645075287845</v>
      </c>
      <c r="T220" s="143">
        <f t="shared" si="20"/>
        <v>105619.50492471215</v>
      </c>
    </row>
    <row r="221" spans="2:16" ht="12.75">
      <c r="B221" s="1">
        <f>+B220-LU!E57</f>
        <v>0</v>
      </c>
      <c r="D221" s="1">
        <f>+D220-LU!I55</f>
        <v>0</v>
      </c>
      <c r="G221" s="1"/>
      <c r="P221" s="27">
        <f>26878.89+697505.74</f>
        <v>724384.63</v>
      </c>
    </row>
    <row r="222" spans="1:16" ht="12.75">
      <c r="A222" t="str">
        <f>A141</f>
        <v>August</v>
      </c>
      <c r="B222" s="27">
        <v>33000</v>
      </c>
      <c r="C222" s="24">
        <f>C141</f>
        <v>0.0883344770922695</v>
      </c>
      <c r="D222" s="27">
        <f>750.57*3</f>
        <v>2251.71</v>
      </c>
      <c r="F222" s="24">
        <f>F141</f>
        <v>0.08414518664441924</v>
      </c>
      <c r="G222" s="27">
        <f>F222*G$231-1000000</f>
        <v>18269247.741572004</v>
      </c>
      <c r="P222" s="27">
        <f>1028540.19+2216628.69</f>
        <v>3245168.88</v>
      </c>
    </row>
    <row r="223" spans="1:7" ht="12.75">
      <c r="A223" t="str">
        <f>A142</f>
        <v>September</v>
      </c>
      <c r="B223" s="27">
        <v>33000</v>
      </c>
      <c r="C223" s="24">
        <f>C142</f>
        <v>0.08893926408806838</v>
      </c>
      <c r="D223" s="27">
        <f>750.57*3</f>
        <v>2251.71</v>
      </c>
      <c r="F223" s="24">
        <f>F142</f>
        <v>0.08282746334919878</v>
      </c>
      <c r="G223" s="27">
        <f>F223*G$231-1000000</f>
        <v>17967489.10696652</v>
      </c>
    </row>
    <row r="224" spans="1:11" ht="12.75">
      <c r="A224" t="str">
        <f>A143</f>
        <v>October</v>
      </c>
      <c r="B224" s="27">
        <v>33000</v>
      </c>
      <c r="C224" s="24">
        <f>C143</f>
        <v>0.08086357890887176</v>
      </c>
      <c r="D224" s="27">
        <f>750.57*3</f>
        <v>2251.71</v>
      </c>
      <c r="E224" s="27"/>
      <c r="F224" s="24">
        <f>F143</f>
        <v>0.08498021556687134</v>
      </c>
      <c r="G224" s="27">
        <f>F224*G$231-1000000</f>
        <v>18460469.364813536</v>
      </c>
      <c r="J224" s="27"/>
      <c r="K224" s="27"/>
    </row>
    <row r="225" spans="1:11" ht="12.75">
      <c r="A225" t="str">
        <f>A144</f>
        <v>November</v>
      </c>
      <c r="B225" s="27">
        <v>33000</v>
      </c>
      <c r="C225" s="24">
        <f>C144</f>
        <v>0.08445672517802973</v>
      </c>
      <c r="D225" s="27">
        <f>750.57*3</f>
        <v>2251.71</v>
      </c>
      <c r="E225" s="27"/>
      <c r="F225" s="24">
        <f>F144</f>
        <v>0.08546284393466597</v>
      </c>
      <c r="G225" s="27">
        <f>F225*G$231-1000000</f>
        <v>18570991.261038505</v>
      </c>
      <c r="J225" s="27"/>
      <c r="K225" s="27"/>
    </row>
    <row r="226" spans="1:11" ht="12.75">
      <c r="A226" t="str">
        <f>A145</f>
        <v>December</v>
      </c>
      <c r="B226" s="27">
        <v>33000</v>
      </c>
      <c r="C226" s="24">
        <f>C145</f>
        <v>0.08719605451194223</v>
      </c>
      <c r="D226" s="27">
        <f>750.57*3</f>
        <v>2251.71</v>
      </c>
      <c r="E226" s="27"/>
      <c r="F226" s="24">
        <f>F145</f>
        <v>0.0855294429531431</v>
      </c>
      <c r="G226" s="27">
        <f>F226*G$231-1000000</f>
        <v>18586242.43626977</v>
      </c>
      <c r="J226" s="27"/>
      <c r="K226" s="27"/>
    </row>
    <row r="227" spans="2:11" ht="12.75">
      <c r="B227" s="27"/>
      <c r="C227" s="27"/>
      <c r="D227" s="27"/>
      <c r="E227" s="27"/>
      <c r="G227" s="27"/>
      <c r="J227" s="27"/>
      <c r="K227" s="27"/>
    </row>
    <row r="228" spans="2:20" ht="12.75">
      <c r="B228" s="27">
        <f>ROUND(SUM(B220:B226),-3)</f>
        <v>563000</v>
      </c>
      <c r="C228" s="27"/>
      <c r="D228" s="27">
        <f>ROUND(C220+SUM(D222:D226),-3)</f>
        <v>38000</v>
      </c>
      <c r="E228" s="27"/>
      <c r="G228" s="27">
        <f>ROUND(SUM(G220:G226),-6)</f>
        <v>219000000</v>
      </c>
      <c r="H228" s="24">
        <f>G228/(B228*24*30)</f>
        <v>0.5402605091770278</v>
      </c>
      <c r="J228" s="27"/>
      <c r="K228" s="27"/>
      <c r="R228" s="3"/>
      <c r="S228" s="3"/>
      <c r="T228" s="1"/>
    </row>
    <row r="229" spans="1:20" ht="13.5" thickBot="1">
      <c r="A229" s="27"/>
      <c r="B229" s="27"/>
      <c r="C229" s="27"/>
      <c r="D229" s="27"/>
      <c r="E229" s="27"/>
      <c r="G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</row>
    <row r="230" spans="2:10" ht="12.75">
      <c r="B230" s="1">
        <f>ROUND(B228*1.8009,-3)</f>
        <v>1014000</v>
      </c>
      <c r="H230" s="91"/>
      <c r="I230" s="107" t="s">
        <v>195</v>
      </c>
      <c r="J230" s="93"/>
    </row>
    <row r="231" spans="2:17" ht="12.75">
      <c r="B231" s="27">
        <v>424000</v>
      </c>
      <c r="G231" s="27">
        <v>229000000</v>
      </c>
      <c r="H231" s="105" t="s">
        <v>194</v>
      </c>
      <c r="I231" s="94"/>
      <c r="J231" s="95"/>
      <c r="O231" s="50"/>
      <c r="P231" s="3"/>
      <c r="Q231" s="24"/>
    </row>
    <row r="232" spans="8:10" ht="12.75">
      <c r="H232" s="96" t="s">
        <v>186</v>
      </c>
      <c r="I232" s="97"/>
      <c r="J232" s="98" t="s">
        <v>187</v>
      </c>
    </row>
    <row r="233" spans="1:10" ht="12.75">
      <c r="A233" s="58" t="s">
        <v>196</v>
      </c>
      <c r="B233" s="58">
        <f>+B220*H238</f>
        <v>38881.43274305472</v>
      </c>
      <c r="H233" s="99"/>
      <c r="I233" s="100"/>
      <c r="J233" s="101"/>
    </row>
    <row r="234" spans="1:10" ht="12.75">
      <c r="A234" s="58" t="s">
        <v>197</v>
      </c>
      <c r="B234" s="58">
        <f>+B220*J238</f>
        <v>124520.9480928676</v>
      </c>
      <c r="H234" s="99">
        <v>0.001806</v>
      </c>
      <c r="I234" s="106" t="s">
        <v>188</v>
      </c>
      <c r="J234" s="101">
        <v>0.005783</v>
      </c>
    </row>
    <row r="235" spans="1:10" ht="13.5" thickBot="1">
      <c r="A235" s="58" t="s">
        <v>198</v>
      </c>
      <c r="B235" s="134">
        <f>SUM(B233:B234)</f>
        <v>163402.38083592232</v>
      </c>
      <c r="H235" s="99">
        <v>0.001148</v>
      </c>
      <c r="I235" s="106" t="s">
        <v>189</v>
      </c>
      <c r="J235" s="101">
        <v>0.003678</v>
      </c>
    </row>
    <row r="236" spans="8:10" ht="12.75">
      <c r="H236" s="99">
        <v>0.195271</v>
      </c>
      <c r="I236" s="106" t="s">
        <v>190</v>
      </c>
      <c r="J236" s="101">
        <v>0.625371</v>
      </c>
    </row>
    <row r="237" spans="8:10" ht="12.75">
      <c r="H237" s="99">
        <v>0.120059</v>
      </c>
      <c r="I237" s="106" t="s">
        <v>191</v>
      </c>
      <c r="J237" s="101">
        <v>0.384498</v>
      </c>
    </row>
    <row r="238" spans="2:10" ht="12.75">
      <c r="B238" s="24">
        <f>B220/B231</f>
        <v>0.9385643609117874</v>
      </c>
      <c r="G238" s="24">
        <f>G220/G231</f>
        <v>0.556521527510917</v>
      </c>
      <c r="H238" s="131">
        <v>0.097704</v>
      </c>
      <c r="I238" s="132" t="s">
        <v>192</v>
      </c>
      <c r="J238" s="133">
        <v>0.312905</v>
      </c>
    </row>
    <row r="239" spans="2:10" ht="12.75">
      <c r="B239" s="57">
        <v>0.097704</v>
      </c>
      <c r="C239" s="1" t="s">
        <v>116</v>
      </c>
      <c r="H239" s="99">
        <v>0.101043</v>
      </c>
      <c r="I239" s="106" t="s">
        <v>193</v>
      </c>
      <c r="J239" s="101">
        <v>0.323597</v>
      </c>
    </row>
    <row r="240" spans="2:10" ht="12.75">
      <c r="B240" s="27">
        <f>ROUND(B220*B239,0)</f>
        <v>38881</v>
      </c>
      <c r="C240" s="1" t="s">
        <v>117</v>
      </c>
      <c r="H240" s="99"/>
      <c r="I240" s="100"/>
      <c r="J240" s="101"/>
    </row>
    <row r="241" spans="2:10" ht="13.5" thickBot="1">
      <c r="B241" s="27">
        <f>B239*B228</f>
        <v>55007.352</v>
      </c>
      <c r="H241" s="102"/>
      <c r="I241" s="103"/>
      <c r="J241" s="104"/>
    </row>
    <row r="242" ht="12.75">
      <c r="A242" s="89" t="s">
        <v>76</v>
      </c>
    </row>
    <row r="245" spans="2:24" s="43" customFormat="1" ht="38.25">
      <c r="B245" s="5" t="s">
        <v>185</v>
      </c>
      <c r="C245" s="5" t="s">
        <v>180</v>
      </c>
      <c r="D245" s="5" t="s">
        <v>16</v>
      </c>
      <c r="E245" s="5" t="s">
        <v>174</v>
      </c>
      <c r="F245" s="5" t="s">
        <v>173</v>
      </c>
      <c r="G245" s="5" t="s">
        <v>102</v>
      </c>
      <c r="H245" s="6" t="s">
        <v>101</v>
      </c>
      <c r="I245" s="5" t="s">
        <v>103</v>
      </c>
      <c r="J245" s="5" t="s">
        <v>104</v>
      </c>
      <c r="K245" s="5" t="s">
        <v>98</v>
      </c>
      <c r="L245" s="5" t="s">
        <v>99</v>
      </c>
      <c r="U245" s="55"/>
      <c r="V245" s="55"/>
      <c r="W245" s="55"/>
      <c r="X245" s="55"/>
    </row>
    <row r="246" spans="1:6" ht="12.75">
      <c r="A246" s="66" t="s">
        <v>202</v>
      </c>
      <c r="B246" s="1">
        <f>'ST LGT'!B6</f>
        <v>0</v>
      </c>
      <c r="C246" s="1">
        <f>+'ST LGT'!C6</f>
        <v>0</v>
      </c>
      <c r="D246" s="27">
        <f>+'ST LGT'!D6</f>
        <v>0</v>
      </c>
      <c r="F246" s="27">
        <f>'ST LGT'!J6</f>
        <v>0</v>
      </c>
    </row>
    <row r="247" spans="1:8" ht="12.75">
      <c r="A247" t="s">
        <v>3</v>
      </c>
      <c r="B247" s="1">
        <f>'ST LGT'!B8</f>
        <v>10737</v>
      </c>
      <c r="C247" s="1">
        <f>+'ST LGT'!C8</f>
        <v>1846.59</v>
      </c>
      <c r="D247" s="27">
        <f>+'ST LGT'!D8</f>
        <v>701243.79</v>
      </c>
      <c r="E247" s="1">
        <f>+'ST LGT'!I8</f>
        <v>1717.92</v>
      </c>
      <c r="F247" s="27">
        <f>'ST LGT'!J8</f>
        <v>1871.89</v>
      </c>
      <c r="G247" s="1">
        <f>'[11]Summary'!$C$252</f>
        <v>1862.3</v>
      </c>
      <c r="H247" s="27">
        <f>1616.85+1036.14</f>
        <v>2652.99</v>
      </c>
    </row>
    <row r="248" spans="1:8" ht="12.75">
      <c r="A248" t="s">
        <v>4</v>
      </c>
      <c r="B248" s="1">
        <f>'ST LGT'!B9</f>
        <v>10755</v>
      </c>
      <c r="C248" s="1">
        <f>+'ST LGT'!C9</f>
        <v>1849.05</v>
      </c>
      <c r="D248" s="27">
        <f>+'ST LGT'!D9</f>
        <v>859810.34</v>
      </c>
      <c r="E248" s="1">
        <f>+'ST LGT'!I9</f>
        <v>1720.8</v>
      </c>
      <c r="F248" s="27">
        <f>'ST LGT'!J9</f>
        <v>1874.38</v>
      </c>
      <c r="G248" s="1">
        <f>'[11]Summary'!$C$253</f>
        <v>1862.3</v>
      </c>
      <c r="H248" s="27">
        <f>1604.7+1024.45</f>
        <v>2629.15</v>
      </c>
    </row>
    <row r="249" spans="1:8" ht="12.75">
      <c r="A249" t="s">
        <v>5</v>
      </c>
      <c r="B249" s="1">
        <f>'ST LGT'!B10</f>
        <v>10792</v>
      </c>
      <c r="C249" s="1">
        <f>+'ST LGT'!C10</f>
        <v>1854.82</v>
      </c>
      <c r="D249" s="27">
        <f>+'ST LGT'!D10</f>
        <v>779024.63</v>
      </c>
      <c r="E249" s="1">
        <f>+'ST LGT'!I10</f>
        <v>1726.72</v>
      </c>
      <c r="F249" s="27">
        <f>'ST LGT'!J10</f>
        <v>1880.23</v>
      </c>
      <c r="G249" s="1">
        <f>'[11]Summary'!$C$254</f>
        <v>1865.94</v>
      </c>
      <c r="H249" s="27">
        <f>1716.16+1891.5</f>
        <v>3607.66</v>
      </c>
    </row>
    <row r="250" spans="1:12" ht="12.75">
      <c r="A250" t="s">
        <v>6</v>
      </c>
      <c r="B250" s="1">
        <f>'ST LGT'!B11</f>
        <v>10794</v>
      </c>
      <c r="C250" s="1">
        <f>+'ST LGT'!C11</f>
        <v>1855.08</v>
      </c>
      <c r="D250" s="27">
        <f>+'ST LGT'!D11</f>
        <v>862613.22</v>
      </c>
      <c r="E250" s="1">
        <f>+'ST LGT'!I11</f>
        <v>1727.04</v>
      </c>
      <c r="F250" s="27">
        <f>'ST LGT'!J11</f>
        <v>1880.49</v>
      </c>
      <c r="G250" s="1">
        <f>'[11]Summary'!$C$255</f>
        <v>1865.94</v>
      </c>
      <c r="H250" s="27">
        <f>1716.16+1891.5</f>
        <v>3607.66</v>
      </c>
      <c r="I250" s="1">
        <f>SUM(H247:H250)/SUM(G247:G250)</f>
        <v>1.6760535802416154</v>
      </c>
      <c r="J250" s="27">
        <f>I250*SUM(C246:C250)</f>
        <v>12412.081830622492</v>
      </c>
      <c r="K250" s="3">
        <f>SUM(E246:F249)-J250</f>
        <v>-1620.1418306224914</v>
      </c>
      <c r="L250" s="50">
        <f>J250-SUM(H247:H250)</f>
        <v>-85.37816937750722</v>
      </c>
    </row>
    <row r="251" spans="1:7" ht="12.75">
      <c r="A251" t="s">
        <v>7</v>
      </c>
      <c r="B251" s="1">
        <f>'ST LGT'!B12</f>
        <v>10794</v>
      </c>
      <c r="C251" s="1">
        <f>+'ST LGT'!C12</f>
        <v>1855.08</v>
      </c>
      <c r="D251" s="27">
        <f>+'ST LGT'!D12</f>
        <v>626090.31</v>
      </c>
      <c r="E251" s="1">
        <f>+'ST LGT'!I12</f>
        <v>1727.04</v>
      </c>
      <c r="F251" s="27">
        <f>'ST LGT'!J12</f>
        <v>1880.49</v>
      </c>
      <c r="G251" s="1">
        <f>'[11]Summary'!$C$256</f>
        <v>1827.069152609253</v>
      </c>
    </row>
    <row r="252" spans="1:8" ht="12.75">
      <c r="A252" t="s">
        <v>8</v>
      </c>
      <c r="B252" s="1">
        <f>'ST LGT'!B13</f>
        <v>10794</v>
      </c>
      <c r="C252" s="1">
        <f>+'ST LGT'!C13</f>
        <v>1855.08</v>
      </c>
      <c r="D252" s="27">
        <f>+'ST LGT'!D13</f>
        <v>646959.99</v>
      </c>
      <c r="E252" s="1">
        <f>+'ST LGT'!I13</f>
        <v>1727.04</v>
      </c>
      <c r="F252" s="27">
        <f>'ST LGT'!J13</f>
        <v>1880.49</v>
      </c>
      <c r="G252" s="1">
        <f>'[11]Summary'!$C$257</f>
        <v>1825.83</v>
      </c>
      <c r="H252" s="27">
        <f>1699.52+1911.18</f>
        <v>3610.7</v>
      </c>
    </row>
    <row r="253" spans="1:7" ht="12.75">
      <c r="A253" t="s">
        <v>9</v>
      </c>
      <c r="B253" s="1">
        <f>'ST LGT'!B14</f>
        <v>10794</v>
      </c>
      <c r="C253" s="1">
        <f>+'ST LGT'!C14</f>
        <v>1855.08</v>
      </c>
      <c r="D253" s="27">
        <f>+'ST LGT'!D14</f>
        <v>626090.31</v>
      </c>
      <c r="E253" s="1">
        <f>+'ST LGT'!I14</f>
        <v>1727.04</v>
      </c>
      <c r="F253" s="27">
        <f>'ST LGT'!J14</f>
        <v>1880.49</v>
      </c>
      <c r="G253" s="1">
        <f>'[11]Summary'!$C$258</f>
        <v>1825.83</v>
      </c>
    </row>
    <row r="254" spans="1:8" ht="12.75">
      <c r="A254" t="s">
        <v>10</v>
      </c>
      <c r="B254" s="1">
        <f>'ST LGT'!B15</f>
        <v>10794</v>
      </c>
      <c r="C254" s="1">
        <f>+'ST LGT'!C15</f>
        <v>1855.0754661142348</v>
      </c>
      <c r="D254" s="27">
        <f>+'ST LGT'!D15</f>
        <v>0</v>
      </c>
      <c r="E254" s="1">
        <f>+'ST LGT'!I15</f>
        <v>1727.04</v>
      </c>
      <c r="F254" s="27">
        <f>'ST LGT'!J15</f>
        <v>1880.49</v>
      </c>
      <c r="G254" s="1">
        <f>'[11]Summary'!$C$259</f>
        <v>1825.83</v>
      </c>
      <c r="H254" s="27">
        <f>3455.69+1909.88</f>
        <v>5365.57</v>
      </c>
    </row>
    <row r="255" spans="1:8" ht="12.75">
      <c r="A255" t="s">
        <v>11</v>
      </c>
      <c r="B255" s="1">
        <f>'ST LGT'!B16</f>
        <v>10794</v>
      </c>
      <c r="C255" s="1">
        <f>+'ST LGT'!C16</f>
        <v>1855.0754661142348</v>
      </c>
      <c r="D255" s="27">
        <f>+'ST LGT'!D16</f>
        <v>0</v>
      </c>
      <c r="E255" s="1">
        <f>+'ST LGT'!I16</f>
        <v>1727.04</v>
      </c>
      <c r="F255" s="27">
        <f>'ST LGT'!J16</f>
        <v>1880.49</v>
      </c>
      <c r="G255" s="1">
        <f>'[11]Summary'!$C$260</f>
        <v>1832.84</v>
      </c>
      <c r="H255" s="27">
        <f>1756.17+1909.88</f>
        <v>3666.05</v>
      </c>
    </row>
    <row r="256" spans="1:8" ht="12.75">
      <c r="A256" t="s">
        <v>12</v>
      </c>
      <c r="B256" s="1">
        <f>'ST LGT'!B17</f>
        <v>10824</v>
      </c>
      <c r="C256" s="1">
        <f>+'ST LGT'!C17</f>
        <v>1858.9819473216928</v>
      </c>
      <c r="D256" s="27">
        <f>+'ST LGT'!D17</f>
        <v>0</v>
      </c>
      <c r="E256" s="1">
        <f>+'ST LGT'!I17</f>
        <v>1731.84</v>
      </c>
      <c r="F256" s="27">
        <f>'ST LGT'!J17</f>
        <v>1884.45</v>
      </c>
      <c r="G256" s="1">
        <f>'[11]Summary'!$C$261</f>
        <v>1844.26</v>
      </c>
      <c r="H256" s="27">
        <f>11759.79-13565.25+15106.16-11574.53</f>
        <v>1726.17</v>
      </c>
    </row>
    <row r="257" spans="1:8" ht="12.75">
      <c r="A257" t="s">
        <v>13</v>
      </c>
      <c r="B257" s="1">
        <f>'ST LGT'!B18</f>
        <v>10824</v>
      </c>
      <c r="C257" s="1">
        <f>+'ST LGT'!C18</f>
        <v>1858.9819473216928</v>
      </c>
      <c r="D257" s="27">
        <f>+'ST LGT'!D18</f>
        <v>0</v>
      </c>
      <c r="E257" s="1">
        <f>+'ST LGT'!I18</f>
        <v>1731.84</v>
      </c>
      <c r="F257" s="27">
        <f>'ST LGT'!J18</f>
        <v>1884.45</v>
      </c>
      <c r="G257" s="1">
        <f>'[11]Summary'!$C$262</f>
        <v>1846.59</v>
      </c>
      <c r="H257" s="27">
        <f>16874.03-11759.79+1869.53</f>
        <v>6983.769999999998</v>
      </c>
    </row>
    <row r="258" spans="1:24" s="74" customFormat="1" ht="12.75">
      <c r="A258" s="74" t="s">
        <v>14</v>
      </c>
      <c r="B258" s="111">
        <f>'ST LGT'!B19</f>
        <v>10876</v>
      </c>
      <c r="C258" s="111">
        <f>+'ST LGT'!C19</f>
        <v>1867.2388280556377</v>
      </c>
      <c r="D258" s="112">
        <f>+'ST LGT'!D19</f>
        <v>0</v>
      </c>
      <c r="E258" s="111">
        <f>+'ST LGT'!I19</f>
        <v>1740.16</v>
      </c>
      <c r="F258" s="112">
        <f>'ST LGT'!J19</f>
        <v>1892.82</v>
      </c>
      <c r="G258" s="111">
        <f>G257</f>
        <v>1846.59</v>
      </c>
      <c r="H258" s="112">
        <f>1717.92+1871.89</f>
        <v>3589.8100000000004</v>
      </c>
      <c r="I258" s="120"/>
      <c r="U258" s="112"/>
      <c r="V258" s="112"/>
      <c r="W258" s="112"/>
      <c r="X258" s="112"/>
    </row>
    <row r="259" spans="1:13" ht="12.75">
      <c r="A259" s="114" t="s">
        <v>203</v>
      </c>
      <c r="B259" s="8"/>
      <c r="C259" s="8"/>
      <c r="D259" s="8"/>
      <c r="E259" s="8"/>
      <c r="F259" s="28"/>
      <c r="G259" s="8"/>
      <c r="H259" s="28"/>
      <c r="I259" s="31"/>
      <c r="J259" s="7"/>
      <c r="K259" s="7"/>
      <c r="L259" s="7"/>
      <c r="M259" s="7"/>
    </row>
    <row r="260" spans="2:12" ht="12.75">
      <c r="B260" s="135">
        <f aca="true" t="shared" si="21" ref="B260:L260">SUM(B246:B259)</f>
        <v>129572</v>
      </c>
      <c r="C260" s="58">
        <f t="shared" si="21"/>
        <v>22266.13365492749</v>
      </c>
      <c r="D260" s="27">
        <f t="shared" si="21"/>
        <v>5101832.59</v>
      </c>
      <c r="E260" s="59">
        <f t="shared" si="21"/>
        <v>20731.520000000004</v>
      </c>
      <c r="F260" s="59">
        <f t="shared" si="21"/>
        <v>22571.16</v>
      </c>
      <c r="G260" s="27">
        <f t="shared" si="21"/>
        <v>22131.31915260925</v>
      </c>
      <c r="H260" s="27">
        <f t="shared" si="21"/>
        <v>37439.52999999999</v>
      </c>
      <c r="I260" s="27">
        <f t="shared" si="21"/>
        <v>1.6760535802416154</v>
      </c>
      <c r="J260" s="27">
        <f t="shared" si="21"/>
        <v>12412.081830622492</v>
      </c>
      <c r="K260" s="27">
        <f t="shared" si="21"/>
        <v>-1620.1418306224914</v>
      </c>
      <c r="L260" s="27">
        <f t="shared" si="21"/>
        <v>-85.37816937750722</v>
      </c>
    </row>
    <row r="261" spans="2:6" ht="12.75">
      <c r="B261" s="1">
        <f>+B260-'ST LGT'!B21</f>
        <v>0</v>
      </c>
      <c r="C261" s="1">
        <f>+C260-'ST LGT'!C21</f>
        <v>0</v>
      </c>
      <c r="D261" s="1">
        <f>+D260-'ST LGT'!D21</f>
        <v>0</v>
      </c>
      <c r="E261" s="1">
        <f>+E260-'ST LGT'!I21</f>
        <v>0</v>
      </c>
      <c r="F261" s="27">
        <f>+F260-'ST LGT'!J21</f>
        <v>0</v>
      </c>
    </row>
    <row r="262" spans="1:16" ht="12.75">
      <c r="A262" t="str">
        <f>A222</f>
        <v>August</v>
      </c>
      <c r="B262" s="24">
        <f>C222</f>
        <v>0.0883344770922695</v>
      </c>
      <c r="C262" s="27">
        <f>B262*C$271</f>
        <v>1943.358496029929</v>
      </c>
      <c r="D262" s="1">
        <f>E262*D$271</f>
        <v>673161.4931553539</v>
      </c>
      <c r="E262" s="56">
        <f>F222</f>
        <v>0.08414518664441924</v>
      </c>
      <c r="F262" s="27">
        <f>G262*0.16</f>
        <v>1785.92</v>
      </c>
      <c r="G262" s="27">
        <v>11162</v>
      </c>
      <c r="P262" s="27">
        <f>1028540.19+2216628.69</f>
        <v>3245168.88</v>
      </c>
    </row>
    <row r="263" spans="1:7" ht="12.75">
      <c r="A263" t="str">
        <f>A223</f>
        <v>September</v>
      </c>
      <c r="B263" s="24">
        <f>C223</f>
        <v>0.08893926408806838</v>
      </c>
      <c r="C263" s="27">
        <f>B263*C$271</f>
        <v>1956.6638099375043</v>
      </c>
      <c r="D263" s="1">
        <f>E263*D$271</f>
        <v>662619.7067935903</v>
      </c>
      <c r="E263" s="56">
        <f>F223</f>
        <v>0.08282746334919878</v>
      </c>
      <c r="F263" s="27">
        <f>G263*0.16</f>
        <v>1729.6000000000001</v>
      </c>
      <c r="G263" s="27">
        <v>10810</v>
      </c>
    </row>
    <row r="264" spans="1:11" ht="12.75">
      <c r="A264" t="str">
        <f>A224</f>
        <v>October</v>
      </c>
      <c r="B264" s="24">
        <f>C224</f>
        <v>0.08086357890887176</v>
      </c>
      <c r="C264" s="27">
        <f>B264*C$271</f>
        <v>1778.9987359951788</v>
      </c>
      <c r="D264" s="1">
        <f>E264*D$271</f>
        <v>679841.7245349707</v>
      </c>
      <c r="E264" s="56">
        <f>F224</f>
        <v>0.08498021556687134</v>
      </c>
      <c r="F264" s="27">
        <f>G264*0.16</f>
        <v>1788.64</v>
      </c>
      <c r="G264" s="27">
        <v>11179</v>
      </c>
      <c r="J264" s="27"/>
      <c r="K264" s="27"/>
    </row>
    <row r="265" spans="1:11" ht="12.75">
      <c r="A265" t="str">
        <f>A225</f>
        <v>November</v>
      </c>
      <c r="B265" s="24">
        <f>C225</f>
        <v>0.08445672517802973</v>
      </c>
      <c r="C265" s="27">
        <f>B265*C$271</f>
        <v>1858.047953916654</v>
      </c>
      <c r="D265" s="1">
        <f>E265*D$271</f>
        <v>683702.7514773278</v>
      </c>
      <c r="E265" s="56">
        <f>F225</f>
        <v>0.08546284393466597</v>
      </c>
      <c r="F265" s="27">
        <f>G265*0.16</f>
        <v>1732.16</v>
      </c>
      <c r="G265" s="27">
        <v>10826</v>
      </c>
      <c r="J265" s="27"/>
      <c r="K265" s="27"/>
    </row>
    <row r="266" spans="1:11" ht="12.75">
      <c r="A266" t="str">
        <f>A226</f>
        <v>December</v>
      </c>
      <c r="B266" s="24">
        <f>C226</f>
        <v>0.08719605451194223</v>
      </c>
      <c r="C266" s="27">
        <f>B266*C$271</f>
        <v>1918.313199262729</v>
      </c>
      <c r="D266" s="1">
        <f>E266*D$271</f>
        <v>684235.5436251449</v>
      </c>
      <c r="E266" s="56">
        <f>F226</f>
        <v>0.0855294429531431</v>
      </c>
      <c r="F266" s="27">
        <f>G266*0.16</f>
        <v>1791.2</v>
      </c>
      <c r="G266" s="27">
        <v>11195</v>
      </c>
      <c r="J266" s="27"/>
      <c r="K266" s="27"/>
    </row>
    <row r="267" spans="2:11" ht="12.75">
      <c r="B267" s="27"/>
      <c r="C267" s="27"/>
      <c r="D267" s="27"/>
      <c r="E267" s="27"/>
      <c r="G267" s="27"/>
      <c r="J267" s="27"/>
      <c r="K267" s="27"/>
    </row>
    <row r="268" spans="2:20" ht="13.5" thickBot="1">
      <c r="B268" s="27"/>
      <c r="C268" s="27">
        <f>ROUND(SUM(C260:C266),-3)</f>
        <v>32000</v>
      </c>
      <c r="D268" s="27">
        <f>ROUND(SUM(D260:D266),-6)</f>
        <v>8000000</v>
      </c>
      <c r="E268" s="27"/>
      <c r="F268" s="27">
        <f>ROUND(E260+SUM(F262:F266),-3)</f>
        <v>30000</v>
      </c>
      <c r="G268" s="27"/>
      <c r="J268" s="27"/>
      <c r="K268" s="27"/>
      <c r="R268" s="3"/>
      <c r="S268" s="3"/>
      <c r="T268" s="1"/>
    </row>
    <row r="269" spans="8:10" s="27" customFormat="1" ht="12.75">
      <c r="H269" s="91"/>
      <c r="I269" s="92"/>
      <c r="J269" s="93"/>
    </row>
    <row r="270" spans="3:10" ht="13.5" thickBot="1">
      <c r="C270" s="1">
        <f>ROUND(C268*1.0137,-3)</f>
        <v>32000</v>
      </c>
      <c r="H270" s="105" t="s">
        <v>194</v>
      </c>
      <c r="I270" s="94"/>
      <c r="J270" s="95"/>
    </row>
    <row r="271" spans="3:10" ht="12.75">
      <c r="C271" s="27">
        <v>22000</v>
      </c>
      <c r="D271" s="27">
        <v>8000000</v>
      </c>
      <c r="H271" s="96" t="s">
        <v>186</v>
      </c>
      <c r="I271" s="107" t="s">
        <v>195</v>
      </c>
      <c r="J271" s="98" t="s">
        <v>187</v>
      </c>
    </row>
    <row r="272" spans="8:10" ht="12.75">
      <c r="H272" s="99"/>
      <c r="I272" s="100"/>
      <c r="J272" s="101"/>
    </row>
    <row r="273" spans="1:10" ht="12.75">
      <c r="A273" s="58" t="s">
        <v>196</v>
      </c>
      <c r="B273" s="58">
        <f>+B260*H278</f>
        <v>13092.343595999999</v>
      </c>
      <c r="H273" s="99">
        <v>0.001806</v>
      </c>
      <c r="I273" s="106" t="s">
        <v>188</v>
      </c>
      <c r="J273" s="101">
        <v>0.005783</v>
      </c>
    </row>
    <row r="274" spans="1:10" ht="12.75">
      <c r="A274" s="58" t="s">
        <v>197</v>
      </c>
      <c r="B274" s="58">
        <f>+B260*J278</f>
        <v>41929.110484000004</v>
      </c>
      <c r="H274" s="99">
        <v>0.001148</v>
      </c>
      <c r="I274" s="106" t="s">
        <v>189</v>
      </c>
      <c r="J274" s="101">
        <v>0.003678</v>
      </c>
    </row>
    <row r="275" spans="1:10" ht="13.5" thickBot="1">
      <c r="A275" s="58" t="s">
        <v>198</v>
      </c>
      <c r="B275" s="139">
        <f>SUM(B273:B274)</f>
        <v>55021.45408</v>
      </c>
      <c r="H275" s="99">
        <v>0.195271</v>
      </c>
      <c r="I275" s="106" t="s">
        <v>190</v>
      </c>
      <c r="J275" s="101">
        <v>0.625371</v>
      </c>
    </row>
    <row r="276" spans="8:10" ht="12.75">
      <c r="H276" s="99">
        <v>0.120059</v>
      </c>
      <c r="I276" s="106" t="s">
        <v>191</v>
      </c>
      <c r="J276" s="101">
        <v>0.384498</v>
      </c>
    </row>
    <row r="277" spans="8:10" ht="12.75">
      <c r="H277" s="99">
        <v>0.097704</v>
      </c>
      <c r="I277" s="106" t="s">
        <v>192</v>
      </c>
      <c r="J277" s="101">
        <v>0.312905</v>
      </c>
    </row>
    <row r="278" spans="5:10" ht="12.75">
      <c r="E278" s="90"/>
      <c r="H278" s="136">
        <v>0.101043</v>
      </c>
      <c r="I278" s="137" t="s">
        <v>193</v>
      </c>
      <c r="J278" s="138">
        <v>0.323597</v>
      </c>
    </row>
    <row r="279" spans="3:10" ht="12.75">
      <c r="C279" s="24">
        <f>C260/C271</f>
        <v>1.012096984314886</v>
      </c>
      <c r="D279" s="24">
        <f>D260/D271</f>
        <v>0.63772907375</v>
      </c>
      <c r="E279" s="90"/>
      <c r="H279" s="99"/>
      <c r="I279" s="100"/>
      <c r="J279" s="101"/>
    </row>
    <row r="280" spans="3:10" ht="13.5" thickBot="1">
      <c r="C280" s="57">
        <v>0.101043</v>
      </c>
      <c r="D280" s="1" t="s">
        <v>116</v>
      </c>
      <c r="H280" s="102"/>
      <c r="I280" s="103"/>
      <c r="J280" s="104"/>
    </row>
    <row r="281" spans="3:4" ht="12.75">
      <c r="C281" s="27">
        <f>ROUND(C260*C280,0)</f>
        <v>2250</v>
      </c>
      <c r="D281" s="1" t="s">
        <v>117</v>
      </c>
    </row>
    <row r="282" ht="12.75">
      <c r="C282" s="27">
        <f>C280*C268</f>
        <v>3233.3759999999997</v>
      </c>
    </row>
    <row r="283" spans="1:11" ht="12.75">
      <c r="A283" s="42" t="s">
        <v>105</v>
      </c>
      <c r="K283" t="s">
        <v>115</v>
      </c>
    </row>
    <row r="284" spans="2:19" ht="12.75">
      <c r="B284" s="1" t="s">
        <v>98</v>
      </c>
      <c r="C284" s="1" t="s">
        <v>99</v>
      </c>
      <c r="D284" s="1" t="s">
        <v>106</v>
      </c>
      <c r="E284" s="1" t="s">
        <v>110</v>
      </c>
      <c r="F284" s="1" t="s">
        <v>101</v>
      </c>
      <c r="G284" s="24" t="s">
        <v>19</v>
      </c>
      <c r="H284" s="27" t="s">
        <v>107</v>
      </c>
      <c r="I284" s="24" t="s">
        <v>108</v>
      </c>
      <c r="J284" s="27" t="s">
        <v>109</v>
      </c>
      <c r="K284" s="1" t="s">
        <v>98</v>
      </c>
      <c r="L284" s="1" t="s">
        <v>99</v>
      </c>
      <c r="M284" s="1" t="s">
        <v>106</v>
      </c>
      <c r="N284" s="1" t="s">
        <v>110</v>
      </c>
      <c r="O284" s="1" t="s">
        <v>101</v>
      </c>
      <c r="P284" s="24" t="s">
        <v>19</v>
      </c>
      <c r="Q284" s="27" t="s">
        <v>107</v>
      </c>
      <c r="R284" s="24" t="s">
        <v>108</v>
      </c>
      <c r="S284" s="27" t="s">
        <v>109</v>
      </c>
    </row>
    <row r="285" spans="6:10" ht="12.75">
      <c r="F285" s="1"/>
      <c r="J285" s="27"/>
    </row>
    <row r="286" spans="1:19" ht="12.75">
      <c r="A286" t="s">
        <v>69</v>
      </c>
      <c r="B286" s="27">
        <f>P18</f>
        <v>881293.515511693</v>
      </c>
      <c r="C286" s="27">
        <f>Q18</f>
        <v>355124.87448831135</v>
      </c>
      <c r="D286" s="27">
        <f aca="true" t="shared" si="22" ref="D286:D291">B286+C286</f>
        <v>1236418.3900000043</v>
      </c>
      <c r="E286" s="27">
        <f>SUM(H5:I9)</f>
        <v>4928871.810000005</v>
      </c>
      <c r="F286" s="27">
        <f>SUM(M5:M9)</f>
        <v>3692453.42</v>
      </c>
      <c r="G286" s="27">
        <f aca="true" t="shared" si="23" ref="G286:G291">E286-F286</f>
        <v>1236418.3900000053</v>
      </c>
      <c r="H286" s="24">
        <f aca="true" t="shared" si="24" ref="H286:H291">B286/F286</f>
        <v>0.23867424047604993</v>
      </c>
      <c r="I286" s="24">
        <f aca="true" t="shared" si="25" ref="I286:I291">C286/F286</f>
        <v>0.09617585764651605</v>
      </c>
      <c r="J286" s="24">
        <f aca="true" t="shared" si="26" ref="J286:J291">D286/F286</f>
        <v>0.334850098122566</v>
      </c>
      <c r="K286" s="50">
        <f>B286</f>
        <v>881293.515511693</v>
      </c>
      <c r="L286" s="50">
        <f aca="true" t="shared" si="27" ref="L286:S286">C286</f>
        <v>355124.87448831135</v>
      </c>
      <c r="M286" s="50">
        <f t="shared" si="27"/>
        <v>1236418.3900000043</v>
      </c>
      <c r="N286" s="50">
        <f t="shared" si="27"/>
        <v>4928871.810000005</v>
      </c>
      <c r="O286" s="50">
        <f t="shared" si="27"/>
        <v>3692453.42</v>
      </c>
      <c r="P286" s="50">
        <f t="shared" si="27"/>
        <v>1236418.3900000053</v>
      </c>
      <c r="Q286" s="24">
        <f t="shared" si="27"/>
        <v>0.23867424047604993</v>
      </c>
      <c r="R286" s="24">
        <f t="shared" si="27"/>
        <v>0.09617585764651605</v>
      </c>
      <c r="S286" s="24">
        <f t="shared" si="27"/>
        <v>0.334850098122566</v>
      </c>
    </row>
    <row r="287" spans="1:19" ht="12.75">
      <c r="A287" t="s">
        <v>46</v>
      </c>
      <c r="B287" s="27">
        <f>I59</f>
        <v>224494.92874679063</v>
      </c>
      <c r="C287" s="27">
        <f>J59</f>
        <v>222830.5312532105</v>
      </c>
      <c r="D287" s="27">
        <f t="shared" si="22"/>
        <v>447325.4600000011</v>
      </c>
      <c r="E287" s="27">
        <f>SUM(C46:D50)</f>
        <v>1395478.870000001</v>
      </c>
      <c r="F287" s="27">
        <f>SUM(F46:F50)</f>
        <v>948153.4099999999</v>
      </c>
      <c r="G287" s="27">
        <f t="shared" si="23"/>
        <v>447325.4600000011</v>
      </c>
      <c r="H287" s="24">
        <f t="shared" si="24"/>
        <v>0.23677068117783878</v>
      </c>
      <c r="I287" s="24">
        <f t="shared" si="25"/>
        <v>0.23501527168816544</v>
      </c>
      <c r="J287" s="24">
        <f t="shared" si="26"/>
        <v>0.4717859528660042</v>
      </c>
      <c r="K287" s="50">
        <f>B287</f>
        <v>224494.92874679063</v>
      </c>
      <c r="L287" s="50">
        <f aca="true" t="shared" si="28" ref="L287:S288">C287</f>
        <v>222830.5312532105</v>
      </c>
      <c r="M287" s="50">
        <f t="shared" si="28"/>
        <v>447325.4600000011</v>
      </c>
      <c r="N287" s="50">
        <f t="shared" si="28"/>
        <v>1395478.870000001</v>
      </c>
      <c r="O287" s="50">
        <f t="shared" si="28"/>
        <v>948153.4099999999</v>
      </c>
      <c r="P287" s="50">
        <f t="shared" si="28"/>
        <v>447325.4600000011</v>
      </c>
      <c r="Q287" s="24">
        <f t="shared" si="28"/>
        <v>0.23677068117783878</v>
      </c>
      <c r="R287" s="24">
        <f t="shared" si="28"/>
        <v>0.23501527168816544</v>
      </c>
      <c r="S287" s="24">
        <f t="shared" si="28"/>
        <v>0.4717859528660042</v>
      </c>
    </row>
    <row r="288" spans="1:19" ht="12.75">
      <c r="A288" t="s">
        <v>48</v>
      </c>
      <c r="B288" s="27">
        <f>S99</f>
        <v>222565.57113534887</v>
      </c>
      <c r="C288" s="27">
        <f>T99</f>
        <v>266546.02886465215</v>
      </c>
      <c r="D288" s="27">
        <f t="shared" si="22"/>
        <v>489111.600000001</v>
      </c>
      <c r="E288" s="27">
        <f>SUM(C86:D90)</f>
        <v>1571523.4000000008</v>
      </c>
      <c r="F288" s="27">
        <f>SUM(P86:P90)</f>
        <v>1082411.7999999998</v>
      </c>
      <c r="G288" s="27">
        <f t="shared" si="23"/>
        <v>489111.600000001</v>
      </c>
      <c r="H288" s="24">
        <f t="shared" si="24"/>
        <v>0.20562005249328297</v>
      </c>
      <c r="I288" s="24">
        <f t="shared" si="25"/>
        <v>0.24625196146665457</v>
      </c>
      <c r="J288" s="24">
        <f t="shared" si="26"/>
        <v>0.45187201395993754</v>
      </c>
      <c r="K288" s="50">
        <f>B288</f>
        <v>222565.57113534887</v>
      </c>
      <c r="L288" s="50">
        <f t="shared" si="28"/>
        <v>266546.02886465215</v>
      </c>
      <c r="M288" s="50">
        <f t="shared" si="28"/>
        <v>489111.600000001</v>
      </c>
      <c r="N288" s="50">
        <f t="shared" si="28"/>
        <v>1571523.4000000008</v>
      </c>
      <c r="O288" s="50">
        <f t="shared" si="28"/>
        <v>1082411.7999999998</v>
      </c>
      <c r="P288" s="50">
        <f t="shared" si="28"/>
        <v>489111.600000001</v>
      </c>
      <c r="Q288" s="24">
        <f t="shared" si="28"/>
        <v>0.20562005249328297</v>
      </c>
      <c r="R288" s="24">
        <f t="shared" si="28"/>
        <v>0.24625196146665457</v>
      </c>
      <c r="S288" s="24">
        <f t="shared" si="28"/>
        <v>0.45187201395993754</v>
      </c>
    </row>
    <row r="289" spans="1:19" ht="12.75">
      <c r="A289" t="s">
        <v>52</v>
      </c>
      <c r="B289" s="27">
        <f>R139</f>
        <v>128774.83997365553</v>
      </c>
      <c r="C289" s="27">
        <f>S139</f>
        <v>-29319.179973655613</v>
      </c>
      <c r="D289" s="27">
        <f t="shared" si="22"/>
        <v>99455.65999999992</v>
      </c>
      <c r="E289" s="27">
        <f>SUM(C126:D130)</f>
        <v>791249.5699999998</v>
      </c>
      <c r="F289" s="27">
        <f>SUM(O126:O130)</f>
        <v>691793.9099999999</v>
      </c>
      <c r="G289" s="27">
        <f t="shared" si="23"/>
        <v>99455.65999999992</v>
      </c>
      <c r="H289" s="24">
        <f t="shared" si="24"/>
        <v>0.1861462468983798</v>
      </c>
      <c r="I289" s="24">
        <f t="shared" si="25"/>
        <v>-0.04238137912150111</v>
      </c>
      <c r="J289" s="24">
        <f t="shared" si="26"/>
        <v>0.14376486777687872</v>
      </c>
      <c r="K289" s="50">
        <f>AC139</f>
        <v>126701.27461768349</v>
      </c>
      <c r="L289" s="50">
        <f>AD139</f>
        <v>-314.41461768362205</v>
      </c>
      <c r="M289" s="50">
        <f>K289+L289</f>
        <v>126386.85999999987</v>
      </c>
      <c r="N289" s="50">
        <f>E289</f>
        <v>791249.5699999998</v>
      </c>
      <c r="O289" s="50">
        <f>SUM(Z126:Z129)</f>
        <v>501029.77</v>
      </c>
      <c r="P289" s="50">
        <f>N289-O289</f>
        <v>290219.7999999998</v>
      </c>
      <c r="Q289" s="24">
        <f>K289/O289</f>
        <v>0.25288172919881285</v>
      </c>
      <c r="R289" s="24">
        <f>L289/O289</f>
        <v>-0.0006275367982298179</v>
      </c>
      <c r="S289" s="24">
        <f>M289/O289</f>
        <v>0.25225419240058305</v>
      </c>
    </row>
    <row r="290" spans="1:19" ht="12.75">
      <c r="A290" t="s">
        <v>54</v>
      </c>
      <c r="B290" s="27">
        <f>S220</f>
        <v>62950.645075287845</v>
      </c>
      <c r="C290" s="27">
        <f>T220</f>
        <v>105619.50492471215</v>
      </c>
      <c r="D290" s="27">
        <f t="shared" si="22"/>
        <v>168570.15</v>
      </c>
      <c r="E290" s="27">
        <f>SUM(C207:D211)</f>
        <v>422126.83999999997</v>
      </c>
      <c r="F290" s="27">
        <f>SUM(P207:P211)</f>
        <v>253556.68999999997</v>
      </c>
      <c r="G290" s="27">
        <f t="shared" si="23"/>
        <v>168570.15</v>
      </c>
      <c r="H290" s="24">
        <f t="shared" si="24"/>
        <v>0.24827049554593827</v>
      </c>
      <c r="I290" s="24">
        <f t="shared" si="25"/>
        <v>0.416551836690691</v>
      </c>
      <c r="J290" s="24">
        <f t="shared" si="26"/>
        <v>0.6648223322366292</v>
      </c>
      <c r="K290" s="50">
        <f aca="true" t="shared" si="29" ref="K290:M291">B290</f>
        <v>62950.645075287845</v>
      </c>
      <c r="L290" s="50">
        <f t="shared" si="29"/>
        <v>105619.50492471215</v>
      </c>
      <c r="M290" s="50">
        <f t="shared" si="29"/>
        <v>168570.15</v>
      </c>
      <c r="N290" s="50">
        <f>E290</f>
        <v>422126.83999999997</v>
      </c>
      <c r="O290" s="50">
        <f aca="true" t="shared" si="30" ref="O290:S291">F290</f>
        <v>253556.68999999997</v>
      </c>
      <c r="P290" s="50">
        <f t="shared" si="30"/>
        <v>168570.15</v>
      </c>
      <c r="Q290" s="24">
        <f t="shared" si="30"/>
        <v>0.24827049554593827</v>
      </c>
      <c r="R290" s="24">
        <f t="shared" si="30"/>
        <v>0.416551836690691</v>
      </c>
      <c r="S290" s="24">
        <f t="shared" si="30"/>
        <v>0.6648223322366292</v>
      </c>
    </row>
    <row r="291" spans="1:19" ht="12.75">
      <c r="A291" t="s">
        <v>76</v>
      </c>
      <c r="B291" s="27">
        <f>K260</f>
        <v>-1620.1418306224914</v>
      </c>
      <c r="C291" s="27">
        <f>L260</f>
        <v>-85.37816937750722</v>
      </c>
      <c r="D291" s="27">
        <f t="shared" si="22"/>
        <v>-1705.5199999999986</v>
      </c>
      <c r="E291" s="27">
        <f>SUM(E246:F250)</f>
        <v>14399.47</v>
      </c>
      <c r="F291" s="27">
        <f>SUM(H247:H251)</f>
        <v>12497.46</v>
      </c>
      <c r="G291" s="27">
        <f t="shared" si="23"/>
        <v>1902.0100000000002</v>
      </c>
      <c r="H291" s="24">
        <f t="shared" si="24"/>
        <v>-0.1296376888281692</v>
      </c>
      <c r="I291" s="24">
        <f t="shared" si="25"/>
        <v>-0.006831641739802106</v>
      </c>
      <c r="J291" s="24">
        <f t="shared" si="26"/>
        <v>-0.1364693305679713</v>
      </c>
      <c r="K291" s="50">
        <f t="shared" si="29"/>
        <v>-1620.1418306224914</v>
      </c>
      <c r="L291" s="50">
        <f t="shared" si="29"/>
        <v>-85.37816937750722</v>
      </c>
      <c r="M291" s="50">
        <f t="shared" si="29"/>
        <v>-1705.5199999999986</v>
      </c>
      <c r="N291" s="50">
        <f>E291</f>
        <v>14399.47</v>
      </c>
      <c r="O291" s="50">
        <f t="shared" si="30"/>
        <v>12497.46</v>
      </c>
      <c r="P291" s="50">
        <f t="shared" si="30"/>
        <v>1902.0100000000002</v>
      </c>
      <c r="Q291" s="24">
        <f t="shared" si="30"/>
        <v>-0.1296376888281692</v>
      </c>
      <c r="R291" s="24">
        <f t="shared" si="30"/>
        <v>-0.006831641739802106</v>
      </c>
      <c r="S291" s="24">
        <f t="shared" si="30"/>
        <v>-0.1364693305679713</v>
      </c>
    </row>
    <row r="293" spans="1:19" ht="12.75">
      <c r="A293" t="s">
        <v>106</v>
      </c>
      <c r="B293" s="27">
        <f>SUM(B286:B292)</f>
        <v>1518459.3586121534</v>
      </c>
      <c r="C293" s="27">
        <f>SUM(C286:C292)</f>
        <v>920716.3813878531</v>
      </c>
      <c r="D293" s="27">
        <f>SUM(D286:D292)</f>
        <v>2439175.7400000067</v>
      </c>
      <c r="E293" s="27">
        <f>SUM(E286:E292)</f>
        <v>9123649.960000008</v>
      </c>
      <c r="F293" s="27">
        <f>SUM(F286:F292)</f>
        <v>6680866.69</v>
      </c>
      <c r="G293" s="27">
        <f>E293-F293</f>
        <v>2442783.270000008</v>
      </c>
      <c r="H293" s="24">
        <f>B293/F293</f>
        <v>0.2272847864012915</v>
      </c>
      <c r="I293" s="24">
        <f>C293/F293</f>
        <v>0.13781391309094554</v>
      </c>
      <c r="J293" s="24">
        <f>D293/F293</f>
        <v>0.36509869949223706</v>
      </c>
      <c r="K293" s="27">
        <f>SUM(K286:K292)</f>
        <v>1516385.7932561813</v>
      </c>
      <c r="L293" s="27">
        <f>SUM(L286:L292)</f>
        <v>949721.146743825</v>
      </c>
      <c r="M293" s="27">
        <f>SUM(M286:M292)</f>
        <v>2466106.9400000065</v>
      </c>
      <c r="N293" s="27">
        <f>SUM(N286:N292)</f>
        <v>9123649.960000008</v>
      </c>
      <c r="O293" s="27">
        <f>SUM(O286:O292)</f>
        <v>6490102.550000001</v>
      </c>
      <c r="P293" s="27">
        <f>N293-O293</f>
        <v>2633547.4100000076</v>
      </c>
      <c r="Q293" s="24">
        <f>K293/O293</f>
        <v>0.23364589104315173</v>
      </c>
      <c r="R293" s="24">
        <f>L293/O293</f>
        <v>0.14633376582683197</v>
      </c>
      <c r="S293" s="24">
        <f>M293/O293</f>
        <v>0.3799796568699837</v>
      </c>
    </row>
    <row r="298" spans="2:4" ht="12.75">
      <c r="B298" s="1" t="s">
        <v>98</v>
      </c>
      <c r="C298" s="1" t="s">
        <v>99</v>
      </c>
      <c r="D298" s="1" t="s">
        <v>106</v>
      </c>
    </row>
    <row r="300" spans="1:4" ht="12.75">
      <c r="A300" t="s">
        <v>69</v>
      </c>
      <c r="B300" s="56">
        <f>H286</f>
        <v>0.23867424047604993</v>
      </c>
      <c r="C300" s="56">
        <f aca="true" t="shared" si="31" ref="C300:D307">I286</f>
        <v>0.09617585764651605</v>
      </c>
      <c r="D300" s="56">
        <f t="shared" si="31"/>
        <v>0.334850098122566</v>
      </c>
    </row>
    <row r="301" spans="1:4" ht="12.75">
      <c r="A301" t="s">
        <v>46</v>
      </c>
      <c r="B301" s="56">
        <f aca="true" t="shared" si="32" ref="B301:B307">H287</f>
        <v>0.23677068117783878</v>
      </c>
      <c r="C301" s="56">
        <f t="shared" si="31"/>
        <v>0.23501527168816544</v>
      </c>
      <c r="D301" s="56">
        <f t="shared" si="31"/>
        <v>0.4717859528660042</v>
      </c>
    </row>
    <row r="302" spans="1:4" ht="12.75">
      <c r="A302" t="s">
        <v>48</v>
      </c>
      <c r="B302" s="56">
        <f t="shared" si="32"/>
        <v>0.20562005249328297</v>
      </c>
      <c r="C302" s="56">
        <f t="shared" si="31"/>
        <v>0.24625196146665457</v>
      </c>
      <c r="D302" s="56">
        <f t="shared" si="31"/>
        <v>0.45187201395993754</v>
      </c>
    </row>
    <row r="303" spans="1:4" ht="12.75">
      <c r="A303" t="s">
        <v>52</v>
      </c>
      <c r="B303" s="56">
        <f t="shared" si="32"/>
        <v>0.1861462468983798</v>
      </c>
      <c r="C303" s="56">
        <f t="shared" si="31"/>
        <v>-0.04238137912150111</v>
      </c>
      <c r="D303" s="56">
        <f t="shared" si="31"/>
        <v>0.14376486777687872</v>
      </c>
    </row>
    <row r="304" spans="1:4" ht="12.75">
      <c r="A304" t="s">
        <v>54</v>
      </c>
      <c r="B304" s="56">
        <f t="shared" si="32"/>
        <v>0.24827049554593827</v>
      </c>
      <c r="C304" s="56">
        <f t="shared" si="31"/>
        <v>0.416551836690691</v>
      </c>
      <c r="D304" s="56">
        <f t="shared" si="31"/>
        <v>0.6648223322366292</v>
      </c>
    </row>
    <row r="305" spans="1:4" ht="12.75">
      <c r="A305" t="s">
        <v>76</v>
      </c>
      <c r="B305" s="56">
        <f t="shared" si="32"/>
        <v>-0.1296376888281692</v>
      </c>
      <c r="C305" s="56">
        <f t="shared" si="31"/>
        <v>-0.006831641739802106</v>
      </c>
      <c r="D305" s="56">
        <f t="shared" si="31"/>
        <v>-0.1364693305679713</v>
      </c>
    </row>
    <row r="306" spans="2:4" ht="12.75">
      <c r="B306" s="56"/>
      <c r="C306" s="56"/>
      <c r="D306" s="56"/>
    </row>
    <row r="307" spans="1:4" ht="12.75">
      <c r="A307" t="s">
        <v>106</v>
      </c>
      <c r="B307" s="56">
        <f t="shared" si="32"/>
        <v>0.2272847864012915</v>
      </c>
      <c r="C307" s="56">
        <f t="shared" si="31"/>
        <v>0.13781391309094554</v>
      </c>
      <c r="D307" s="56">
        <f t="shared" si="31"/>
        <v>0.36509869949223706</v>
      </c>
    </row>
    <row r="309" spans="2:4" ht="12.75">
      <c r="B309" s="1" t="s">
        <v>98</v>
      </c>
      <c r="C309" s="1" t="s">
        <v>99</v>
      </c>
      <c r="D309" s="1" t="s">
        <v>106</v>
      </c>
    </row>
    <row r="311" spans="1:4" ht="12.75">
      <c r="A311" t="s">
        <v>69</v>
      </c>
      <c r="B311" s="56">
        <f>Q286</f>
        <v>0.23867424047604993</v>
      </c>
      <c r="C311" s="56">
        <f>R286</f>
        <v>0.09617585764651605</v>
      </c>
      <c r="D311" s="56">
        <f>S286</f>
        <v>0.334850098122566</v>
      </c>
    </row>
    <row r="312" spans="1:4" ht="12.75">
      <c r="A312" t="s">
        <v>46</v>
      </c>
      <c r="B312" s="56">
        <f aca="true" t="shared" si="33" ref="B312:B318">Q287</f>
        <v>0.23677068117783878</v>
      </c>
      <c r="C312" s="56">
        <f aca="true" t="shared" si="34" ref="C312:C318">R287</f>
        <v>0.23501527168816544</v>
      </c>
      <c r="D312" s="56">
        <f aca="true" t="shared" si="35" ref="D312:D318">S287</f>
        <v>0.4717859528660042</v>
      </c>
    </row>
    <row r="313" spans="1:4" ht="12.75">
      <c r="A313" t="s">
        <v>48</v>
      </c>
      <c r="B313" s="56">
        <f t="shared" si="33"/>
        <v>0.20562005249328297</v>
      </c>
      <c r="C313" s="56">
        <f t="shared" si="34"/>
        <v>0.24625196146665457</v>
      </c>
      <c r="D313" s="56">
        <f t="shared" si="35"/>
        <v>0.45187201395993754</v>
      </c>
    </row>
    <row r="314" spans="1:4" ht="12.75">
      <c r="A314" t="s">
        <v>52</v>
      </c>
      <c r="B314" s="56">
        <f t="shared" si="33"/>
        <v>0.25288172919881285</v>
      </c>
      <c r="C314" s="56">
        <f t="shared" si="34"/>
        <v>-0.0006275367982298179</v>
      </c>
      <c r="D314" s="56">
        <f t="shared" si="35"/>
        <v>0.25225419240058305</v>
      </c>
    </row>
    <row r="315" spans="1:4" ht="12.75">
      <c r="A315" t="s">
        <v>54</v>
      </c>
      <c r="B315" s="56">
        <f t="shared" si="33"/>
        <v>0.24827049554593827</v>
      </c>
      <c r="C315" s="56">
        <f t="shared" si="34"/>
        <v>0.416551836690691</v>
      </c>
      <c r="D315" s="56">
        <f t="shared" si="35"/>
        <v>0.6648223322366292</v>
      </c>
    </row>
    <row r="316" spans="1:4" ht="12.75">
      <c r="A316" t="s">
        <v>76</v>
      </c>
      <c r="B316" s="56">
        <f t="shared" si="33"/>
        <v>-0.1296376888281692</v>
      </c>
      <c r="C316" s="56">
        <f t="shared" si="34"/>
        <v>-0.006831641739802106</v>
      </c>
      <c r="D316" s="56">
        <f t="shared" si="35"/>
        <v>-0.1364693305679713</v>
      </c>
    </row>
    <row r="317" spans="2:4" ht="12.75">
      <c r="B317" s="56"/>
      <c r="C317" s="56"/>
      <c r="D317" s="56"/>
    </row>
    <row r="318" spans="1:4" ht="12.75">
      <c r="A318" t="s">
        <v>106</v>
      </c>
      <c r="B318" s="56">
        <f t="shared" si="33"/>
        <v>0.23364589104315173</v>
      </c>
      <c r="C318" s="56">
        <f t="shared" si="34"/>
        <v>0.14633376582683197</v>
      </c>
      <c r="D318" s="56">
        <f t="shared" si="35"/>
        <v>0.3799796568699837</v>
      </c>
    </row>
    <row r="325" spans="1:24" s="42" customFormat="1" ht="12.75">
      <c r="A325" s="42" t="s">
        <v>118</v>
      </c>
      <c r="B325" s="58"/>
      <c r="C325" s="58"/>
      <c r="D325" s="58"/>
      <c r="E325" s="58"/>
      <c r="F325" s="59"/>
      <c r="G325" s="60"/>
      <c r="H325" s="59"/>
      <c r="I325" s="60"/>
      <c r="U325" s="59"/>
      <c r="V325" s="59"/>
      <c r="W325" s="59"/>
      <c r="X325" s="59"/>
    </row>
    <row r="326" ht="12.75">
      <c r="C326" s="1" t="s">
        <v>165</v>
      </c>
    </row>
    <row r="327" spans="1:3" s="27" customFormat="1" ht="12.75">
      <c r="A327" s="61" t="s">
        <v>69</v>
      </c>
      <c r="B327" s="27">
        <f>D26</f>
        <v>573369</v>
      </c>
      <c r="C327" s="27">
        <f>D37</f>
        <v>823536</v>
      </c>
    </row>
    <row r="328" spans="1:3" s="27" customFormat="1" ht="12.75">
      <c r="A328" s="61" t="s">
        <v>46</v>
      </c>
      <c r="B328" s="27">
        <f>B68</f>
        <v>160140</v>
      </c>
      <c r="C328" s="27">
        <f>C79</f>
        <v>230748</v>
      </c>
    </row>
    <row r="329" spans="1:3" s="27" customFormat="1" ht="12.75">
      <c r="A329" s="61" t="s">
        <v>48</v>
      </c>
      <c r="B329" s="27">
        <f>B119</f>
        <v>196531</v>
      </c>
      <c r="C329" s="27">
        <f>B120</f>
        <v>277870.633</v>
      </c>
    </row>
    <row r="330" spans="1:3" s="27" customFormat="1" ht="12.75">
      <c r="A330" s="61" t="s">
        <v>52</v>
      </c>
      <c r="B330" s="27">
        <f>B159</f>
        <v>101653</v>
      </c>
      <c r="C330" s="27">
        <f>B160</f>
        <v>145151.331</v>
      </c>
    </row>
    <row r="331" spans="1:3" s="27" customFormat="1" ht="12.75">
      <c r="A331" s="61" t="s">
        <v>54</v>
      </c>
      <c r="B331" s="27">
        <f>B240</f>
        <v>38881</v>
      </c>
      <c r="C331" s="27">
        <f>B241</f>
        <v>55007.352</v>
      </c>
    </row>
    <row r="332" spans="1:3" s="27" customFormat="1" ht="12.75">
      <c r="A332" s="61" t="s">
        <v>76</v>
      </c>
      <c r="B332" s="27">
        <f>C281</f>
        <v>2250</v>
      </c>
      <c r="C332" s="27">
        <f>C282</f>
        <v>3233.3759999999997</v>
      </c>
    </row>
    <row r="333" s="27" customFormat="1" ht="12.75">
      <c r="A333" s="61" t="s">
        <v>82</v>
      </c>
    </row>
    <row r="334" s="27" customFormat="1" ht="12.75"/>
    <row r="335" spans="1:3" s="27" customFormat="1" ht="12.75">
      <c r="A335" s="27" t="s">
        <v>121</v>
      </c>
      <c r="B335" s="27">
        <f>SUM(B327:B334)</f>
        <v>1072824</v>
      </c>
      <c r="C335" s="27">
        <f>SUM(C327:C334)</f>
        <v>1535546.6919999998</v>
      </c>
    </row>
    <row r="336" s="27" customFormat="1" ht="12.75"/>
    <row r="337" spans="1:3" s="27" customFormat="1" ht="12.75">
      <c r="A337" s="27" t="s">
        <v>119</v>
      </c>
      <c r="B337" s="62">
        <v>0.3512</v>
      </c>
      <c r="C337" s="62">
        <v>0.3512</v>
      </c>
    </row>
    <row r="339" spans="1:3" ht="12.75">
      <c r="A339" t="s">
        <v>120</v>
      </c>
      <c r="B339" s="27">
        <f>ROUND(B335*(1-B337),0)</f>
        <v>696048</v>
      </c>
      <c r="C339" s="27">
        <f>ROUND(C335*(1-C337),0)</f>
        <v>996263</v>
      </c>
    </row>
    <row r="341" spans="2:3" ht="12.75">
      <c r="B341" s="27">
        <f>ROUND(B339/1000,0)+554</f>
        <v>1250</v>
      </c>
      <c r="C341" s="27">
        <f>ROUND(C339/1000,0)+554</f>
        <v>1550</v>
      </c>
    </row>
    <row r="343" spans="1:3" ht="12.75">
      <c r="A343">
        <v>2003</v>
      </c>
      <c r="B343" s="27"/>
      <c r="C343" s="27">
        <v>554</v>
      </c>
    </row>
    <row r="344" spans="1:3" ht="12.75">
      <c r="A344" t="s">
        <v>3</v>
      </c>
      <c r="B344" s="27">
        <v>60</v>
      </c>
      <c r="C344" s="27">
        <f>C343+B344</f>
        <v>614</v>
      </c>
    </row>
    <row r="345" spans="1:3" ht="12.75">
      <c r="A345" t="s">
        <v>4</v>
      </c>
      <c r="B345" s="27">
        <v>68</v>
      </c>
      <c r="C345" s="27">
        <f aca="true" t="shared" si="36" ref="C345:C355">C344+B345</f>
        <v>682</v>
      </c>
    </row>
    <row r="346" spans="1:3" ht="12.75">
      <c r="A346" t="s">
        <v>5</v>
      </c>
      <c r="B346" s="27">
        <v>61</v>
      </c>
      <c r="C346" s="27">
        <f t="shared" si="36"/>
        <v>743</v>
      </c>
    </row>
    <row r="347" spans="1:3" ht="12.75">
      <c r="A347" t="s">
        <v>6</v>
      </c>
      <c r="B347" s="27">
        <v>61</v>
      </c>
      <c r="C347" s="27">
        <f t="shared" si="36"/>
        <v>804</v>
      </c>
    </row>
    <row r="348" spans="1:3" ht="12.75">
      <c r="A348" t="s">
        <v>7</v>
      </c>
      <c r="B348" s="27">
        <v>61</v>
      </c>
      <c r="C348" s="27">
        <f t="shared" si="36"/>
        <v>865</v>
      </c>
    </row>
    <row r="349" spans="1:3" ht="12.75">
      <c r="A349" t="s">
        <v>8</v>
      </c>
      <c r="B349" s="27">
        <f>917-865</f>
        <v>52</v>
      </c>
      <c r="C349" s="27">
        <f t="shared" si="36"/>
        <v>917</v>
      </c>
    </row>
    <row r="350" spans="1:3" ht="12.75">
      <c r="A350" t="s">
        <v>9</v>
      </c>
      <c r="B350" s="27">
        <f>968-917</f>
        <v>51</v>
      </c>
      <c r="C350" s="27">
        <f t="shared" si="36"/>
        <v>968</v>
      </c>
    </row>
    <row r="351" spans="1:3" ht="12.75">
      <c r="A351" t="s">
        <v>10</v>
      </c>
      <c r="B351" s="27"/>
      <c r="C351" s="27">
        <f t="shared" si="36"/>
        <v>968</v>
      </c>
    </row>
    <row r="352" spans="1:3" ht="12.75">
      <c r="A352" t="s">
        <v>11</v>
      </c>
      <c r="B352" s="27"/>
      <c r="C352" s="27">
        <f t="shared" si="36"/>
        <v>968</v>
      </c>
    </row>
    <row r="353" spans="1:3" ht="12.75">
      <c r="A353" t="s">
        <v>12</v>
      </c>
      <c r="B353" s="27"/>
      <c r="C353" s="27">
        <f t="shared" si="36"/>
        <v>968</v>
      </c>
    </row>
    <row r="354" spans="1:3" ht="12.75">
      <c r="A354" t="s">
        <v>13</v>
      </c>
      <c r="B354" s="27"/>
      <c r="C354" s="27">
        <f t="shared" si="36"/>
        <v>968</v>
      </c>
    </row>
    <row r="355" spans="1:3" ht="12.75">
      <c r="A355" t="s">
        <v>14</v>
      </c>
      <c r="B355" s="27"/>
      <c r="C355" s="27">
        <f t="shared" si="36"/>
        <v>968</v>
      </c>
    </row>
  </sheetData>
  <sheetProtection/>
  <printOptions/>
  <pageMargins left="0.75" right="0.75" top="1" bottom="1" header="0.5" footer="0.5"/>
  <pageSetup horizontalDpi="300" verticalDpi="300" orientation="landscape" scale="70" r:id="rId3"/>
  <headerFooter alignWithMargins="0">
    <oddHeader>&amp;RDRAFT</oddHeader>
    <oddFooter>&amp;LI:\JD\YE Dec 31 03\GHESI\Stats\&amp;F&amp;A&amp;D&amp;T&amp;RPILs on Distribution Vble Only</oddFooter>
  </headerFooter>
  <rowBreaks count="5" manualBreakCount="5">
    <brk id="40" max="9" man="1"/>
    <brk id="80" max="255" man="1"/>
    <brk id="120" max="255" man="1"/>
    <brk id="160" max="9" man="1"/>
    <brk id="201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2"/>
  <sheetViews>
    <sheetView zoomScale="75" zoomScaleNormal="75" zoomScalePageLayoutView="0" workbookViewId="0" topLeftCell="A1">
      <pane ySplit="1" topLeftCell="A62" activePane="bottomLeft" state="frozen"/>
      <selection pane="topLeft" activeCell="A1" sqref="A1"/>
      <selection pane="bottomLeft" activeCell="E75" sqref="E75:H80"/>
    </sheetView>
  </sheetViews>
  <sheetFormatPr defaultColWidth="9.140625" defaultRowHeight="12.75"/>
  <cols>
    <col min="1" max="1" width="7.421875" style="0" bestFit="1" customWidth="1"/>
    <col min="2" max="2" width="17.28125" style="0" bestFit="1" customWidth="1"/>
    <col min="3" max="3" width="13.421875" style="0" bestFit="1" customWidth="1"/>
    <col min="4" max="4" width="14.28125" style="0" bestFit="1" customWidth="1"/>
    <col min="5" max="5" width="16.140625" style="0" bestFit="1" customWidth="1"/>
    <col min="6" max="6" width="9.57421875" style="0" bestFit="1" customWidth="1"/>
    <col min="7" max="7" width="13.28125" style="0" bestFit="1" customWidth="1"/>
    <col min="8" max="8" width="7.8515625" style="0" bestFit="1" customWidth="1"/>
    <col min="9" max="9" width="1.7109375" style="0" customWidth="1"/>
    <col min="10" max="10" width="14.8515625" style="1" bestFit="1" customWidth="1"/>
    <col min="11" max="11" width="14.28125" style="1" bestFit="1" customWidth="1"/>
    <col min="12" max="12" width="17.140625" style="1" bestFit="1" customWidth="1"/>
    <col min="13" max="13" width="9.421875" style="2" bestFit="1" customWidth="1"/>
    <col min="14" max="14" width="13.421875" style="1" bestFit="1" customWidth="1"/>
    <col min="15" max="15" width="9.421875" style="1" bestFit="1" customWidth="1"/>
    <col min="16" max="16" width="1.7109375" style="0" customWidth="1"/>
    <col min="17" max="17" width="15.140625" style="1" bestFit="1" customWidth="1"/>
    <col min="18" max="18" width="15.00390625" style="1" bestFit="1" customWidth="1"/>
    <col min="19" max="19" width="15.00390625" style="0" bestFit="1" customWidth="1"/>
  </cols>
  <sheetData>
    <row r="1" spans="1:18" s="4" customFormat="1" ht="38.25">
      <c r="A1" s="192" t="s">
        <v>205</v>
      </c>
      <c r="B1" s="4" t="s">
        <v>212</v>
      </c>
      <c r="C1" s="5" t="s">
        <v>89</v>
      </c>
      <c r="D1" s="5" t="s">
        <v>90</v>
      </c>
      <c r="E1" s="5" t="s">
        <v>91</v>
      </c>
      <c r="F1" s="6" t="s">
        <v>17</v>
      </c>
      <c r="G1" s="5" t="s">
        <v>18</v>
      </c>
      <c r="H1" s="5" t="s">
        <v>65</v>
      </c>
      <c r="J1" s="5" t="s">
        <v>66</v>
      </c>
      <c r="K1" s="5" t="s">
        <v>67</v>
      </c>
      <c r="L1" s="5" t="s">
        <v>68</v>
      </c>
      <c r="M1" s="6" t="s">
        <v>17</v>
      </c>
      <c r="N1" s="5" t="s">
        <v>18</v>
      </c>
      <c r="O1" s="5" t="s">
        <v>65</v>
      </c>
      <c r="Q1" s="5"/>
      <c r="R1" s="5"/>
    </row>
    <row r="2" spans="3:18" s="79" customFormat="1" ht="12.75">
      <c r="C2" s="80" t="s">
        <v>166</v>
      </c>
      <c r="D2" s="80" t="s">
        <v>167</v>
      </c>
      <c r="E2" s="81"/>
      <c r="F2" s="82"/>
      <c r="G2" s="81"/>
      <c r="J2" s="81"/>
      <c r="K2" s="81"/>
      <c r="L2" s="81"/>
      <c r="M2" s="82"/>
      <c r="N2" s="81"/>
      <c r="O2" s="81"/>
      <c r="Q2" s="81"/>
      <c r="R2" s="81"/>
    </row>
    <row r="3" spans="1:8" ht="12.75">
      <c r="A3" t="s">
        <v>3</v>
      </c>
      <c r="C3" s="1">
        <f>'[5]A3'!$K$33521</f>
        <v>469414.8699999517</v>
      </c>
      <c r="D3" s="1">
        <f>'[5]B3'!$K$33498</f>
        <v>536807.5800000018</v>
      </c>
      <c r="E3" s="1">
        <f>'[5]B3'!$AE$33498</f>
        <v>29657790.979999997</v>
      </c>
      <c r="F3" s="2">
        <v>0.0181</v>
      </c>
      <c r="G3" s="1">
        <f>E3*F3</f>
        <v>536806.016738</v>
      </c>
      <c r="H3" s="3">
        <f>D3-G3</f>
        <v>1.563262001844123</v>
      </c>
    </row>
    <row r="4" spans="3:8" ht="12.75">
      <c r="C4" s="1">
        <v>-3302.3</v>
      </c>
      <c r="D4" s="1">
        <v>-3914.55</v>
      </c>
      <c r="E4" s="1">
        <f>-3914.55/0.0181</f>
        <v>-216273.4806629834</v>
      </c>
      <c r="F4" s="2">
        <v>0.0181</v>
      </c>
      <c r="G4" s="1">
        <f>E4*F4</f>
        <v>-3914.55</v>
      </c>
      <c r="H4" s="3">
        <f>D4-G4</f>
        <v>0</v>
      </c>
    </row>
    <row r="5" spans="3:18" s="7" customFormat="1" ht="12.75">
      <c r="C5" s="8"/>
      <c r="D5" s="8"/>
      <c r="E5" s="8"/>
      <c r="F5" s="9"/>
      <c r="G5" s="8"/>
      <c r="H5" s="10"/>
      <c r="J5" s="8"/>
      <c r="K5" s="8"/>
      <c r="L5" s="8"/>
      <c r="M5" s="9"/>
      <c r="N5" s="8"/>
      <c r="O5" s="8"/>
      <c r="Q5" s="8"/>
      <c r="R5" s="8"/>
    </row>
    <row r="6" spans="3:8" ht="12.75">
      <c r="C6" s="1"/>
      <c r="D6" s="1"/>
      <c r="E6" s="1"/>
      <c r="F6" s="2"/>
      <c r="G6" s="1"/>
      <c r="H6" s="3"/>
    </row>
    <row r="7" spans="3:18" s="15" customFormat="1" ht="13.5" thickBot="1">
      <c r="C7" s="16">
        <f>SUM(C3:C5)</f>
        <v>466112.5699999517</v>
      </c>
      <c r="D7" s="16">
        <f>SUM(D3:D5)</f>
        <v>532893.0300000018</v>
      </c>
      <c r="E7" s="16">
        <f>SUM(E3:E5)</f>
        <v>29441517.499337014</v>
      </c>
      <c r="F7" s="16"/>
      <c r="G7" s="16">
        <f>SUM(G3:G5)</f>
        <v>532891.4667379999</v>
      </c>
      <c r="H7" s="16">
        <f>SUM(H3:H5)</f>
        <v>1.563262001844123</v>
      </c>
      <c r="J7" s="16"/>
      <c r="K7" s="16"/>
      <c r="L7" s="16"/>
      <c r="M7" s="17"/>
      <c r="N7" s="16"/>
      <c r="O7" s="16"/>
      <c r="Q7" s="16"/>
      <c r="R7" s="16"/>
    </row>
    <row r="9" spans="1:8" ht="12.75">
      <c r="A9" t="s">
        <v>4</v>
      </c>
      <c r="C9" s="1">
        <f>924316.61-C7</f>
        <v>458204.0400000483</v>
      </c>
      <c r="D9" s="1">
        <f>'[4]jf030228r'!$K$38769</f>
        <v>614044.8900000042</v>
      </c>
      <c r="E9" s="1">
        <f>'[4]jf030228r'!$AE$38769</f>
        <v>33924986.5</v>
      </c>
      <c r="F9" s="2">
        <v>0.0181</v>
      </c>
      <c r="G9" s="1">
        <f>E9*F9</f>
        <v>614042.2556500001</v>
      </c>
      <c r="H9" s="3">
        <f>D9-G9</f>
        <v>2.6343500041402876</v>
      </c>
    </row>
    <row r="10" spans="3:8" ht="12.75">
      <c r="C10" s="1"/>
      <c r="D10" s="1">
        <f>'[4]jf030228r'!$J$38801</f>
        <v>-720.2900000000001</v>
      </c>
      <c r="E10" s="1">
        <f>'[4]jf030228r'!$K$38801</f>
        <v>-39795</v>
      </c>
      <c r="F10" s="2">
        <v>0.0181</v>
      </c>
      <c r="G10" s="1">
        <f>E10*F10</f>
        <v>-720.2895000000001</v>
      </c>
      <c r="H10" s="3">
        <f>D10-G10</f>
        <v>-0.0004999999999881766</v>
      </c>
    </row>
    <row r="11" spans="3:18" s="7" customFormat="1" ht="12.75">
      <c r="C11" s="8"/>
      <c r="D11" s="8">
        <f>'[4]jf030228r'!$K$38825</f>
        <v>224.71</v>
      </c>
      <c r="E11" s="8">
        <f>'[4]jf030228r'!$AE$38825</f>
        <v>22929.399999999998</v>
      </c>
      <c r="F11" s="9">
        <v>0.0098</v>
      </c>
      <c r="G11" s="8">
        <f>E11*F11</f>
        <v>224.70811999999998</v>
      </c>
      <c r="H11" s="10">
        <f>D11-G11</f>
        <v>0.0018800000000283035</v>
      </c>
      <c r="J11" s="8"/>
      <c r="K11" s="8"/>
      <c r="L11" s="8"/>
      <c r="M11" s="9"/>
      <c r="N11" s="8"/>
      <c r="O11" s="8"/>
      <c r="Q11" s="8"/>
      <c r="R11" s="8"/>
    </row>
    <row r="12" spans="3:8" ht="12.75">
      <c r="C12" s="1"/>
      <c r="D12" s="1"/>
      <c r="E12" s="1"/>
      <c r="F12" s="2"/>
      <c r="G12" s="1"/>
      <c r="H12" s="3"/>
    </row>
    <row r="13" spans="3:18" s="15" customFormat="1" ht="13.5" thickBot="1">
      <c r="C13" s="16">
        <f>SUM(C9:C11)</f>
        <v>458204.0400000483</v>
      </c>
      <c r="D13" s="16">
        <f>SUM(D9:D11)</f>
        <v>613549.3100000041</v>
      </c>
      <c r="E13" s="16">
        <f>SUM(E9:E11)</f>
        <v>33908120.9</v>
      </c>
      <c r="F13" s="16"/>
      <c r="G13" s="16">
        <f>SUM(G9:G11)</f>
        <v>613546.6742700001</v>
      </c>
      <c r="H13" s="16">
        <f>SUM(H9:H11)</f>
        <v>2.6357300041403278</v>
      </c>
      <c r="J13" s="16"/>
      <c r="K13" s="16"/>
      <c r="L13" s="16"/>
      <c r="M13" s="17"/>
      <c r="N13" s="16"/>
      <c r="O13" s="16"/>
      <c r="Q13" s="16">
        <v>613544.04</v>
      </c>
      <c r="R13" s="16">
        <f>G13-Q13</f>
        <v>2.6342700000386685</v>
      </c>
    </row>
    <row r="15" spans="1:15" ht="12.75">
      <c r="A15" t="s">
        <v>5</v>
      </c>
      <c r="C15" s="1">
        <f>1337495.52-C13-C7</f>
        <v>413178.9100000001</v>
      </c>
      <c r="D15" s="1">
        <f>'[8]jfr0303'!$K$25916</f>
        <v>515885.8800000017</v>
      </c>
      <c r="E15" s="1">
        <f>'[8]jfr0303'!$AE$25916</f>
        <v>28501941.979999997</v>
      </c>
      <c r="F15" s="2">
        <v>0.0181</v>
      </c>
      <c r="G15" s="1">
        <f>E15*F15</f>
        <v>515885.149838</v>
      </c>
      <c r="H15" s="3">
        <f>D15-G15</f>
        <v>0.7301620016805828</v>
      </c>
      <c r="M15" s="2">
        <v>0.0181</v>
      </c>
      <c r="N15" s="1">
        <f>L15*M15</f>
        <v>0</v>
      </c>
      <c r="O15" s="1">
        <f>K15-N15</f>
        <v>0</v>
      </c>
    </row>
    <row r="16" spans="3:15" ht="12.75">
      <c r="C16" s="1"/>
      <c r="D16" s="1">
        <f>'[8]jfr0303'!$J$26004</f>
        <v>-1800.2499999999995</v>
      </c>
      <c r="E16" s="1">
        <f>'[8]jfr0303'!$K$26004</f>
        <v>-98445</v>
      </c>
      <c r="F16" s="2">
        <v>0.0181</v>
      </c>
      <c r="G16" s="1">
        <f>E16*F16</f>
        <v>-1781.8545000000001</v>
      </c>
      <c r="H16" s="3">
        <f>D16-G16</f>
        <v>-18.3954999999994</v>
      </c>
      <c r="M16" s="2">
        <v>0.0181</v>
      </c>
      <c r="N16" s="1">
        <f>L16*M16</f>
        <v>0</v>
      </c>
      <c r="O16" s="1">
        <f>K16-N16</f>
        <v>0</v>
      </c>
    </row>
    <row r="17" spans="3:18" s="7" customFormat="1" ht="12.75">
      <c r="C17" s="8"/>
      <c r="D17" s="8"/>
      <c r="E17" s="8"/>
      <c r="F17" s="9"/>
      <c r="G17" s="8"/>
      <c r="H17" s="10"/>
      <c r="J17" s="8"/>
      <c r="K17" s="8"/>
      <c r="L17" s="8"/>
      <c r="M17" s="9"/>
      <c r="N17" s="8"/>
      <c r="O17" s="8"/>
      <c r="Q17" s="8"/>
      <c r="R17" s="8"/>
    </row>
    <row r="18" spans="3:8" ht="12.75">
      <c r="C18" s="1"/>
      <c r="D18" s="1"/>
      <c r="E18" s="1"/>
      <c r="F18" s="2"/>
      <c r="G18" s="1"/>
      <c r="H18" s="3"/>
    </row>
    <row r="19" spans="3:18" s="15" customFormat="1" ht="13.5" thickBot="1">
      <c r="C19" s="16">
        <f>SUM(C15:C17)</f>
        <v>413178.9100000001</v>
      </c>
      <c r="D19" s="16">
        <f>SUM(D15:D17)</f>
        <v>514085.6300000017</v>
      </c>
      <c r="E19" s="16">
        <f>SUM(E15:E17)</f>
        <v>28403496.979999997</v>
      </c>
      <c r="F19" s="16"/>
      <c r="G19" s="16">
        <f>SUM(G15:G17)</f>
        <v>514103.295338</v>
      </c>
      <c r="H19" s="16">
        <f>SUM(H15:H17)</f>
        <v>-17.66533799831882</v>
      </c>
      <c r="J19" s="16">
        <f>SUM(J15:J18)</f>
        <v>0</v>
      </c>
      <c r="K19" s="16">
        <f>SUM(K15:K18)</f>
        <v>0</v>
      </c>
      <c r="L19" s="16">
        <f>SUM(L15:L18)</f>
        <v>0</v>
      </c>
      <c r="M19" s="16"/>
      <c r="N19" s="16">
        <f>SUM(N15:N18)</f>
        <v>0</v>
      </c>
      <c r="O19" s="16">
        <f>SUM(O15:O18)</f>
        <v>0</v>
      </c>
      <c r="Q19" s="16">
        <f>C19+J19</f>
        <v>413178.9100000001</v>
      </c>
      <c r="R19" s="16">
        <f>D19+K19</f>
        <v>514085.6300000017</v>
      </c>
    </row>
    <row r="21" spans="1:15" ht="12.75">
      <c r="A21" t="s">
        <v>6</v>
      </c>
      <c r="C21" s="1">
        <f>1735526.73-C19-C13-C7</f>
        <v>398031.2099999999</v>
      </c>
      <c r="D21" s="1">
        <f>'[9]jfr0403'!$K$17785</f>
        <v>500465.53999999736</v>
      </c>
      <c r="E21" s="1">
        <f>'[9]jfr0403'!$AE$17785</f>
        <v>27649930.950000003</v>
      </c>
      <c r="F21" s="2">
        <v>0.0181</v>
      </c>
      <c r="G21" s="1">
        <f>E21*F21</f>
        <v>500463.7501950001</v>
      </c>
      <c r="H21" s="3">
        <f>D21-G21</f>
        <v>1.7898049972718582</v>
      </c>
      <c r="M21" s="2">
        <v>0.0181</v>
      </c>
      <c r="N21" s="1">
        <f>L21*M21</f>
        <v>0</v>
      </c>
      <c r="O21" s="1">
        <f>K21-N21</f>
        <v>0</v>
      </c>
    </row>
    <row r="22" spans="3:15" ht="12.75">
      <c r="C22" s="1"/>
      <c r="D22" s="1">
        <f>'[9]jfr0403'!$J$17840</f>
        <v>-1508.81</v>
      </c>
      <c r="E22" s="1">
        <f>'[9]jfr0403'!$K$17840</f>
        <v>-83358</v>
      </c>
      <c r="F22" s="2">
        <v>0.0181</v>
      </c>
      <c r="G22" s="1">
        <f>E22*F22</f>
        <v>-1508.7798</v>
      </c>
      <c r="H22" s="3">
        <f>D22-G22</f>
        <v>-0.03019999999992251</v>
      </c>
      <c r="M22" s="2">
        <v>0.0181</v>
      </c>
      <c r="N22" s="1">
        <f>L22*M22</f>
        <v>0</v>
      </c>
      <c r="O22" s="1">
        <f>K22-N22</f>
        <v>0</v>
      </c>
    </row>
    <row r="23" spans="3:18" s="7" customFormat="1" ht="12.75">
      <c r="C23" s="8"/>
      <c r="D23" s="8"/>
      <c r="E23" s="8"/>
      <c r="F23" s="9"/>
      <c r="G23" s="8"/>
      <c r="H23" s="10"/>
      <c r="J23" s="8"/>
      <c r="K23" s="8"/>
      <c r="L23" s="8"/>
      <c r="M23" s="9"/>
      <c r="N23" s="8"/>
      <c r="O23" s="8"/>
      <c r="Q23" s="8"/>
      <c r="R23" s="8"/>
    </row>
    <row r="24" spans="3:8" ht="12.75">
      <c r="C24" s="1"/>
      <c r="D24" s="1"/>
      <c r="E24" s="1"/>
      <c r="F24" s="2"/>
      <c r="G24" s="1"/>
      <c r="H24" s="3"/>
    </row>
    <row r="25" spans="3:18" s="15" customFormat="1" ht="13.5" thickBot="1">
      <c r="C25" s="16">
        <f>SUM(C21:C23)</f>
        <v>398031.2099999999</v>
      </c>
      <c r="D25" s="16">
        <f>SUM(D21:D23)</f>
        <v>498956.72999999736</v>
      </c>
      <c r="E25" s="16">
        <f>SUM(E21:E23)</f>
        <v>27566572.950000003</v>
      </c>
      <c r="F25" s="16"/>
      <c r="G25" s="16">
        <f>SUM(G21:G23)</f>
        <v>498954.97039500007</v>
      </c>
      <c r="H25" s="16">
        <f>SUM(H21:H23)</f>
        <v>1.7596049972719356</v>
      </c>
      <c r="J25" s="16">
        <f>SUM(J21:J24)</f>
        <v>0</v>
      </c>
      <c r="K25" s="16">
        <f>SUM(K21:K24)</f>
        <v>0</v>
      </c>
      <c r="L25" s="16">
        <f>SUM(L21:L24)</f>
        <v>0</v>
      </c>
      <c r="M25" s="16"/>
      <c r="N25" s="16">
        <f>SUM(N21:N24)</f>
        <v>0</v>
      </c>
      <c r="O25" s="16">
        <f>SUM(O21:O24)</f>
        <v>0</v>
      </c>
      <c r="Q25" s="16">
        <f>C25+J25</f>
        <v>398031.2099999999</v>
      </c>
      <c r="R25" s="16">
        <f>D25+K25</f>
        <v>498956.72999999736</v>
      </c>
    </row>
    <row r="27" spans="1:15" ht="12.75">
      <c r="A27" t="s">
        <v>7</v>
      </c>
      <c r="C27" s="1">
        <f>2243368.48-1735526.73</f>
        <v>507841.75</v>
      </c>
      <c r="D27" s="1">
        <f>'[12]jfr0503'!$K$22966</f>
        <v>528950.3599999996</v>
      </c>
      <c r="E27" s="1">
        <f>'[12]jfr0503'!$AE$22966</f>
        <v>29223725.88</v>
      </c>
      <c r="F27" s="2">
        <v>0.0181</v>
      </c>
      <c r="G27" s="1">
        <f>E27*F27</f>
        <v>528949.4384280001</v>
      </c>
      <c r="H27" s="3">
        <f>D27-G27</f>
        <v>0.9215719995554537</v>
      </c>
      <c r="M27" s="2">
        <v>0.0181</v>
      </c>
      <c r="N27" s="1">
        <f>L27*M27</f>
        <v>0</v>
      </c>
      <c r="O27" s="1">
        <f>K27-N27</f>
        <v>0</v>
      </c>
    </row>
    <row r="28" spans="3:15" ht="12.75">
      <c r="C28" s="1"/>
      <c r="D28" s="1">
        <f>'[12]jfr0503'!$J$23056</f>
        <v>-2931.7300000000005</v>
      </c>
      <c r="E28" s="1">
        <f>'[12]jfr0503'!$K$23056</f>
        <v>-161975</v>
      </c>
      <c r="F28" s="2">
        <v>0.0181</v>
      </c>
      <c r="G28" s="1">
        <f>E28*F28</f>
        <v>-2931.7475000000004</v>
      </c>
      <c r="H28" s="3">
        <f>D28-G28</f>
        <v>0.01749999999992724</v>
      </c>
      <c r="M28" s="2">
        <v>0.0181</v>
      </c>
      <c r="N28" s="1">
        <f>L28*M28</f>
        <v>0</v>
      </c>
      <c r="O28" s="1">
        <f>K28-N28</f>
        <v>0</v>
      </c>
    </row>
    <row r="29" spans="3:18" s="7" customFormat="1" ht="12.75">
      <c r="C29" s="8"/>
      <c r="D29" s="8"/>
      <c r="E29" s="8"/>
      <c r="F29" s="9"/>
      <c r="G29" s="8"/>
      <c r="H29" s="10"/>
      <c r="J29" s="8"/>
      <c r="K29" s="8"/>
      <c r="L29" s="8"/>
      <c r="M29" s="9"/>
      <c r="N29" s="8"/>
      <c r="O29" s="8"/>
      <c r="Q29" s="8"/>
      <c r="R29" s="8"/>
    </row>
    <row r="30" spans="3:8" ht="12.75">
      <c r="C30" s="1"/>
      <c r="D30" s="1"/>
      <c r="E30" s="1"/>
      <c r="F30" s="2"/>
      <c r="G30" s="1"/>
      <c r="H30" s="3"/>
    </row>
    <row r="31" spans="3:18" s="15" customFormat="1" ht="13.5" thickBot="1">
      <c r="C31" s="75">
        <f>SUM(C27:C29)</f>
        <v>507841.75</v>
      </c>
      <c r="D31" s="16">
        <f>SUM(D27:D29)</f>
        <v>526018.6299999997</v>
      </c>
      <c r="E31" s="16">
        <f>SUM(E27:E29)</f>
        <v>29061750.88</v>
      </c>
      <c r="F31" s="16"/>
      <c r="G31" s="16">
        <f>SUM(G27:G29)</f>
        <v>526017.690928</v>
      </c>
      <c r="H31" s="16">
        <f>SUM(H27:H29)</f>
        <v>0.9390719995553809</v>
      </c>
      <c r="J31" s="16">
        <f>SUM(J27:J30)</f>
        <v>0</v>
      </c>
      <c r="K31" s="16">
        <f>SUM(K27:K30)</f>
        <v>0</v>
      </c>
      <c r="L31" s="16">
        <f>SUM(L27:L30)</f>
        <v>0</v>
      </c>
      <c r="M31" s="16"/>
      <c r="N31" s="16">
        <f>SUM(N27:N30)</f>
        <v>0</v>
      </c>
      <c r="O31" s="16">
        <f>SUM(O27:O30)</f>
        <v>0</v>
      </c>
      <c r="Q31" s="16">
        <f>C31+J31</f>
        <v>507841.75</v>
      </c>
      <c r="R31" s="16">
        <f>D31+K31</f>
        <v>526018.6299999997</v>
      </c>
    </row>
    <row r="33" spans="1:15" ht="12.75">
      <c r="A33" t="s">
        <v>8</v>
      </c>
      <c r="C33" s="1">
        <f>2675737.98-2243368.48</f>
        <v>432369.5</v>
      </c>
      <c r="D33" s="1">
        <f>'[14]jfr0603'!$K$19988</f>
        <v>417065.5400000007</v>
      </c>
      <c r="E33" s="1">
        <f>'[14]jfr0603'!$AE$19988</f>
        <v>23042241.990000002</v>
      </c>
      <c r="F33" s="2">
        <v>0.0181</v>
      </c>
      <c r="G33" s="1">
        <f>E33*F33</f>
        <v>417064.58001900004</v>
      </c>
      <c r="H33" s="3">
        <f>D33-G33</f>
        <v>0.959981000632979</v>
      </c>
      <c r="M33" s="2">
        <v>0.0181</v>
      </c>
      <c r="N33" s="1">
        <f>L33*M33</f>
        <v>0</v>
      </c>
      <c r="O33" s="1">
        <f>K33-N33</f>
        <v>0</v>
      </c>
    </row>
    <row r="34" spans="3:15" ht="12.75">
      <c r="C34" s="1"/>
      <c r="D34" s="1">
        <f>'[14]jfr0603'!$J$20063</f>
        <v>-2466.6299999999997</v>
      </c>
      <c r="E34" s="1">
        <f>'[14]jfr0603'!$K$20063</f>
        <v>-138546.89</v>
      </c>
      <c r="F34" s="2">
        <v>0.0181</v>
      </c>
      <c r="G34" s="1">
        <f>E34*F34</f>
        <v>-2507.6987090000002</v>
      </c>
      <c r="H34" s="3">
        <f>D34-G34</f>
        <v>41.06870900000058</v>
      </c>
      <c r="M34" s="2">
        <v>0.0181</v>
      </c>
      <c r="N34" s="1">
        <f>L34*M34</f>
        <v>0</v>
      </c>
      <c r="O34" s="1">
        <f>K34-N34</f>
        <v>0</v>
      </c>
    </row>
    <row r="35" spans="1:18" s="7" customFormat="1" ht="12.75">
      <c r="A35" s="7" t="s">
        <v>182</v>
      </c>
      <c r="C35" s="8"/>
      <c r="D35" s="8">
        <v>-5.27</v>
      </c>
      <c r="E35" s="8">
        <f>+D35/F35</f>
        <v>-291.1602209944751</v>
      </c>
      <c r="F35" s="2">
        <v>0.0181</v>
      </c>
      <c r="G35" s="8"/>
      <c r="H35" s="10"/>
      <c r="J35" s="8"/>
      <c r="K35" s="8"/>
      <c r="L35" s="8"/>
      <c r="M35" s="9"/>
      <c r="N35" s="8"/>
      <c r="O35" s="8"/>
      <c r="Q35" s="8"/>
      <c r="R35" s="8"/>
    </row>
    <row r="36" spans="3:8" ht="12.75">
      <c r="C36" s="1"/>
      <c r="D36" s="1"/>
      <c r="E36" s="1"/>
      <c r="F36" s="2"/>
      <c r="G36" s="1"/>
      <c r="H36" s="3"/>
    </row>
    <row r="37" spans="3:18" s="15" customFormat="1" ht="13.5" thickBot="1">
      <c r="C37" s="16">
        <f>SUM(C33:C35)</f>
        <v>432369.5</v>
      </c>
      <c r="D37" s="16">
        <f>SUM(D33:D35)</f>
        <v>414593.64000000065</v>
      </c>
      <c r="E37" s="16">
        <f>SUM(E33:E35)</f>
        <v>22903403.939779006</v>
      </c>
      <c r="F37" s="16"/>
      <c r="G37" s="16">
        <f>SUM(G33:G35)</f>
        <v>414556.88131</v>
      </c>
      <c r="H37" s="16">
        <f>SUM(H33:H35)</f>
        <v>42.02869000063356</v>
      </c>
      <c r="J37" s="16">
        <f>SUM(J33:J36)</f>
        <v>0</v>
      </c>
      <c r="K37" s="16">
        <f>SUM(K33:K36)</f>
        <v>0</v>
      </c>
      <c r="L37" s="16">
        <f>SUM(L33:L36)</f>
        <v>0</v>
      </c>
      <c r="M37" s="16"/>
      <c r="N37" s="16">
        <f>SUM(N33:N36)</f>
        <v>0</v>
      </c>
      <c r="O37" s="16">
        <f>SUM(O33:O36)</f>
        <v>0</v>
      </c>
      <c r="Q37" s="16">
        <f>C37+J37</f>
        <v>432369.5</v>
      </c>
      <c r="R37" s="16">
        <f>D37+K37</f>
        <v>414593.64000000065</v>
      </c>
    </row>
    <row r="38" ht="12.75">
      <c r="E38" s="3"/>
    </row>
    <row r="39" spans="1:15" ht="12.75">
      <c r="A39" t="s">
        <v>9</v>
      </c>
      <c r="B39" s="77"/>
      <c r="C39" s="1">
        <v>431085.33</v>
      </c>
      <c r="D39" s="1">
        <v>390458.64</v>
      </c>
      <c r="E39" s="1">
        <v>21572217.99</v>
      </c>
      <c r="F39" s="2">
        <v>0.0181</v>
      </c>
      <c r="G39" s="1">
        <f>E39*F39</f>
        <v>390457.145619</v>
      </c>
      <c r="H39" s="3">
        <f>D39-G39</f>
        <v>1.4943809999967925</v>
      </c>
      <c r="M39" s="2">
        <v>0.0181</v>
      </c>
      <c r="N39" s="1">
        <f>L39*M39</f>
        <v>0</v>
      </c>
      <c r="O39" s="1">
        <f>K39-N39</f>
        <v>0</v>
      </c>
    </row>
    <row r="40" spans="3:15" ht="12.75">
      <c r="C40" s="1"/>
      <c r="D40" s="1">
        <v>-1790.29</v>
      </c>
      <c r="E40" s="1">
        <v>-98913</v>
      </c>
      <c r="F40" s="2">
        <v>0.0181</v>
      </c>
      <c r="G40" s="1">
        <f>E40*F40</f>
        <v>-1790.3253000000002</v>
      </c>
      <c r="H40" s="3">
        <f>D40-G40</f>
        <v>0.03530000000023392</v>
      </c>
      <c r="M40" s="2">
        <v>0.0181</v>
      </c>
      <c r="N40" s="1">
        <f>L40*M40</f>
        <v>0</v>
      </c>
      <c r="O40" s="1">
        <f>K40-N40</f>
        <v>0</v>
      </c>
    </row>
    <row r="41" spans="3:18" s="7" customFormat="1" ht="12.75">
      <c r="C41" s="8"/>
      <c r="D41" s="8"/>
      <c r="E41" s="8"/>
      <c r="F41" s="9"/>
      <c r="G41" s="8"/>
      <c r="H41" s="10"/>
      <c r="J41" s="8"/>
      <c r="K41" s="8"/>
      <c r="L41" s="8"/>
      <c r="M41" s="9"/>
      <c r="N41" s="8"/>
      <c r="O41" s="8"/>
      <c r="Q41" s="8"/>
      <c r="R41" s="8"/>
    </row>
    <row r="42" spans="3:8" ht="12.75">
      <c r="C42" s="1"/>
      <c r="D42" s="1"/>
      <c r="E42" s="1"/>
      <c r="F42" s="2"/>
      <c r="G42" s="1"/>
      <c r="H42" s="3"/>
    </row>
    <row r="43" spans="3:18" s="15" customFormat="1" ht="13.5" thickBot="1">
      <c r="C43" s="16">
        <f>SUM(C39:C41)</f>
        <v>431085.33</v>
      </c>
      <c r="D43" s="16">
        <f>SUM(D39:D41)</f>
        <v>388668.35000000003</v>
      </c>
      <c r="E43" s="16">
        <f>SUM(E39:E41)</f>
        <v>21473304.99</v>
      </c>
      <c r="F43" s="16"/>
      <c r="G43" s="16">
        <f>SUM(G39:G41)</f>
        <v>388666.820319</v>
      </c>
      <c r="H43" s="16">
        <f>SUM(H39:H41)</f>
        <v>1.5296809999970264</v>
      </c>
      <c r="J43" s="16">
        <f>SUM(J39:J42)</f>
        <v>0</v>
      </c>
      <c r="K43" s="16">
        <f>SUM(K39:K42)</f>
        <v>0</v>
      </c>
      <c r="L43" s="16">
        <f>SUM(L39:L42)</f>
        <v>0</v>
      </c>
      <c r="M43" s="16"/>
      <c r="N43" s="16">
        <f>SUM(N39:N42)</f>
        <v>0</v>
      </c>
      <c r="O43" s="16">
        <f>SUM(O39:O42)</f>
        <v>0</v>
      </c>
      <c r="Q43" s="16">
        <f>C43+J43</f>
        <v>431085.33</v>
      </c>
      <c r="R43" s="16">
        <f>D43+K43</f>
        <v>388668.35000000003</v>
      </c>
    </row>
    <row r="45" spans="1:15" ht="12.75">
      <c r="A45" t="s">
        <v>10</v>
      </c>
      <c r="C45" s="1">
        <f>469795.21-1136.52</f>
        <v>468658.69</v>
      </c>
      <c r="D45" s="1">
        <v>503356.95</v>
      </c>
      <c r="E45" s="1">
        <f>+D45/F45</f>
        <v>27809776.243093923</v>
      </c>
      <c r="F45" s="2">
        <v>0.0181</v>
      </c>
      <c r="G45" s="1">
        <f>E45*F45</f>
        <v>503356.95000000007</v>
      </c>
      <c r="H45" s="3">
        <f>D45-G45</f>
        <v>0</v>
      </c>
      <c r="M45" s="2">
        <v>0.0181</v>
      </c>
      <c r="N45" s="1">
        <f>L45*M45</f>
        <v>0</v>
      </c>
      <c r="O45" s="1">
        <f>K45-N45</f>
        <v>0</v>
      </c>
    </row>
    <row r="46" spans="3:15" ht="12.75">
      <c r="C46" s="1"/>
      <c r="D46" s="1">
        <v>-885.78</v>
      </c>
      <c r="E46" s="1">
        <f>+D46/F46</f>
        <v>-48938.12154696132</v>
      </c>
      <c r="F46" s="2">
        <v>0.0181</v>
      </c>
      <c r="G46" s="1">
        <f>E46*F46</f>
        <v>-885.78</v>
      </c>
      <c r="H46" s="3">
        <f>D46-G46</f>
        <v>0</v>
      </c>
      <c r="M46" s="2">
        <v>0.0181</v>
      </c>
      <c r="N46" s="1">
        <f>L46*M46</f>
        <v>0</v>
      </c>
      <c r="O46" s="1">
        <f>K46-N46</f>
        <v>0</v>
      </c>
    </row>
    <row r="47" spans="3:18" s="7" customFormat="1" ht="12.75">
      <c r="C47" s="8"/>
      <c r="D47" s="8"/>
      <c r="E47" s="8"/>
      <c r="F47" s="9"/>
      <c r="G47" s="8"/>
      <c r="H47" s="10"/>
      <c r="J47" s="8"/>
      <c r="K47" s="8"/>
      <c r="L47" s="8"/>
      <c r="M47" s="9"/>
      <c r="N47" s="8"/>
      <c r="O47" s="8"/>
      <c r="Q47" s="8"/>
      <c r="R47" s="8"/>
    </row>
    <row r="48" spans="3:8" ht="12.75">
      <c r="C48" s="1"/>
      <c r="D48" s="1"/>
      <c r="E48" s="1"/>
      <c r="F48" s="2"/>
      <c r="G48" s="1"/>
      <c r="H48" s="3"/>
    </row>
    <row r="49" spans="3:18" s="15" customFormat="1" ht="13.5" thickBot="1">
      <c r="C49" s="16">
        <f>SUM(C45:C47)</f>
        <v>468658.69</v>
      </c>
      <c r="D49" s="16">
        <f>SUM(D45:D47)</f>
        <v>502471.17</v>
      </c>
      <c r="E49" s="16">
        <f>SUM(E45:E47)</f>
        <v>27760838.12154696</v>
      </c>
      <c r="F49" s="16"/>
      <c r="G49" s="16">
        <f>SUM(G45:G47)</f>
        <v>502471.17000000004</v>
      </c>
      <c r="H49" s="16">
        <f>SUM(H45:H47)</f>
        <v>0</v>
      </c>
      <c r="J49" s="16">
        <f>SUM(J45:J48)</f>
        <v>0</v>
      </c>
      <c r="K49" s="16">
        <f>SUM(K45:K48)</f>
        <v>0</v>
      </c>
      <c r="L49" s="16">
        <f>SUM(L45:L48)</f>
        <v>0</v>
      </c>
      <c r="M49" s="16"/>
      <c r="N49" s="16">
        <f>SUM(N45:N48)</f>
        <v>0</v>
      </c>
      <c r="O49" s="16">
        <f>SUM(O45:O48)</f>
        <v>0</v>
      </c>
      <c r="Q49" s="16">
        <f>C49+J49</f>
        <v>468658.69</v>
      </c>
      <c r="R49" s="16">
        <f>D49+K49</f>
        <v>502471.17</v>
      </c>
    </row>
    <row r="51" spans="1:15" ht="12.75">
      <c r="A51" t="s">
        <v>11</v>
      </c>
      <c r="C51" s="1">
        <f>417051.96-1308.84</f>
        <v>415743.12</v>
      </c>
      <c r="D51" s="1">
        <v>421810.45</v>
      </c>
      <c r="E51" s="1">
        <f>+D51/F51</f>
        <v>23304444.751381215</v>
      </c>
      <c r="F51" s="2">
        <v>0.0181</v>
      </c>
      <c r="G51" s="1">
        <f>E51*F51</f>
        <v>421810.45</v>
      </c>
      <c r="H51" s="3">
        <f>D51-G51</f>
        <v>0</v>
      </c>
      <c r="M51" s="2">
        <v>0.0181</v>
      </c>
      <c r="N51" s="1">
        <f>L51*M51</f>
        <v>0</v>
      </c>
      <c r="O51" s="1">
        <f>K51-N51</f>
        <v>0</v>
      </c>
    </row>
    <row r="52" spans="3:15" ht="12.75">
      <c r="C52" s="1"/>
      <c r="D52" s="1">
        <v>-1542.8</v>
      </c>
      <c r="E52" s="1">
        <f>+D52/F52</f>
        <v>-85237.56906077347</v>
      </c>
      <c r="F52" s="2">
        <v>0.0181</v>
      </c>
      <c r="G52" s="1">
        <f>E52*F52</f>
        <v>-1542.8</v>
      </c>
      <c r="H52" s="3">
        <f>D52-G52</f>
        <v>0</v>
      </c>
      <c r="M52" s="2">
        <v>0.0181</v>
      </c>
      <c r="N52" s="1">
        <f>L52*M52</f>
        <v>0</v>
      </c>
      <c r="O52" s="1">
        <f>K52-N52</f>
        <v>0</v>
      </c>
    </row>
    <row r="53" spans="3:18" s="7" customFormat="1" ht="12.75">
      <c r="C53" s="8"/>
      <c r="D53" s="8"/>
      <c r="E53" s="8"/>
      <c r="F53" s="9"/>
      <c r="G53" s="8"/>
      <c r="H53" s="10"/>
      <c r="J53" s="8"/>
      <c r="K53" s="8"/>
      <c r="L53" s="8"/>
      <c r="M53" s="9"/>
      <c r="N53" s="8"/>
      <c r="O53" s="8"/>
      <c r="Q53" s="8"/>
      <c r="R53" s="8"/>
    </row>
    <row r="54" spans="3:8" ht="12.75">
      <c r="C54" s="1"/>
      <c r="D54" s="1"/>
      <c r="E54" s="1"/>
      <c r="F54" s="2"/>
      <c r="G54" s="1"/>
      <c r="H54" s="3"/>
    </row>
    <row r="55" spans="3:18" s="15" customFormat="1" ht="13.5" thickBot="1">
      <c r="C55" s="16">
        <f>SUM(C51:C53)</f>
        <v>415743.12</v>
      </c>
      <c r="D55" s="16">
        <f>SUM(D51:D53)</f>
        <v>420267.65</v>
      </c>
      <c r="E55" s="16">
        <f>SUM(E51:E53)</f>
        <v>23219207.182320442</v>
      </c>
      <c r="F55" s="16"/>
      <c r="G55" s="16">
        <f>SUM(G51:G53)</f>
        <v>420267.65</v>
      </c>
      <c r="H55" s="16">
        <f>SUM(H51:H53)</f>
        <v>0</v>
      </c>
      <c r="J55" s="16">
        <f>SUM(J51:J54)</f>
        <v>0</v>
      </c>
      <c r="K55" s="16">
        <f>SUM(K51:K54)</f>
        <v>0</v>
      </c>
      <c r="L55" s="16">
        <f>SUM(L51:L54)</f>
        <v>0</v>
      </c>
      <c r="M55" s="16"/>
      <c r="N55" s="16">
        <f>SUM(N51:N54)</f>
        <v>0</v>
      </c>
      <c r="O55" s="16">
        <f>SUM(O51:O54)</f>
        <v>0</v>
      </c>
      <c r="Q55" s="16">
        <f>C55+J55</f>
        <v>415743.12</v>
      </c>
      <c r="R55" s="16">
        <f>D55+K55</f>
        <v>420267.65</v>
      </c>
    </row>
    <row r="57" spans="1:15" ht="12.75">
      <c r="A57" t="s">
        <v>12</v>
      </c>
      <c r="C57" s="1">
        <f>466408.66-1967.56</f>
        <v>464441.1</v>
      </c>
      <c r="D57" s="1">
        <v>456226.43</v>
      </c>
      <c r="E57" s="1">
        <f>+D57/F57</f>
        <v>25205880.110497236</v>
      </c>
      <c r="F57" s="2">
        <v>0.0181</v>
      </c>
      <c r="G57" s="1">
        <f>E57*F57</f>
        <v>456226.43</v>
      </c>
      <c r="H57" s="3">
        <f>D57-G57</f>
        <v>0</v>
      </c>
      <c r="M57" s="2">
        <v>0.0181</v>
      </c>
      <c r="N57" s="1">
        <f>L57*M57</f>
        <v>0</v>
      </c>
      <c r="O57" s="1">
        <f>K57-N57</f>
        <v>0</v>
      </c>
    </row>
    <row r="58" spans="3:15" ht="12.75">
      <c r="C58" s="1"/>
      <c r="D58" s="1">
        <v>-3335.58</v>
      </c>
      <c r="E58" s="1">
        <f>+D58/F58</f>
        <v>-184286.18784530385</v>
      </c>
      <c r="F58" s="2">
        <v>0.0181</v>
      </c>
      <c r="G58" s="1">
        <f>E58*F58</f>
        <v>-3335.58</v>
      </c>
      <c r="H58" s="3">
        <f>D58-G58</f>
        <v>0</v>
      </c>
      <c r="M58" s="2">
        <v>0.0181</v>
      </c>
      <c r="N58" s="1">
        <f>L58*M58</f>
        <v>0</v>
      </c>
      <c r="O58" s="1">
        <f>K58-N58</f>
        <v>0</v>
      </c>
    </row>
    <row r="59" spans="3:18" s="7" customFormat="1" ht="12.75">
      <c r="C59" s="8"/>
      <c r="D59" s="8"/>
      <c r="E59" s="8"/>
      <c r="F59" s="9"/>
      <c r="G59" s="8"/>
      <c r="H59" s="10"/>
      <c r="J59" s="8"/>
      <c r="K59" s="8"/>
      <c r="L59" s="8"/>
      <c r="M59" s="9"/>
      <c r="N59" s="8"/>
      <c r="O59" s="8"/>
      <c r="Q59" s="8"/>
      <c r="R59" s="8"/>
    </row>
    <row r="60" spans="3:8" ht="12.75">
      <c r="C60" s="1"/>
      <c r="D60" s="1"/>
      <c r="E60" s="1"/>
      <c r="F60" s="2"/>
      <c r="G60" s="1"/>
      <c r="H60" s="3"/>
    </row>
    <row r="61" spans="3:18" s="15" customFormat="1" ht="13.5" thickBot="1">
      <c r="C61" s="16">
        <f>SUM(C57:C59)</f>
        <v>464441.1</v>
      </c>
      <c r="D61" s="16">
        <f>SUM(D57:D59)</f>
        <v>452890.85</v>
      </c>
      <c r="E61" s="16">
        <f>SUM(E57:E59)</f>
        <v>25021593.92265193</v>
      </c>
      <c r="F61" s="16"/>
      <c r="G61" s="16">
        <f>SUM(G57:G59)</f>
        <v>452890.85</v>
      </c>
      <c r="H61" s="16">
        <f>SUM(H57:H59)</f>
        <v>0</v>
      </c>
      <c r="J61" s="16">
        <f>SUM(J57:J60)</f>
        <v>0</v>
      </c>
      <c r="K61" s="16">
        <f>SUM(K57:K60)</f>
        <v>0</v>
      </c>
      <c r="L61" s="16">
        <f>SUM(L57:L60)</f>
        <v>0</v>
      </c>
      <c r="M61" s="16"/>
      <c r="N61" s="16">
        <f>SUM(N57:N60)</f>
        <v>0</v>
      </c>
      <c r="O61" s="16">
        <f>SUM(O57:O60)</f>
        <v>0</v>
      </c>
      <c r="Q61" s="16">
        <f>C61+J61</f>
        <v>464441.1</v>
      </c>
      <c r="R61" s="16">
        <f>D61+K61</f>
        <v>452890.85</v>
      </c>
    </row>
    <row r="63" spans="1:15" ht="12.75">
      <c r="A63" t="s">
        <v>13</v>
      </c>
      <c r="C63" s="1">
        <f>478845.79-850.96</f>
        <v>477994.82999999996</v>
      </c>
      <c r="D63" s="1">
        <v>452321.49</v>
      </c>
      <c r="E63" s="1">
        <f>+D63/F63</f>
        <v>24990137.569060773</v>
      </c>
      <c r="F63" s="2">
        <v>0.0181</v>
      </c>
      <c r="G63" s="1">
        <f>E63*F63</f>
        <v>452321.49000000005</v>
      </c>
      <c r="H63" s="3">
        <f>D63-G63</f>
        <v>0</v>
      </c>
      <c r="M63" s="2">
        <v>0.0181</v>
      </c>
      <c r="N63" s="1">
        <f>L63*M63</f>
        <v>0</v>
      </c>
      <c r="O63" s="1">
        <f>K63-N63</f>
        <v>0</v>
      </c>
    </row>
    <row r="64" spans="3:15" ht="12.75">
      <c r="C64" s="1"/>
      <c r="D64" s="1">
        <v>-999.53</v>
      </c>
      <c r="E64" s="1">
        <f>+D64/F64</f>
        <v>-55222.65193370165</v>
      </c>
      <c r="F64" s="2">
        <v>0.0181</v>
      </c>
      <c r="G64" s="1">
        <f>E64*F64</f>
        <v>-999.53</v>
      </c>
      <c r="H64" s="3">
        <f>D64-G64</f>
        <v>0</v>
      </c>
      <c r="M64" s="2">
        <v>0.0181</v>
      </c>
      <c r="N64" s="1">
        <f>L64*M64</f>
        <v>0</v>
      </c>
      <c r="O64" s="1">
        <f>K64-N64</f>
        <v>0</v>
      </c>
    </row>
    <row r="65" spans="3:18" s="7" customFormat="1" ht="12.75">
      <c r="C65" s="8"/>
      <c r="D65" s="8"/>
      <c r="E65" s="8"/>
      <c r="F65" s="9"/>
      <c r="G65" s="8"/>
      <c r="H65" s="10"/>
      <c r="J65" s="8"/>
      <c r="K65" s="8"/>
      <c r="L65" s="8"/>
      <c r="M65" s="9"/>
      <c r="N65" s="8"/>
      <c r="O65" s="8"/>
      <c r="Q65" s="8"/>
      <c r="R65" s="8"/>
    </row>
    <row r="66" spans="3:8" ht="12.75">
      <c r="C66" s="1"/>
      <c r="D66" s="1"/>
      <c r="E66" s="1"/>
      <c r="F66" s="2"/>
      <c r="G66" s="1"/>
      <c r="H66" s="3"/>
    </row>
    <row r="67" spans="3:18" s="15" customFormat="1" ht="13.5" thickBot="1">
      <c r="C67" s="16">
        <f>SUM(C63:C65)</f>
        <v>477994.82999999996</v>
      </c>
      <c r="D67" s="16">
        <f>SUM(D63:D65)</f>
        <v>451321.95999999996</v>
      </c>
      <c r="E67" s="16">
        <f>SUM(E63:E65)</f>
        <v>24934914.917127073</v>
      </c>
      <c r="F67" s="16"/>
      <c r="G67" s="16">
        <f>SUM(G63:G65)</f>
        <v>451321.96</v>
      </c>
      <c r="H67" s="16">
        <f>SUM(H63:H65)</f>
        <v>0</v>
      </c>
      <c r="J67" s="16">
        <f>SUM(J63:J66)</f>
        <v>0</v>
      </c>
      <c r="K67" s="16">
        <f>SUM(K63:K66)</f>
        <v>0</v>
      </c>
      <c r="L67" s="16">
        <f>SUM(L63:L66)</f>
        <v>0</v>
      </c>
      <c r="M67" s="16"/>
      <c r="N67" s="16">
        <f>SUM(N63:N66)</f>
        <v>0</v>
      </c>
      <c r="O67" s="16">
        <f>SUM(O63:O66)</f>
        <v>0</v>
      </c>
      <c r="Q67" s="16">
        <f>C67+J67</f>
        <v>477994.82999999996</v>
      </c>
      <c r="R67" s="16">
        <f>D67+K67</f>
        <v>451321.95999999996</v>
      </c>
    </row>
    <row r="69" spans="1:15" ht="12.75">
      <c r="A69" t="s">
        <v>14</v>
      </c>
      <c r="C69" s="1">
        <f>400498.59-1101.27</f>
        <v>399397.32</v>
      </c>
      <c r="D69" s="1">
        <v>432077.07</v>
      </c>
      <c r="E69" s="1">
        <f>+D69/F69</f>
        <v>23871661.32596685</v>
      </c>
      <c r="F69" s="2">
        <v>0.0181</v>
      </c>
      <c r="G69" s="1">
        <f>E69*F69</f>
        <v>432077.07</v>
      </c>
      <c r="H69" s="3">
        <f>D69-G69</f>
        <v>0</v>
      </c>
      <c r="M69" s="2">
        <v>0.0181</v>
      </c>
      <c r="N69" s="1">
        <f>L69*M69</f>
        <v>0</v>
      </c>
      <c r="O69" s="1">
        <f>K69-N69</f>
        <v>0</v>
      </c>
    </row>
    <row r="70" spans="3:15" ht="12.75">
      <c r="C70" s="1"/>
      <c r="D70" s="1">
        <v>-1564.12</v>
      </c>
      <c r="E70" s="1">
        <f>+D70/F70</f>
        <v>-86415.46961325966</v>
      </c>
      <c r="F70" s="2">
        <v>0.0181</v>
      </c>
      <c r="G70" s="1">
        <f>E70*F70</f>
        <v>-1564.12</v>
      </c>
      <c r="H70" s="3">
        <f>D70-G70</f>
        <v>0</v>
      </c>
      <c r="M70" s="2">
        <v>0.0181</v>
      </c>
      <c r="N70" s="1">
        <f>L70*M70</f>
        <v>0</v>
      </c>
      <c r="O70" s="1">
        <f>K70-N70</f>
        <v>0</v>
      </c>
    </row>
    <row r="71" spans="3:18" s="7" customFormat="1" ht="12.75">
      <c r="C71" s="8"/>
      <c r="D71" s="8"/>
      <c r="E71" s="8"/>
      <c r="F71" s="9"/>
      <c r="G71" s="8"/>
      <c r="H71" s="10"/>
      <c r="J71" s="8"/>
      <c r="K71" s="8"/>
      <c r="L71" s="8"/>
      <c r="M71" s="9"/>
      <c r="N71" s="8"/>
      <c r="O71" s="8"/>
      <c r="Q71" s="8"/>
      <c r="R71" s="8"/>
    </row>
    <row r="72" spans="3:8" ht="12.75">
      <c r="C72" s="1"/>
      <c r="D72" s="1"/>
      <c r="E72" s="1"/>
      <c r="F72" s="2"/>
      <c r="G72" s="1"/>
      <c r="H72" s="3"/>
    </row>
    <row r="73" spans="3:18" s="15" customFormat="1" ht="13.5" thickBot="1">
      <c r="C73" s="16">
        <f>SUM(C69:C71)</f>
        <v>399397.32</v>
      </c>
      <c r="D73" s="16">
        <f>SUM(D69:D71)</f>
        <v>430512.95</v>
      </c>
      <c r="E73" s="16">
        <f>SUM(E69:E71)</f>
        <v>23785245.85635359</v>
      </c>
      <c r="F73" s="16"/>
      <c r="G73" s="16">
        <f>SUM(G69:G71)</f>
        <v>430512.95</v>
      </c>
      <c r="H73" s="16">
        <f>SUM(H69:H71)</f>
        <v>0</v>
      </c>
      <c r="J73" s="16">
        <f>SUM(J69:J72)</f>
        <v>0</v>
      </c>
      <c r="K73" s="16">
        <f>SUM(K69:K72)</f>
        <v>0</v>
      </c>
      <c r="L73" s="16">
        <f>SUM(L69:L72)</f>
        <v>0</v>
      </c>
      <c r="M73" s="16"/>
      <c r="N73" s="16">
        <f>SUM(N69:N72)</f>
        <v>0</v>
      </c>
      <c r="O73" s="16">
        <f>SUM(O69:O72)</f>
        <v>0</v>
      </c>
      <c r="Q73" s="16">
        <f>C73+J73</f>
        <v>399397.32</v>
      </c>
      <c r="R73" s="16">
        <f>D73+K73</f>
        <v>430512.95</v>
      </c>
    </row>
    <row r="75" ht="12.75">
      <c r="E75" s="78"/>
    </row>
    <row r="76" ht="12.75">
      <c r="E76" s="78"/>
    </row>
    <row r="77" ht="12.75">
      <c r="E77" s="78"/>
    </row>
    <row r="78" ht="12.75">
      <c r="E78" s="78"/>
    </row>
    <row r="79" ht="12.75">
      <c r="E79" s="78"/>
    </row>
    <row r="80" ht="12.75">
      <c r="E80" s="78"/>
    </row>
    <row r="81" spans="1:18" ht="12.75">
      <c r="A81" t="s">
        <v>168</v>
      </c>
      <c r="C81" s="3">
        <f>C7+C13+C19+C25+C31+C37+C43+C49+C55+C61+C67+C73</f>
        <v>5333058.37</v>
      </c>
      <c r="D81" s="3">
        <f>D7+D13+D19+D25+D31+D37+D43+D49+D55+D61+D67+D73</f>
        <v>5746229.900000005</v>
      </c>
      <c r="E81" s="3">
        <f>E7+E13+E19+E25+E31+E37+E43+E49+E55+E61+E67+E73</f>
        <v>317479968.13911605</v>
      </c>
      <c r="F81" s="41">
        <f>(C81+D81)/E81</f>
        <v>0.034897597901815305</v>
      </c>
      <c r="G81" s="3"/>
      <c r="J81" s="3">
        <f>J7+J13+J19+J25+J31+J37+J43+J49+J55+J61+J67+J73</f>
        <v>0</v>
      </c>
      <c r="K81" s="3">
        <f>K7+K13+K19+K25+K31+K37+K43+K49+K55+K61+K67+K73</f>
        <v>0</v>
      </c>
      <c r="L81" s="3">
        <f>L7+L13+L19+L25+L31+L37+L43+L49+L55+L61+L67+L73</f>
        <v>0</v>
      </c>
      <c r="M81" s="2" t="e">
        <f>(J81+K81)/L81</f>
        <v>#DIV/0!</v>
      </c>
      <c r="Q81" s="1">
        <f>C81+J81</f>
        <v>5333058.37</v>
      </c>
      <c r="R81" s="1">
        <f>D81+K81</f>
        <v>5746229.900000005</v>
      </c>
    </row>
    <row r="82" ht="12.75">
      <c r="R82" s="1">
        <f>R81+Q81</f>
        <v>11079288.270000005</v>
      </c>
    </row>
    <row r="83" spans="3:12" ht="12.75">
      <c r="C83" s="3">
        <f>C81/10.99</f>
        <v>485264.63785259327</v>
      </c>
      <c r="E83" s="3">
        <f>E81*0.0098</f>
        <v>3111303.687763337</v>
      </c>
      <c r="J83" s="1">
        <f>J81/11.77</f>
        <v>0</v>
      </c>
      <c r="L83" s="1">
        <f>L81*0.0181</f>
        <v>0</v>
      </c>
    </row>
    <row r="85" spans="1:19" ht="12.75">
      <c r="A85" t="s">
        <v>169</v>
      </c>
      <c r="C85" s="1">
        <v>5333058.37</v>
      </c>
      <c r="D85" s="1">
        <v>5746229.9</v>
      </c>
      <c r="J85" s="1">
        <f>J83+C83</f>
        <v>485264.63785259327</v>
      </c>
      <c r="L85" s="1">
        <f>L81+E81</f>
        <v>317479968.13911605</v>
      </c>
      <c r="Q85" s="1">
        <v>2001</v>
      </c>
      <c r="R85" s="1">
        <v>2002</v>
      </c>
      <c r="S85" t="s">
        <v>77</v>
      </c>
    </row>
    <row r="86" spans="1:19" s="1" customFormat="1" ht="13.5" thickBot="1">
      <c r="A86" s="1" t="s">
        <v>19</v>
      </c>
      <c r="C86" s="1">
        <f>+C81-C85</f>
        <v>0</v>
      </c>
      <c r="D86" s="12">
        <f>+D81-D85</f>
        <v>0</v>
      </c>
      <c r="Q86" s="1">
        <v>6818332.65</v>
      </c>
      <c r="R86" s="1">
        <v>9187665.18</v>
      </c>
      <c r="S86" s="1">
        <f>R86+226250+197736</f>
        <v>9611651.18</v>
      </c>
    </row>
    <row r="87" spans="17:19" s="1" customFormat="1" ht="12.75">
      <c r="Q87" s="1">
        <v>281206141.03</v>
      </c>
      <c r="R87" s="1">
        <v>293235039.85</v>
      </c>
      <c r="S87" s="1">
        <f>R87+12500000</f>
        <v>305735039.85</v>
      </c>
    </row>
    <row r="88" spans="17:19" s="1" customFormat="1" ht="12.75">
      <c r="Q88" s="1">
        <f>Q86/Q87</f>
        <v>0.024246741643073146</v>
      </c>
      <c r="R88" s="1">
        <f>R86/R87</f>
        <v>0.031332084953762045</v>
      </c>
      <c r="S88" s="2">
        <f>S86/S87</f>
        <v>0.0314378462629461</v>
      </c>
    </row>
    <row r="89" s="1" customFormat="1" ht="12.75"/>
    <row r="90" spans="18:19" s="1" customFormat="1" ht="12.75">
      <c r="R90" s="1">
        <f>Q88*(R87-Q87)</f>
        <v>291661.6019392087</v>
      </c>
      <c r="S90" s="1">
        <f>Q88*(S87-Q87)</f>
        <v>594745.872477623</v>
      </c>
    </row>
    <row r="91" spans="18:19" s="1" customFormat="1" ht="12.75">
      <c r="R91" s="1">
        <f>ROUND(R90/1000,0)</f>
        <v>292</v>
      </c>
      <c r="S91" s="1">
        <f>ROUND(S90/1000,0)</f>
        <v>595</v>
      </c>
    </row>
    <row r="92" spans="18:19" s="1" customFormat="1" ht="12.75">
      <c r="R92" s="1">
        <f>9155-6818-R91</f>
        <v>2045</v>
      </c>
      <c r="S92" s="1">
        <f>9155+423-6818-S91</f>
        <v>2165</v>
      </c>
    </row>
    <row r="93" s="1" customFormat="1" ht="12.75"/>
  </sheetData>
  <sheetProtection/>
  <printOptions/>
  <pageMargins left="0.23" right="0.75" top="0.6" bottom="0.66" header="0.5" footer="0.5"/>
  <pageSetup fitToHeight="1" fitToWidth="1" horizontalDpi="300" verticalDpi="300" orientation="landscape" scale="41" r:id="rId1"/>
  <headerFooter alignWithMargins="0">
    <oddHeader>&amp;RDRAFT</oddHeader>
    <oddFooter>&amp;LI:\JD\YE Dec 31 03\GHESI\Stats\&amp;F&amp;A&amp;D&amp;T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0"/>
  <sheetViews>
    <sheetView zoomScale="75" zoomScaleNormal="75" zoomScalePageLayoutView="0" workbookViewId="0" topLeftCell="A58">
      <selection activeCell="C75" sqref="C75:F80"/>
    </sheetView>
  </sheetViews>
  <sheetFormatPr defaultColWidth="9.140625" defaultRowHeight="12.75"/>
  <cols>
    <col min="1" max="1" width="12.28125" style="0" customWidth="1"/>
    <col min="2" max="2" width="13.00390625" style="1" bestFit="1" customWidth="1"/>
    <col min="3" max="3" width="15.140625" style="1" bestFit="1" customWidth="1"/>
    <col min="4" max="4" width="9.28125" style="2" bestFit="1" customWidth="1"/>
    <col min="5" max="5" width="13.00390625" style="1" bestFit="1" customWidth="1"/>
    <col min="6" max="6" width="11.8515625" style="0" bestFit="1" customWidth="1"/>
    <col min="7" max="7" width="15.140625" style="0" bestFit="1" customWidth="1"/>
  </cols>
  <sheetData>
    <row r="1" spans="1:4" ht="12.75">
      <c r="A1" t="s">
        <v>2</v>
      </c>
      <c r="D1" s="193" t="s">
        <v>205</v>
      </c>
    </row>
    <row r="2" ht="12.75">
      <c r="A2" t="s">
        <v>0</v>
      </c>
    </row>
    <row r="3" ht="12.75">
      <c r="A3" t="s">
        <v>1</v>
      </c>
    </row>
    <row r="5" spans="2:7" s="4" customFormat="1" ht="25.5">
      <c r="B5" s="5" t="s">
        <v>15</v>
      </c>
      <c r="C5" s="5" t="s">
        <v>176</v>
      </c>
      <c r="D5" s="6" t="s">
        <v>17</v>
      </c>
      <c r="E5" s="5" t="s">
        <v>18</v>
      </c>
      <c r="F5" s="4" t="s">
        <v>19</v>
      </c>
      <c r="G5" s="4" t="s">
        <v>177</v>
      </c>
    </row>
    <row r="6" ht="12.75">
      <c r="B6" s="80" t="s">
        <v>170</v>
      </c>
    </row>
    <row r="7" spans="1:6" ht="12.75">
      <c r="A7" t="s">
        <v>3</v>
      </c>
      <c r="B7" s="1">
        <f>'[6]GS&lt;50'!$K$6391</f>
        <v>230907.72000000006</v>
      </c>
      <c r="C7" s="1">
        <f>'[6]GS&lt;50'!$AE$6391</f>
        <v>11964117.3</v>
      </c>
      <c r="D7" s="2">
        <v>0.0193</v>
      </c>
      <c r="E7" s="1">
        <f>C7*D7</f>
        <v>230907.46389000004</v>
      </c>
      <c r="F7" s="3">
        <f>B7-E7</f>
        <v>0.2561100000166334</v>
      </c>
    </row>
    <row r="8" spans="2:6" s="7" customFormat="1" ht="12.75">
      <c r="B8" s="8">
        <v>-1615.8</v>
      </c>
      <c r="C8" s="8">
        <f>-1615.8/0.0193</f>
        <v>-83720.20725388601</v>
      </c>
      <c r="D8" s="2">
        <v>0.0193</v>
      </c>
      <c r="E8" s="8">
        <f>C8*D8</f>
        <v>-1615.8</v>
      </c>
      <c r="F8" s="10">
        <f>B8-E8</f>
        <v>0</v>
      </c>
    </row>
    <row r="9" spans="2:7" s="11" customFormat="1" ht="13.5" thickBot="1">
      <c r="B9" s="12">
        <f>SUM(B7:B8)</f>
        <v>229291.92000000007</v>
      </c>
      <c r="C9" s="12">
        <f>SUM(C7:C8)</f>
        <v>11880397.092746114</v>
      </c>
      <c r="D9" s="13"/>
      <c r="E9" s="12">
        <f>SUM(E7:E8)</f>
        <v>229291.66389000005</v>
      </c>
      <c r="F9" s="14">
        <f>SUM(F7:F8)</f>
        <v>0.2561100000166334</v>
      </c>
      <c r="G9" s="14">
        <f>B9</f>
        <v>229291.92000000007</v>
      </c>
    </row>
    <row r="10" ht="12.75">
      <c r="F10" s="3"/>
    </row>
    <row r="11" spans="1:6" ht="12.75">
      <c r="A11" t="s">
        <v>4</v>
      </c>
      <c r="B11" s="1">
        <f>'[3]GS&lt;50'!$K$11732</f>
        <v>283468.4800000009</v>
      </c>
      <c r="C11" s="1">
        <f>'[3]GS&lt;50'!$AE$11732</f>
        <v>14687460.600000001</v>
      </c>
      <c r="D11" s="2">
        <v>0.0193</v>
      </c>
      <c r="E11" s="1">
        <f>C11*D11</f>
        <v>283467.98958000005</v>
      </c>
      <c r="F11" s="3">
        <f>B11-E11</f>
        <v>0.49042000086046755</v>
      </c>
    </row>
    <row r="12" spans="2:6" s="7" customFormat="1" ht="12.75">
      <c r="B12" s="8">
        <f>'[3]GS&lt;50'!$J$11756</f>
        <v>-10019.46</v>
      </c>
      <c r="C12" s="8">
        <f>'[3]GS&lt;50'!$K$11756</f>
        <v>-519144</v>
      </c>
      <c r="D12" s="9">
        <v>0.0193</v>
      </c>
      <c r="E12" s="8">
        <f>C12*D12</f>
        <v>-10019.4792</v>
      </c>
      <c r="F12" s="10">
        <f>B12-E12</f>
        <v>0.019200000000637374</v>
      </c>
    </row>
    <row r="13" spans="2:8" s="15" customFormat="1" ht="13.5" thickBot="1">
      <c r="B13" s="16">
        <f>SUM(B11:B12)</f>
        <v>273449.0200000009</v>
      </c>
      <c r="C13" s="16">
        <f>SUM(C11:C12)</f>
        <v>14168316.600000001</v>
      </c>
      <c r="D13" s="17"/>
      <c r="E13" s="16">
        <f>SUM(E11:E12)</f>
        <v>273448.51038000005</v>
      </c>
      <c r="F13" s="18">
        <f>SUM(F11:F12)</f>
        <v>0.5096200008611049</v>
      </c>
      <c r="G13" s="18">
        <v>273410.42</v>
      </c>
      <c r="H13" s="18">
        <f>E13-G13</f>
        <v>38.09038000006694</v>
      </c>
    </row>
    <row r="14" ht="12.75">
      <c r="F14" s="3"/>
    </row>
    <row r="15" spans="1:6" ht="12.75">
      <c r="A15" t="s">
        <v>5</v>
      </c>
      <c r="B15" s="1">
        <f>'[7]jfg0303'!$K$3046</f>
        <v>251658.44999999917</v>
      </c>
      <c r="C15" s="1">
        <f>'[7]jfg0303'!$AE$3046</f>
        <v>13039283.4</v>
      </c>
      <c r="D15" s="2">
        <v>0.0193</v>
      </c>
      <c r="E15" s="1">
        <f>C15*D15</f>
        <v>251658.16962000003</v>
      </c>
      <c r="F15" s="3">
        <f>B15-E15</f>
        <v>0.2803799991379492</v>
      </c>
    </row>
    <row r="16" spans="2:6" ht="12.75">
      <c r="B16" s="1">
        <f>'[7]jfg0303'!$J$3062</f>
        <v>-600.1899999999999</v>
      </c>
      <c r="C16" s="1">
        <f>'[7]jfg0303'!$K$3062</f>
        <v>-31097</v>
      </c>
      <c r="D16" s="2">
        <v>0.0193</v>
      </c>
      <c r="E16" s="1">
        <f>C16*D16</f>
        <v>-600.1721</v>
      </c>
      <c r="F16" s="3">
        <f>B16-E16</f>
        <v>-0.01789999999994052</v>
      </c>
    </row>
    <row r="17" spans="2:6" s="7" customFormat="1" ht="12.75">
      <c r="B17" s="8"/>
      <c r="C17" s="8"/>
      <c r="D17" s="2">
        <v>0.0193</v>
      </c>
      <c r="E17" s="8">
        <f>C17*D17</f>
        <v>0</v>
      </c>
      <c r="F17" s="10">
        <f>B17-E17</f>
        <v>0</v>
      </c>
    </row>
    <row r="18" spans="2:7" s="11" customFormat="1" ht="13.5" thickBot="1">
      <c r="B18" s="12">
        <f>SUM(B15:B17)</f>
        <v>251058.25999999917</v>
      </c>
      <c r="C18" s="12">
        <f>SUM(C15:C17)</f>
        <v>13008186.4</v>
      </c>
      <c r="D18" s="13"/>
      <c r="E18" s="12">
        <f>SUM(E15:E17)</f>
        <v>251057.99752000003</v>
      </c>
      <c r="F18" s="14">
        <f>SUM(F15:F17)</f>
        <v>0.2624799991380087</v>
      </c>
      <c r="G18" s="14">
        <f>G13+B18</f>
        <v>524468.6799999991</v>
      </c>
    </row>
    <row r="19" ht="12.75">
      <c r="F19" s="3"/>
    </row>
    <row r="20" spans="1:6" ht="12.75">
      <c r="A20" t="s">
        <v>6</v>
      </c>
      <c r="B20" s="1">
        <f>'[10]GS&lt;50'!$K$5880</f>
        <v>239953.05000000008</v>
      </c>
      <c r="C20" s="1">
        <f>'[10]GS&lt;50'!$AE$5880</f>
        <v>12432782.639999999</v>
      </c>
      <c r="D20" s="2">
        <v>0.0193</v>
      </c>
      <c r="E20" s="1">
        <f>C20*D20</f>
        <v>239952.704952</v>
      </c>
      <c r="F20" s="3">
        <f>B20-E20</f>
        <v>0.34504800007562153</v>
      </c>
    </row>
    <row r="21" spans="2:6" ht="12.75">
      <c r="B21" s="1">
        <f>'[10]GS&lt;50'!$J$11750</f>
        <v>-1569.77</v>
      </c>
      <c r="C21" s="1">
        <f>'[10]GS&lt;50'!$K$11750</f>
        <v>-81335</v>
      </c>
      <c r="D21" s="2">
        <v>0.0193</v>
      </c>
      <c r="E21" s="1">
        <f>C21*D21</f>
        <v>-1569.7655000000002</v>
      </c>
      <c r="F21" s="3">
        <f>B21-E21</f>
        <v>-0.004499999999779902</v>
      </c>
    </row>
    <row r="22" spans="4:6" ht="12.75">
      <c r="D22" s="2">
        <v>0.0193</v>
      </c>
      <c r="E22" s="1">
        <f>C22*D22</f>
        <v>0</v>
      </c>
      <c r="F22" s="3">
        <f>B22-E22</f>
        <v>0</v>
      </c>
    </row>
    <row r="23" spans="2:6" s="7" customFormat="1" ht="12.75">
      <c r="B23" s="8"/>
      <c r="C23" s="8"/>
      <c r="D23" s="9">
        <v>0.0193</v>
      </c>
      <c r="E23" s="8">
        <f>C23*D23</f>
        <v>0</v>
      </c>
      <c r="F23" s="10">
        <f>B23-E23</f>
        <v>0</v>
      </c>
    </row>
    <row r="24" spans="2:7" s="15" customFormat="1" ht="13.5" thickBot="1">
      <c r="B24" s="16">
        <f>SUM(B20:B23)</f>
        <v>238383.2800000001</v>
      </c>
      <c r="C24" s="16">
        <f>SUM(C20:C23)</f>
        <v>12351447.639999999</v>
      </c>
      <c r="D24" s="17"/>
      <c r="E24" s="16">
        <f>SUM(E20:E23)</f>
        <v>238382.939452</v>
      </c>
      <c r="F24" s="18">
        <f>SUM(F20:F23)</f>
        <v>0.34054800007584163</v>
      </c>
      <c r="G24" s="18">
        <f>G18+B24</f>
        <v>762851.9599999993</v>
      </c>
    </row>
    <row r="25" ht="12.75">
      <c r="F25" s="3"/>
    </row>
    <row r="26" spans="1:6" ht="12.75">
      <c r="A26" t="s">
        <v>7</v>
      </c>
      <c r="B26" s="1">
        <f>'[13]GS&lt;50'!$K$5930</f>
        <v>232563.85000000076</v>
      </c>
      <c r="C26" s="1">
        <f>'[13]GS&lt;50'!$AE$5930</f>
        <v>12049925.6</v>
      </c>
      <c r="D26" s="2">
        <v>0.0193</v>
      </c>
      <c r="E26" s="1">
        <f>C26*D26</f>
        <v>232563.56408</v>
      </c>
      <c r="F26" s="3">
        <f>B26-E26</f>
        <v>0.2859200007515028</v>
      </c>
    </row>
    <row r="27" spans="2:6" ht="12.75">
      <c r="B27" s="1">
        <f>'[13]GS&lt;50'!$J$5959</f>
        <v>-1760.66</v>
      </c>
      <c r="C27" s="1">
        <f>'[13]GS&lt;50'!$K$5959</f>
        <v>-91226.7</v>
      </c>
      <c r="D27" s="2">
        <v>0.0193</v>
      </c>
      <c r="E27" s="1">
        <f>C27*D27</f>
        <v>-1760.67531</v>
      </c>
      <c r="F27" s="3">
        <f>B27-E27</f>
        <v>0.01530999999999949</v>
      </c>
    </row>
    <row r="28" spans="4:6" ht="12.75">
      <c r="D28" s="2">
        <v>0.0193</v>
      </c>
      <c r="E28" s="1">
        <f>C28*D28</f>
        <v>0</v>
      </c>
      <c r="F28" s="3">
        <f>B28-E28</f>
        <v>0</v>
      </c>
    </row>
    <row r="29" spans="2:6" s="7" customFormat="1" ht="12.75">
      <c r="B29" s="8"/>
      <c r="C29" s="8"/>
      <c r="D29" s="9">
        <v>0.0193</v>
      </c>
      <c r="E29" s="8">
        <f>C29*D29</f>
        <v>0</v>
      </c>
      <c r="F29" s="10">
        <f>B29-E29</f>
        <v>0</v>
      </c>
    </row>
    <row r="30" spans="2:7" s="11" customFormat="1" ht="13.5" thickBot="1">
      <c r="B30" s="12">
        <f>SUM(B26:B29)</f>
        <v>230803.19000000076</v>
      </c>
      <c r="C30" s="12">
        <f>SUM(C26:C29)</f>
        <v>11958698.9</v>
      </c>
      <c r="D30" s="13"/>
      <c r="E30" s="12">
        <f>SUM(E26:E29)</f>
        <v>230802.88877000002</v>
      </c>
      <c r="F30" s="14">
        <f>SUM(F26:F29)</f>
        <v>0.3012300007515023</v>
      </c>
      <c r="G30" s="14">
        <f>G24+B30</f>
        <v>993655.15</v>
      </c>
    </row>
    <row r="31" ht="12.75">
      <c r="F31" s="3"/>
    </row>
    <row r="32" spans="1:6" ht="12.75">
      <c r="A32" t="s">
        <v>8</v>
      </c>
      <c r="B32" s="1">
        <f>'[15]GS&lt;50'!$K$5868</f>
        <v>198137.32000000018</v>
      </c>
      <c r="C32" s="1">
        <f>'[15]GS&lt;50'!$AE$5868</f>
        <v>10266177.4</v>
      </c>
      <c r="D32" s="2">
        <v>0.0193</v>
      </c>
      <c r="E32" s="1">
        <f>C32*D32</f>
        <v>198137.22382</v>
      </c>
      <c r="F32" s="3">
        <f>B32-E32</f>
        <v>0.0961800001678057</v>
      </c>
    </row>
    <row r="33" spans="2:6" ht="12.75">
      <c r="B33" s="1">
        <f>'[15]GS&lt;50'!$J$11707</f>
        <v>-1141.5699999999997</v>
      </c>
      <c r="C33" s="1">
        <f>'[15]GS&lt;50'!$K$11707</f>
        <v>-59148</v>
      </c>
      <c r="D33" s="2">
        <v>0.0193</v>
      </c>
      <c r="E33" s="1">
        <f>C33*D33</f>
        <v>-1141.5564000000002</v>
      </c>
      <c r="F33" s="3">
        <f>B33-E33</f>
        <v>-0.013599999999541978</v>
      </c>
    </row>
    <row r="34" spans="1:6" ht="12.75">
      <c r="A34" t="s">
        <v>182</v>
      </c>
      <c r="B34" s="1">
        <v>-38.6</v>
      </c>
      <c r="C34" s="1">
        <f>+B34/D34</f>
        <v>-2000</v>
      </c>
      <c r="D34" s="2">
        <v>0.0193</v>
      </c>
      <c r="E34" s="1">
        <f>C34*D34</f>
        <v>-38.6</v>
      </c>
      <c r="F34" s="3">
        <f>B34-E34</f>
        <v>0</v>
      </c>
    </row>
    <row r="35" spans="2:6" s="7" customFormat="1" ht="12.75">
      <c r="B35" s="8"/>
      <c r="C35" s="8"/>
      <c r="D35" s="9">
        <v>0.0193</v>
      </c>
      <c r="E35" s="8">
        <f>C35*D35</f>
        <v>0</v>
      </c>
      <c r="F35" s="10">
        <f>B35-E35</f>
        <v>0</v>
      </c>
    </row>
    <row r="36" spans="2:7" s="15" customFormat="1" ht="13.5" thickBot="1">
      <c r="B36" s="16">
        <f>SUM(B32:B35)</f>
        <v>196957.15000000017</v>
      </c>
      <c r="C36" s="16">
        <f>SUM(C32:C35)</f>
        <v>10205029.4</v>
      </c>
      <c r="D36" s="17"/>
      <c r="E36" s="16">
        <f>SUM(E32:E35)</f>
        <v>196957.06742</v>
      </c>
      <c r="F36" s="18">
        <f>SUM(F32:F35)</f>
        <v>0.08258000016826372</v>
      </c>
      <c r="G36" s="18">
        <f>G30+B36</f>
        <v>1190612.3000000003</v>
      </c>
    </row>
    <row r="37" ht="12.75">
      <c r="F37" s="3"/>
    </row>
    <row r="38" spans="1:6" ht="12.75">
      <c r="A38" t="s">
        <v>9</v>
      </c>
      <c r="B38" s="1">
        <v>208916.27</v>
      </c>
      <c r="C38" s="1">
        <v>10824674.6</v>
      </c>
      <c r="D38" s="2">
        <v>0.0193</v>
      </c>
      <c r="E38" s="1">
        <f>C38*D38</f>
        <v>208916.21978</v>
      </c>
      <c r="F38" s="3">
        <f>B38-E38</f>
        <v>0.05021999997552484</v>
      </c>
    </row>
    <row r="39" spans="2:6" ht="12.75">
      <c r="B39" s="1">
        <v>-346.78</v>
      </c>
      <c r="C39" s="1">
        <v>-17872.78</v>
      </c>
      <c r="D39" s="2">
        <v>0.0193</v>
      </c>
      <c r="E39" s="1">
        <f>C39*D39</f>
        <v>-344.944654</v>
      </c>
      <c r="F39" s="3">
        <f>B39-E39</f>
        <v>-1.8353459999999586</v>
      </c>
    </row>
    <row r="40" spans="2:6" s="7" customFormat="1" ht="12.75">
      <c r="B40" s="8"/>
      <c r="C40" s="8"/>
      <c r="D40" s="2">
        <v>0.0193</v>
      </c>
      <c r="E40" s="8">
        <f>C40*D40</f>
        <v>0</v>
      </c>
      <c r="F40" s="10">
        <f>B40-E40</f>
        <v>0</v>
      </c>
    </row>
    <row r="41" spans="2:7" s="11" customFormat="1" ht="13.5" thickBot="1">
      <c r="B41" s="12">
        <f>SUM(B38:B40)</f>
        <v>208569.49</v>
      </c>
      <c r="C41" s="12">
        <f>SUM(C38:C40)</f>
        <v>10806801.82</v>
      </c>
      <c r="D41" s="13"/>
      <c r="E41" s="12">
        <f>SUM(E38:E40)</f>
        <v>208571.27512600002</v>
      </c>
      <c r="F41" s="14">
        <f>SUM(F38:F40)</f>
        <v>-1.7851260000244338</v>
      </c>
      <c r="G41" s="14">
        <f>G36+B41</f>
        <v>1399181.7900000003</v>
      </c>
    </row>
    <row r="42" ht="12.75">
      <c r="F42" s="3"/>
    </row>
    <row r="43" spans="1:6" ht="12.75">
      <c r="A43" t="s">
        <v>10</v>
      </c>
      <c r="B43" s="1">
        <v>217596.68</v>
      </c>
      <c r="C43" s="1">
        <f>+B43/D43</f>
        <v>11274439.37823834</v>
      </c>
      <c r="D43" s="2">
        <v>0.0193</v>
      </c>
      <c r="E43" s="1">
        <f>C43*D43</f>
        <v>217596.68</v>
      </c>
      <c r="F43" s="3">
        <f>B43-E43</f>
        <v>0</v>
      </c>
    </row>
    <row r="44" spans="2:6" ht="12.75">
      <c r="B44" s="1">
        <v>-783.56</v>
      </c>
      <c r="C44" s="1">
        <f>+B44/D44</f>
        <v>-40598.96373056994</v>
      </c>
      <c r="D44" s="2">
        <v>0.0193</v>
      </c>
      <c r="E44" s="1">
        <f>C44*D44</f>
        <v>-783.56</v>
      </c>
      <c r="F44" s="3">
        <f>B44-E44</f>
        <v>0</v>
      </c>
    </row>
    <row r="45" spans="4:6" ht="12.75">
      <c r="D45" s="2">
        <v>0.0193</v>
      </c>
      <c r="E45" s="1">
        <f>C45*D45</f>
        <v>0</v>
      </c>
      <c r="F45" s="3">
        <f>B45-E45</f>
        <v>0</v>
      </c>
    </row>
    <row r="46" spans="2:6" s="7" customFormat="1" ht="12.75">
      <c r="B46" s="8"/>
      <c r="C46" s="8"/>
      <c r="D46" s="9">
        <v>0.0193</v>
      </c>
      <c r="E46" s="8">
        <f>C46*D46</f>
        <v>0</v>
      </c>
      <c r="F46" s="10">
        <f>B46-E46</f>
        <v>0</v>
      </c>
    </row>
    <row r="47" spans="2:7" s="15" customFormat="1" ht="13.5" thickBot="1">
      <c r="B47" s="16">
        <f>SUM(B43:B46)</f>
        <v>216813.12</v>
      </c>
      <c r="C47" s="16">
        <f>SUM(C43:C46)</f>
        <v>11233840.41450777</v>
      </c>
      <c r="D47" s="17"/>
      <c r="E47" s="16">
        <f>SUM(E43:E46)</f>
        <v>216813.12</v>
      </c>
      <c r="F47" s="18">
        <f>SUM(F43:F46)</f>
        <v>0</v>
      </c>
      <c r="G47" s="18">
        <f>G41+B47</f>
        <v>1615994.9100000001</v>
      </c>
    </row>
    <row r="48" ht="12.75">
      <c r="F48" s="3"/>
    </row>
    <row r="49" spans="1:6" ht="12.75">
      <c r="A49" t="s">
        <v>11</v>
      </c>
      <c r="B49" s="1">
        <v>231897.27</v>
      </c>
      <c r="C49" s="1">
        <f>+B49/D49</f>
        <v>12015402.590673573</v>
      </c>
      <c r="D49" s="2">
        <v>0.0193</v>
      </c>
      <c r="E49" s="1">
        <f>C49*D49</f>
        <v>231897.27</v>
      </c>
      <c r="F49" s="3">
        <f>B49-E49</f>
        <v>0</v>
      </c>
    </row>
    <row r="50" spans="2:6" ht="12.75">
      <c r="B50" s="1">
        <v>-1285.78</v>
      </c>
      <c r="C50" s="1">
        <f>+B50/D50</f>
        <v>-66620.72538860103</v>
      </c>
      <c r="D50" s="2">
        <v>0.0193</v>
      </c>
      <c r="E50" s="1">
        <f>C50*D50</f>
        <v>-1285.78</v>
      </c>
      <c r="F50" s="3">
        <f>B50-E50</f>
        <v>0</v>
      </c>
    </row>
    <row r="51" spans="4:6" ht="12.75">
      <c r="D51" s="2">
        <v>0.0193</v>
      </c>
      <c r="E51" s="1">
        <f>C51*D51</f>
        <v>0</v>
      </c>
      <c r="F51" s="3">
        <f>B51-E51</f>
        <v>0</v>
      </c>
    </row>
    <row r="52" spans="2:6" s="7" customFormat="1" ht="12.75">
      <c r="B52" s="8"/>
      <c r="C52" s="8"/>
      <c r="D52" s="9">
        <v>0.0193</v>
      </c>
      <c r="E52" s="8">
        <f>C52*D52</f>
        <v>0</v>
      </c>
      <c r="F52" s="10">
        <f>B52-E52</f>
        <v>0</v>
      </c>
    </row>
    <row r="53" spans="2:7" s="15" customFormat="1" ht="13.5" thickBot="1">
      <c r="B53" s="16">
        <f>SUM(B49:B52)</f>
        <v>230611.49</v>
      </c>
      <c r="C53" s="16">
        <f>SUM(C49:C52)</f>
        <v>11948781.865284972</v>
      </c>
      <c r="D53" s="17"/>
      <c r="E53" s="16">
        <f>SUM(E49:E52)</f>
        <v>230611.49</v>
      </c>
      <c r="F53" s="18">
        <f>SUM(F49:F52)</f>
        <v>0</v>
      </c>
      <c r="G53" s="18">
        <f>G47+B53</f>
        <v>1846606.4000000001</v>
      </c>
    </row>
    <row r="54" ht="12.75">
      <c r="F54" s="3"/>
    </row>
    <row r="55" spans="1:6" ht="12.75">
      <c r="A55" t="s">
        <v>12</v>
      </c>
      <c r="B55" s="1">
        <v>212653.96</v>
      </c>
      <c r="C55" s="1">
        <f>+B55/D55</f>
        <v>11018339.896373056</v>
      </c>
      <c r="D55" s="2">
        <v>0.0193</v>
      </c>
      <c r="E55" s="1">
        <f>C55*D55</f>
        <v>212653.96</v>
      </c>
      <c r="F55" s="3">
        <f>B55-E55</f>
        <v>0</v>
      </c>
    </row>
    <row r="56" spans="2:6" ht="12.75">
      <c r="B56" s="1">
        <v>-1502.54</v>
      </c>
      <c r="C56" s="1">
        <f>+B56/D56</f>
        <v>-77851.81347150258</v>
      </c>
      <c r="D56" s="2">
        <v>0.0193</v>
      </c>
      <c r="E56" s="1">
        <f>C56*D56</f>
        <v>-1502.54</v>
      </c>
      <c r="F56" s="3">
        <f>B56-E56</f>
        <v>0</v>
      </c>
    </row>
    <row r="57" spans="4:6" ht="12.75">
      <c r="D57" s="2">
        <v>0.0193</v>
      </c>
      <c r="E57" s="1">
        <f>C57*D57</f>
        <v>0</v>
      </c>
      <c r="F57" s="3">
        <f>B57-E57</f>
        <v>0</v>
      </c>
    </row>
    <row r="58" spans="2:6" s="7" customFormat="1" ht="12.75">
      <c r="B58" s="8"/>
      <c r="C58" s="8"/>
      <c r="D58" s="9">
        <v>0.0193</v>
      </c>
      <c r="E58" s="8">
        <f>C58*D58</f>
        <v>0</v>
      </c>
      <c r="F58" s="10">
        <f>B58-E58</f>
        <v>0</v>
      </c>
    </row>
    <row r="59" spans="2:7" s="15" customFormat="1" ht="13.5" thickBot="1">
      <c r="B59" s="16">
        <f>SUM(B55:B58)</f>
        <v>211151.41999999998</v>
      </c>
      <c r="C59" s="16">
        <f>SUM(C55:C58)</f>
        <v>10940488.082901554</v>
      </c>
      <c r="D59" s="17"/>
      <c r="E59" s="16">
        <f>SUM(E55:E58)</f>
        <v>211151.41999999998</v>
      </c>
      <c r="F59" s="18">
        <f>SUM(F55:F58)</f>
        <v>0</v>
      </c>
      <c r="G59" s="18">
        <f>G53+B59</f>
        <v>2057757.82</v>
      </c>
    </row>
    <row r="60" ht="12.75">
      <c r="F60" s="3"/>
    </row>
    <row r="61" spans="1:6" ht="12.75">
      <c r="A61" t="s">
        <v>13</v>
      </c>
      <c r="B61" s="1">
        <v>207484.36</v>
      </c>
      <c r="C61" s="1">
        <f>+B61/D61</f>
        <v>10750484.974093262</v>
      </c>
      <c r="D61" s="2">
        <v>0.0193</v>
      </c>
      <c r="E61" s="1">
        <f>C61*D61</f>
        <v>207484.35999999996</v>
      </c>
      <c r="F61" s="3">
        <f>B61-E61</f>
        <v>0</v>
      </c>
    </row>
    <row r="62" spans="2:6" ht="12.75">
      <c r="B62" s="1">
        <v>-1731.92</v>
      </c>
      <c r="C62" s="1">
        <f>+B62/D62</f>
        <v>-89736.78756476684</v>
      </c>
      <c r="D62" s="2">
        <v>0.0193</v>
      </c>
      <c r="E62" s="1">
        <f>C62*D62</f>
        <v>-1731.92</v>
      </c>
      <c r="F62" s="3">
        <f>B62-E62</f>
        <v>0</v>
      </c>
    </row>
    <row r="63" spans="4:6" ht="12.75">
      <c r="D63" s="2">
        <v>0.0193</v>
      </c>
      <c r="E63" s="1">
        <f>C63*D63</f>
        <v>0</v>
      </c>
      <c r="F63" s="3">
        <f>B63-E63</f>
        <v>0</v>
      </c>
    </row>
    <row r="64" spans="2:6" s="7" customFormat="1" ht="12.75">
      <c r="B64" s="8"/>
      <c r="C64" s="8"/>
      <c r="D64" s="9">
        <v>0.0193</v>
      </c>
      <c r="E64" s="8">
        <f>C64*D64</f>
        <v>0</v>
      </c>
      <c r="F64" s="10">
        <f>B64-E64</f>
        <v>0</v>
      </c>
    </row>
    <row r="65" spans="2:7" s="15" customFormat="1" ht="13.5" thickBot="1">
      <c r="B65" s="16">
        <f>SUM(B61:B64)</f>
        <v>205752.43999999997</v>
      </c>
      <c r="C65" s="16">
        <f>SUM(C61:C64)</f>
        <v>10660748.186528495</v>
      </c>
      <c r="D65" s="17"/>
      <c r="E65" s="16">
        <f>SUM(E61:E64)</f>
        <v>205752.43999999994</v>
      </c>
      <c r="F65" s="18">
        <f>SUM(F61:F64)</f>
        <v>0</v>
      </c>
      <c r="G65" s="18">
        <f>G59+B65</f>
        <v>2263510.2600000002</v>
      </c>
    </row>
    <row r="66" ht="12.75">
      <c r="F66" s="3"/>
    </row>
    <row r="67" spans="1:6" ht="12.75">
      <c r="A67" t="s">
        <v>14</v>
      </c>
      <c r="B67" s="1">
        <v>201326.84</v>
      </c>
      <c r="C67" s="1">
        <f>+B67/D67</f>
        <v>10431442.487046631</v>
      </c>
      <c r="D67" s="2">
        <v>0.0193</v>
      </c>
      <c r="E67" s="1">
        <f>C67*D67</f>
        <v>201326.84</v>
      </c>
      <c r="F67" s="3">
        <f>B67-E67</f>
        <v>0</v>
      </c>
    </row>
    <row r="68" spans="2:6" ht="12.75">
      <c r="B68" s="1">
        <v>-1917.66</v>
      </c>
      <c r="C68" s="1">
        <f>+B68/D68</f>
        <v>-99360.62176165803</v>
      </c>
      <c r="D68" s="2">
        <v>0.0193</v>
      </c>
      <c r="E68" s="1">
        <f>C68*D68</f>
        <v>-1917.66</v>
      </c>
      <c r="F68" s="3">
        <f>B68-E68</f>
        <v>0</v>
      </c>
    </row>
    <row r="69" spans="4:6" ht="12.75">
      <c r="D69" s="2">
        <v>0.0193</v>
      </c>
      <c r="E69" s="1">
        <f>C69*D69</f>
        <v>0</v>
      </c>
      <c r="F69" s="3">
        <f>B69-E69</f>
        <v>0</v>
      </c>
    </row>
    <row r="70" spans="2:6" s="7" customFormat="1" ht="12.75">
      <c r="B70" s="8"/>
      <c r="C70" s="8"/>
      <c r="D70" s="9">
        <v>0.0193</v>
      </c>
      <c r="E70" s="8">
        <f>C70*D70</f>
        <v>0</v>
      </c>
      <c r="F70" s="10">
        <f>B70-E70</f>
        <v>0</v>
      </c>
    </row>
    <row r="71" spans="2:7" s="15" customFormat="1" ht="13.5" thickBot="1">
      <c r="B71" s="16">
        <f>SUM(B67:B70)</f>
        <v>199409.18</v>
      </c>
      <c r="C71" s="16">
        <f>SUM(C67:C70)</f>
        <v>10332081.865284974</v>
      </c>
      <c r="D71" s="17"/>
      <c r="E71" s="16">
        <f>SUM(E67:E70)</f>
        <v>199409.18</v>
      </c>
      <c r="F71" s="18">
        <f>SUM(F67:F70)</f>
        <v>0</v>
      </c>
      <c r="G71" s="18">
        <f>G65+B71</f>
        <v>2462919.4400000004</v>
      </c>
    </row>
    <row r="73" spans="1:7" ht="12.75">
      <c r="A73" t="s">
        <v>171</v>
      </c>
      <c r="B73" s="1">
        <f>B9+B13+B18+B24+B30+B36+B41+B47+B53+B59+B65+B71</f>
        <v>2692249.9600000014</v>
      </c>
      <c r="C73" s="1">
        <f>C9+C13+C18+C24+C30+C36+C41+C47+C53+C59+C65+C71</f>
        <v>139494818.2672539</v>
      </c>
      <c r="G73" s="1"/>
    </row>
    <row r="74" ht="12.75">
      <c r="G74" s="3"/>
    </row>
    <row r="75" ht="12.75">
      <c r="C75" s="78"/>
    </row>
    <row r="76" spans="1:3" ht="12.75">
      <c r="A76" t="s">
        <v>169</v>
      </c>
      <c r="B76" s="1">
        <v>2692249.96</v>
      </c>
      <c r="C76" s="78"/>
    </row>
    <row r="77" ht="12.75">
      <c r="C77" s="78"/>
    </row>
    <row r="78" spans="1:3" ht="13.5" thickBot="1">
      <c r="A78" t="s">
        <v>19</v>
      </c>
      <c r="B78" s="12">
        <f>+B73-B76</f>
        <v>0</v>
      </c>
      <c r="C78" s="78"/>
    </row>
    <row r="79" ht="12.75">
      <c r="C79" s="78"/>
    </row>
    <row r="80" ht="12.75">
      <c r="C80" s="78"/>
    </row>
  </sheetData>
  <sheetProtection/>
  <printOptions/>
  <pageMargins left="0.75" right="0.75" top="1" bottom="1" header="0.5" footer="0.5"/>
  <pageSetup fitToHeight="1" fitToWidth="1" horizontalDpi="300" verticalDpi="300" orientation="portrait" scale="60" r:id="rId1"/>
  <headerFooter alignWithMargins="0">
    <oddHeader>&amp;LDRAFT</oddHeader>
    <oddFooter>&amp;LI:\JD\YE Dec 31 03\GHESI\Stats\&amp;F&amp;A&amp;D&amp;T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215"/>
  <sheetViews>
    <sheetView zoomScale="75" zoomScaleNormal="75" zoomScalePageLayoutView="0" workbookViewId="0" topLeftCell="A188">
      <selection activeCell="D56" sqref="D56:G61"/>
    </sheetView>
  </sheetViews>
  <sheetFormatPr defaultColWidth="9.140625" defaultRowHeight="12.75"/>
  <cols>
    <col min="2" max="2" width="14.140625" style="1" bestFit="1" customWidth="1"/>
    <col min="3" max="3" width="15.00390625" style="1" bestFit="1" customWidth="1"/>
    <col min="4" max="4" width="14.00390625" style="1" customWidth="1"/>
    <col min="5" max="5" width="12.8515625" style="1" bestFit="1" customWidth="1"/>
    <col min="6" max="6" width="9.421875" style="0" bestFit="1" customWidth="1"/>
    <col min="7" max="7" width="13.421875" style="1" bestFit="1" customWidth="1"/>
    <col min="8" max="8" width="11.8515625" style="1" bestFit="1" customWidth="1"/>
    <col min="9" max="9" width="14.140625" style="1" bestFit="1" customWidth="1"/>
  </cols>
  <sheetData>
    <row r="1" spans="1:6" ht="12.75">
      <c r="A1" t="s">
        <v>21</v>
      </c>
      <c r="D1" s="193" t="s">
        <v>205</v>
      </c>
      <c r="F1" s="2"/>
    </row>
    <row r="2" spans="1:6" ht="12.75">
      <c r="A2" t="s">
        <v>22</v>
      </c>
      <c r="E2" s="42" t="s">
        <v>23</v>
      </c>
      <c r="F2" s="2"/>
    </row>
    <row r="3" spans="2:9" s="4" customFormat="1" ht="25.5">
      <c r="B3" s="5" t="s">
        <v>178</v>
      </c>
      <c r="C3" s="5" t="s">
        <v>176</v>
      </c>
      <c r="D3" s="5" t="s">
        <v>179</v>
      </c>
      <c r="E3" s="5" t="s">
        <v>180</v>
      </c>
      <c r="F3" s="6" t="s">
        <v>17</v>
      </c>
      <c r="G3" s="5" t="s">
        <v>18</v>
      </c>
      <c r="H3" s="5" t="s">
        <v>19</v>
      </c>
      <c r="I3" s="5" t="s">
        <v>177</v>
      </c>
    </row>
    <row r="4" ht="12.75">
      <c r="F4" s="2"/>
    </row>
    <row r="5" spans="1:8" ht="12.75">
      <c r="A5" t="s">
        <v>3</v>
      </c>
      <c r="B5" s="1">
        <f>'[6]GS&gt;50'!$K$1372</f>
        <v>220590.09000000005</v>
      </c>
      <c r="E5" s="1">
        <f>'[6]GS&gt;50'!$AH$1372</f>
        <v>83591.75000000001</v>
      </c>
      <c r="F5" s="2">
        <v>2.6389</v>
      </c>
      <c r="G5" s="1">
        <f>E5*F5</f>
        <v>220590.26907500005</v>
      </c>
      <c r="H5" s="1">
        <f>B5-G5</f>
        <v>-0.17907499999273568</v>
      </c>
    </row>
    <row r="6" spans="2:9" s="7" customFormat="1" ht="12.75">
      <c r="B6" s="8">
        <v>-22747.51</v>
      </c>
      <c r="C6" s="8"/>
      <c r="D6" s="8"/>
      <c r="E6" s="8">
        <f>-22747.51/2.6389</f>
        <v>-8620.072757588388</v>
      </c>
      <c r="F6" s="9">
        <v>2.6389</v>
      </c>
      <c r="G6" s="8">
        <f>E6*F6</f>
        <v>-22747.51</v>
      </c>
      <c r="H6" s="8">
        <f>B6-G6</f>
        <v>0</v>
      </c>
      <c r="I6" s="8"/>
    </row>
    <row r="7" spans="2:9" s="15" customFormat="1" ht="13.5" thickBot="1">
      <c r="B7" s="16">
        <f>SUM(B5:B6)</f>
        <v>197842.58000000005</v>
      </c>
      <c r="C7" s="16"/>
      <c r="D7" s="16"/>
      <c r="E7" s="16">
        <f>SUM(E5:E6)</f>
        <v>74971.67724241162</v>
      </c>
      <c r="G7" s="16">
        <f>SUM(G5:G6)</f>
        <v>197842.75907500004</v>
      </c>
      <c r="H7" s="16">
        <f>SUM(H5:H6)</f>
        <v>-0.17907499999273568</v>
      </c>
      <c r="I7" s="16">
        <f>B7</f>
        <v>197842.58000000005</v>
      </c>
    </row>
    <row r="9" spans="1:8" ht="12.75">
      <c r="A9" t="s">
        <v>4</v>
      </c>
      <c r="B9" s="1">
        <f>'[3]GS&gt;50'!$K$2564</f>
        <v>215295.40000000023</v>
      </c>
      <c r="E9" s="1">
        <f>'[3]GS&gt;50'!$AH$2564</f>
        <v>81585.28000000004</v>
      </c>
      <c r="F9" s="2">
        <v>2.6389</v>
      </c>
      <c r="G9" s="1">
        <f>E9*F9</f>
        <v>215295.39539200012</v>
      </c>
      <c r="H9" s="1">
        <f>B9-G9</f>
        <v>0.00460800010478124</v>
      </c>
    </row>
    <row r="10" spans="2:9" s="7" customFormat="1" ht="12.75">
      <c r="B10" s="8">
        <f>'[3]GS&gt;50'!$J$2593</f>
        <v>-3548.99</v>
      </c>
      <c r="C10" s="8"/>
      <c r="D10" s="8"/>
      <c r="E10" s="8">
        <f>'[3]GS&gt;50'!$Y$2593</f>
        <v>-1344.88</v>
      </c>
      <c r="F10" s="9">
        <v>2.6389</v>
      </c>
      <c r="G10" s="8">
        <f>E10*F10</f>
        <v>-3549.0038320000003</v>
      </c>
      <c r="H10" s="8">
        <f>B10-G10</f>
        <v>0.01383200000054785</v>
      </c>
      <c r="I10" s="8"/>
    </row>
    <row r="11" spans="2:10" s="15" customFormat="1" ht="13.5" thickBot="1">
      <c r="B11" s="16">
        <f>SUM(B9:B10)</f>
        <v>211746.41000000024</v>
      </c>
      <c r="C11" s="16"/>
      <c r="D11" s="16"/>
      <c r="E11" s="16">
        <f>SUM(E9:E10)</f>
        <v>80240.40000000004</v>
      </c>
      <c r="G11" s="16">
        <f>SUM(G9:G10)</f>
        <v>211746.39156000013</v>
      </c>
      <c r="H11" s="16">
        <f>SUM(H9:H10)</f>
        <v>0.01844000010532909</v>
      </c>
      <c r="I11" s="16">
        <f>I7+B11</f>
        <v>409588.9900000003</v>
      </c>
      <c r="J11" s="18">
        <f>B11-I11</f>
        <v>-197842.58000000005</v>
      </c>
    </row>
    <row r="13" spans="1:8" ht="12.75">
      <c r="A13" t="s">
        <v>5</v>
      </c>
      <c r="B13" s="1">
        <f>'[7]jfg0303'!$K$3963</f>
        <v>220941.50000000032</v>
      </c>
      <c r="E13" s="1">
        <f>'[7]jfg0303'!$AH$3963</f>
        <v>83724.92</v>
      </c>
      <c r="F13" s="2">
        <v>2.6389</v>
      </c>
      <c r="G13" s="1">
        <f>E13*F13</f>
        <v>220941.691388</v>
      </c>
      <c r="H13" s="1">
        <f>B13-G13</f>
        <v>-0.1913879996864125</v>
      </c>
    </row>
    <row r="14" spans="2:8" ht="12.75">
      <c r="B14" s="1">
        <f>'[7]jfg0303'!$J$3972</f>
        <v>-320.89</v>
      </c>
      <c r="E14" s="1">
        <f>'[7]jfg0303'!$Y$3972</f>
        <v>-121.6</v>
      </c>
      <c r="F14" s="2">
        <v>2.6389</v>
      </c>
      <c r="G14" s="1">
        <f>E14*F14</f>
        <v>-320.89024</v>
      </c>
      <c r="H14" s="1">
        <f>B14-G14</f>
        <v>0.00024000000001933586</v>
      </c>
    </row>
    <row r="15" spans="2:9" s="7" customFormat="1" ht="12.75">
      <c r="B15" s="8"/>
      <c r="C15" s="8"/>
      <c r="D15" s="8"/>
      <c r="E15" s="8"/>
      <c r="F15" s="2">
        <v>2.6389</v>
      </c>
      <c r="G15" s="8">
        <f>E15*F15</f>
        <v>0</v>
      </c>
      <c r="H15" s="8">
        <f>B15-G15</f>
        <v>0</v>
      </c>
      <c r="I15" s="8"/>
    </row>
    <row r="16" spans="2:9" s="15" customFormat="1" ht="13.5" thickBot="1">
      <c r="B16" s="16">
        <f>SUM(B13:B15)</f>
        <v>220620.6100000003</v>
      </c>
      <c r="C16" s="16"/>
      <c r="D16" s="16"/>
      <c r="E16" s="16">
        <f>SUM(E13:E15)</f>
        <v>83603.31999999999</v>
      </c>
      <c r="G16" s="16">
        <f>SUM(G13:G15)</f>
        <v>220620.801148</v>
      </c>
      <c r="H16" s="16">
        <f>SUM(H13:H15)</f>
        <v>-0.19114799968639318</v>
      </c>
      <c r="I16" s="16">
        <f>I11+B16</f>
        <v>630209.6000000006</v>
      </c>
    </row>
    <row r="18" spans="1:8" ht="12.75">
      <c r="A18" t="s">
        <v>6</v>
      </c>
      <c r="B18" s="1">
        <f>'[10]GS&gt;50'!$K$1375</f>
        <v>235612.93999999986</v>
      </c>
      <c r="E18" s="1">
        <f>'[10]GS&gt;50'!$AH$1375</f>
        <v>89284.57999999997</v>
      </c>
      <c r="F18" s="2">
        <v>2.6389</v>
      </c>
      <c r="G18" s="1">
        <f>E18*F18</f>
        <v>235613.07816199993</v>
      </c>
      <c r="H18" s="1">
        <f>B18-G18</f>
        <v>-0.13816200007568114</v>
      </c>
    </row>
    <row r="19" spans="2:8" ht="12.75">
      <c r="B19" s="1">
        <f>'[10]GS&gt;50'!$J$2435</f>
        <v>-179.45</v>
      </c>
      <c r="E19" s="1">
        <f>'[10]GS&gt;50'!$Y$2435</f>
        <v>-68</v>
      </c>
      <c r="F19" s="2">
        <v>2.6389</v>
      </c>
      <c r="G19" s="1">
        <f>E19*F19</f>
        <v>-179.4452</v>
      </c>
      <c r="H19" s="1">
        <f>B19-G19</f>
        <v>-0.004799999999988813</v>
      </c>
    </row>
    <row r="20" spans="6:8" ht="12.75">
      <c r="F20" s="2">
        <v>2.6389</v>
      </c>
      <c r="G20" s="1">
        <f>E20*F20</f>
        <v>0</v>
      </c>
      <c r="H20" s="1">
        <f>B20-G20</f>
        <v>0</v>
      </c>
    </row>
    <row r="21" spans="2:9" s="7" customFormat="1" ht="12.75">
      <c r="B21" s="8"/>
      <c r="C21" s="8"/>
      <c r="D21" s="8"/>
      <c r="E21" s="8"/>
      <c r="F21" s="9">
        <v>2.6389</v>
      </c>
      <c r="G21" s="8">
        <f>E21*F21</f>
        <v>0</v>
      </c>
      <c r="H21" s="8">
        <f>B21-G21</f>
        <v>0</v>
      </c>
      <c r="I21" s="8"/>
    </row>
    <row r="22" spans="2:9" s="15" customFormat="1" ht="13.5" thickBot="1">
      <c r="B22" s="16">
        <f>SUM(B18:B21)</f>
        <v>235433.48999999985</v>
      </c>
      <c r="C22" s="16"/>
      <c r="D22" s="16"/>
      <c r="E22" s="16">
        <f>SUM(E18:E21)</f>
        <v>89216.57999999997</v>
      </c>
      <c r="G22" s="16">
        <f>SUM(G18:G21)</f>
        <v>235433.63296199995</v>
      </c>
      <c r="H22" s="16">
        <f>SUM(H18:H21)</f>
        <v>-0.14296200007566995</v>
      </c>
      <c r="I22" s="16">
        <f>I16+B22</f>
        <v>865643.0900000004</v>
      </c>
    </row>
    <row r="24" spans="1:8" ht="12.75">
      <c r="A24" t="s">
        <v>7</v>
      </c>
      <c r="B24" s="1">
        <f>'[13]GS&gt;50'!$K$1398</f>
        <v>259556.48000000027</v>
      </c>
      <c r="E24" s="1">
        <f>'[13]GS&gt;50'!$AH$1398</f>
        <v>98357.88999999994</v>
      </c>
      <c r="F24" s="2">
        <v>2.6389</v>
      </c>
      <c r="G24" s="1">
        <f>E24*F24</f>
        <v>259556.63592099983</v>
      </c>
      <c r="H24" s="1">
        <f>B24-G24</f>
        <v>-0.15592099956120364</v>
      </c>
    </row>
    <row r="25" spans="2:9" s="7" customFormat="1" ht="12.75">
      <c r="B25" s="8">
        <f>'[13]GS&gt;50'!$J$1425</f>
        <v>-36969.619999999995</v>
      </c>
      <c r="C25" s="8"/>
      <c r="D25" s="8"/>
      <c r="E25" s="8">
        <f>'[13]GS&gt;50'!$Y$1425</f>
        <v>-14009.48</v>
      </c>
      <c r="F25" s="9">
        <v>2.6389</v>
      </c>
      <c r="G25" s="8">
        <f>E25*F25</f>
        <v>-36969.616772</v>
      </c>
      <c r="H25" s="8">
        <f>B25-G25</f>
        <v>-0.00322799999412382</v>
      </c>
      <c r="I25" s="8"/>
    </row>
    <row r="26" spans="2:9" s="15" customFormat="1" ht="13.5" thickBot="1">
      <c r="B26" s="16">
        <f>SUM(B24:B25)</f>
        <v>222586.86000000028</v>
      </c>
      <c r="C26" s="16"/>
      <c r="D26" s="16"/>
      <c r="E26" s="16">
        <f>SUM(E24:E25)</f>
        <v>84348.40999999995</v>
      </c>
      <c r="G26" s="16">
        <f>SUM(G24:G25)</f>
        <v>222587.01914899983</v>
      </c>
      <c r="H26" s="16">
        <f>SUM(H24:H25)</f>
        <v>-0.15914899955532746</v>
      </c>
      <c r="I26" s="16">
        <f>I22+B26</f>
        <v>1088229.9500000007</v>
      </c>
    </row>
    <row r="28" spans="1:8" ht="12.75">
      <c r="A28" t="s">
        <v>8</v>
      </c>
      <c r="B28" s="1">
        <f>'[15]GS&gt;50'!$K$1371</f>
        <v>205234.6100000002</v>
      </c>
      <c r="E28" s="1">
        <f>'[15]GS&gt;50'!$AH$1371</f>
        <v>77772.83</v>
      </c>
      <c r="F28" s="2">
        <v>2.6389</v>
      </c>
      <c r="G28" s="1">
        <f>E28*F28</f>
        <v>205234.721087</v>
      </c>
      <c r="H28" s="1">
        <f>B28-G28</f>
        <v>-0.11108699982287362</v>
      </c>
    </row>
    <row r="29" spans="2:9" s="7" customFormat="1" ht="12.75">
      <c r="B29" s="8">
        <f>'[15]GS&gt;50'!$J$2449</f>
        <v>-811.6700000000001</v>
      </c>
      <c r="C29" s="8"/>
      <c r="D29" s="8"/>
      <c r="E29" s="8">
        <f>'[15]GS&gt;50'!$Y$2449</f>
        <v>-307.58000000000004</v>
      </c>
      <c r="F29" s="9">
        <v>2.6389</v>
      </c>
      <c r="G29" s="8">
        <f>E29*F29</f>
        <v>-811.6728620000001</v>
      </c>
      <c r="H29" s="8">
        <f>B29-G29</f>
        <v>0.0028620000000501022</v>
      </c>
      <c r="I29" s="8"/>
    </row>
    <row r="30" spans="2:9" s="15" customFormat="1" ht="13.5" thickBot="1">
      <c r="B30" s="16">
        <f>SUM(B28:B29)</f>
        <v>204422.94000000018</v>
      </c>
      <c r="C30" s="16"/>
      <c r="D30" s="16"/>
      <c r="E30" s="16">
        <f>SUM(E28:E29)</f>
        <v>77465.25</v>
      </c>
      <c r="G30" s="16">
        <f>SUM(G28:G29)</f>
        <v>204423.048225</v>
      </c>
      <c r="H30" s="16">
        <f>SUM(H28:H29)</f>
        <v>-0.10822499982282352</v>
      </c>
      <c r="I30" s="16">
        <f>I26+B30</f>
        <v>1292652.8900000008</v>
      </c>
    </row>
    <row r="32" spans="1:8" ht="12.75">
      <c r="A32" t="s">
        <v>9</v>
      </c>
      <c r="B32" s="1">
        <v>223951.44</v>
      </c>
      <c r="E32" s="1">
        <v>84865.53</v>
      </c>
      <c r="F32" s="2">
        <v>2.6389</v>
      </c>
      <c r="G32" s="1">
        <f>E32*F32</f>
        <v>223951.647117</v>
      </c>
      <c r="H32" s="1">
        <f>B32-G32</f>
        <v>-0.2071169999835547</v>
      </c>
    </row>
    <row r="33" spans="2:9" s="7" customFormat="1" ht="12.75">
      <c r="B33" s="8">
        <v>-1378.85</v>
      </c>
      <c r="C33" s="8"/>
      <c r="D33" s="8"/>
      <c r="E33" s="8">
        <f>-538.44</f>
        <v>-538.44</v>
      </c>
      <c r="F33" s="9">
        <v>2.6389</v>
      </c>
      <c r="G33" s="8">
        <f>E33*F33</f>
        <v>-1420.8893160000002</v>
      </c>
      <c r="H33" s="8">
        <f>B33-G33</f>
        <v>42.039316000000326</v>
      </c>
      <c r="I33" s="8"/>
    </row>
    <row r="34" spans="2:9" s="15" customFormat="1" ht="13.5" thickBot="1">
      <c r="B34" s="16">
        <f>SUM(B32:B33)</f>
        <v>222572.59</v>
      </c>
      <c r="C34" s="16"/>
      <c r="D34" s="16"/>
      <c r="E34" s="16">
        <f>SUM(E32:E33)</f>
        <v>84327.09</v>
      </c>
      <c r="G34" s="16">
        <f>SUM(G32:G33)</f>
        <v>222530.757801</v>
      </c>
      <c r="H34" s="16">
        <f>SUM(H32:H33)</f>
        <v>41.83219900001677</v>
      </c>
      <c r="I34" s="16">
        <f>I30+B34</f>
        <v>1515225.480000001</v>
      </c>
    </row>
    <row r="36" spans="1:8" ht="12.75">
      <c r="A36" t="s">
        <v>10</v>
      </c>
      <c r="B36" s="1">
        <v>229813.95</v>
      </c>
      <c r="E36" s="1">
        <f>+B36/F36</f>
        <v>87087.02489673728</v>
      </c>
      <c r="F36" s="2">
        <v>2.6389</v>
      </c>
      <c r="G36" s="1">
        <f>E36*F36</f>
        <v>229813.95</v>
      </c>
      <c r="H36" s="1">
        <f>B36-G36</f>
        <v>0</v>
      </c>
    </row>
    <row r="37" spans="2:9" s="7" customFormat="1" ht="12.75">
      <c r="B37" s="8">
        <v>-454.87</v>
      </c>
      <c r="C37" s="8"/>
      <c r="D37" s="8"/>
      <c r="E37" s="1">
        <f>+B37/F37</f>
        <v>-172.37106370078442</v>
      </c>
      <c r="F37" s="9">
        <v>2.6389</v>
      </c>
      <c r="G37" s="8">
        <f>E37*F37</f>
        <v>-454.87</v>
      </c>
      <c r="H37" s="8">
        <f>B37-G37</f>
        <v>0</v>
      </c>
      <c r="I37" s="8"/>
    </row>
    <row r="38" spans="2:9" s="15" customFormat="1" ht="13.5" thickBot="1">
      <c r="B38" s="16">
        <f>SUM(B36:B37)</f>
        <v>229359.08000000002</v>
      </c>
      <c r="C38" s="16"/>
      <c r="D38" s="16"/>
      <c r="E38" s="16">
        <f>SUM(E36:E37)</f>
        <v>86914.65383303649</v>
      </c>
      <c r="G38" s="16">
        <f>SUM(G36:G37)</f>
        <v>229359.08000000002</v>
      </c>
      <c r="H38" s="16">
        <f>SUM(H36:H37)</f>
        <v>0</v>
      </c>
      <c r="I38" s="16">
        <f>I34+B38</f>
        <v>1744584.560000001</v>
      </c>
    </row>
    <row r="40" spans="1:8" ht="12.75">
      <c r="A40" t="s">
        <v>11</v>
      </c>
      <c r="B40" s="1">
        <v>226736.11</v>
      </c>
      <c r="E40" s="1">
        <f>+B40/F40</f>
        <v>85920.69043919815</v>
      </c>
      <c r="F40" s="2">
        <v>2.6389</v>
      </c>
      <c r="G40" s="1">
        <f>E40*F40</f>
        <v>226736.11000000002</v>
      </c>
      <c r="H40" s="1">
        <f>B40-G40</f>
        <v>0</v>
      </c>
    </row>
    <row r="41" spans="2:9" s="7" customFormat="1" ht="12.75">
      <c r="B41" s="8">
        <v>-1684.76</v>
      </c>
      <c r="C41" s="8"/>
      <c r="D41" s="8"/>
      <c r="E41" s="1">
        <f>+B41/F41</f>
        <v>-638.4326802834514</v>
      </c>
      <c r="F41" s="9">
        <v>2.6389</v>
      </c>
      <c r="G41" s="8">
        <f>E41*F41</f>
        <v>-1684.76</v>
      </c>
      <c r="H41" s="8">
        <f>B41-G41</f>
        <v>0</v>
      </c>
      <c r="I41" s="8"/>
    </row>
    <row r="42" spans="2:9" s="15" customFormat="1" ht="13.5" thickBot="1">
      <c r="B42" s="16">
        <f>SUM(B40:B41)</f>
        <v>225051.34999999998</v>
      </c>
      <c r="C42" s="16"/>
      <c r="D42" s="16"/>
      <c r="E42" s="16">
        <f>SUM(E40:E41)</f>
        <v>85282.2577589147</v>
      </c>
      <c r="G42" s="16">
        <f>SUM(G40:G41)</f>
        <v>225051.35</v>
      </c>
      <c r="H42" s="16">
        <f>SUM(H40:H41)</f>
        <v>0</v>
      </c>
      <c r="I42" s="16">
        <f>I38+B42</f>
        <v>1969635.910000001</v>
      </c>
    </row>
    <row r="44" spans="1:8" ht="12.75">
      <c r="A44" t="s">
        <v>12</v>
      </c>
      <c r="B44" s="1">
        <v>240753.98</v>
      </c>
      <c r="E44" s="1">
        <f>+B44/F44</f>
        <v>91232.70302019782</v>
      </c>
      <c r="F44" s="2">
        <v>2.6389</v>
      </c>
      <c r="G44" s="1">
        <f>E44*F44</f>
        <v>240753.98000000004</v>
      </c>
      <c r="H44" s="1">
        <f>B44-G44</f>
        <v>0</v>
      </c>
    </row>
    <row r="45" spans="2:9" s="7" customFormat="1" ht="12.75">
      <c r="B45" s="8">
        <v>-14584.15</v>
      </c>
      <c r="C45" s="8"/>
      <c r="D45" s="8"/>
      <c r="E45" s="1">
        <f>+B45/F45</f>
        <v>-5526.601993254765</v>
      </c>
      <c r="F45" s="9">
        <v>2.6389</v>
      </c>
      <c r="G45" s="8">
        <f>E45*F45</f>
        <v>-14584.15</v>
      </c>
      <c r="H45" s="8">
        <f>B45-G45</f>
        <v>0</v>
      </c>
      <c r="I45" s="8"/>
    </row>
    <row r="46" spans="2:9" s="15" customFormat="1" ht="13.5" thickBot="1">
      <c r="B46" s="16">
        <f>SUM(B44:B45)</f>
        <v>226169.83000000002</v>
      </c>
      <c r="C46" s="16"/>
      <c r="D46" s="16"/>
      <c r="E46" s="16">
        <f>SUM(E44:E45)</f>
        <v>85706.10102694306</v>
      </c>
      <c r="G46" s="16">
        <f>SUM(G44:G45)</f>
        <v>226169.83000000005</v>
      </c>
      <c r="H46" s="16">
        <f>SUM(H44:H45)</f>
        <v>0</v>
      </c>
      <c r="I46" s="16">
        <f>I42+B46</f>
        <v>2195805.740000001</v>
      </c>
    </row>
    <row r="48" spans="1:8" ht="12.75">
      <c r="A48" t="s">
        <v>13</v>
      </c>
      <c r="B48" s="1">
        <v>241483.44</v>
      </c>
      <c r="E48" s="1">
        <f>+B48/F48</f>
        <v>91509.1288036682</v>
      </c>
      <c r="F48" s="2">
        <v>2.6389</v>
      </c>
      <c r="G48" s="1">
        <f>E48*F48</f>
        <v>241483.44</v>
      </c>
      <c r="H48" s="1">
        <f>B48-G48</f>
        <v>0</v>
      </c>
    </row>
    <row r="49" spans="2:9" s="7" customFormat="1" ht="12.75">
      <c r="B49" s="8">
        <v>-4829.87</v>
      </c>
      <c r="C49" s="8"/>
      <c r="D49" s="8"/>
      <c r="E49" s="1">
        <f>+B49/F49</f>
        <v>-1830.2588199628633</v>
      </c>
      <c r="F49" s="9">
        <v>2.6389</v>
      </c>
      <c r="G49" s="8">
        <f>E49*F49</f>
        <v>-4829.87</v>
      </c>
      <c r="H49" s="8">
        <f>B49-G49</f>
        <v>0</v>
      </c>
      <c r="I49" s="8"/>
    </row>
    <row r="50" spans="2:9" s="15" customFormat="1" ht="13.5" thickBot="1">
      <c r="B50" s="16">
        <f>SUM(B48:B49)</f>
        <v>236653.57</v>
      </c>
      <c r="C50" s="16"/>
      <c r="D50" s="16"/>
      <c r="E50" s="16">
        <f>SUM(E48:E49)</f>
        <v>89678.86998370533</v>
      </c>
      <c r="G50" s="16">
        <f>SUM(G48:G49)</f>
        <v>236653.57</v>
      </c>
      <c r="H50" s="16">
        <f>SUM(H48:H49)</f>
        <v>0</v>
      </c>
      <c r="I50" s="16">
        <f>I46+B50</f>
        <v>2432459.310000001</v>
      </c>
    </row>
    <row r="52" spans="1:8" ht="12.75">
      <c r="A52" t="s">
        <v>14</v>
      </c>
      <c r="B52" s="1">
        <v>228092.37</v>
      </c>
      <c r="E52" s="1">
        <f>+B52/F52</f>
        <v>86434.63943309712</v>
      </c>
      <c r="F52" s="2">
        <v>2.6389</v>
      </c>
      <c r="G52" s="1">
        <f>E52*F52</f>
        <v>228092.37</v>
      </c>
      <c r="H52" s="1">
        <f>B52-G52</f>
        <v>0</v>
      </c>
    </row>
    <row r="53" spans="2:9" s="7" customFormat="1" ht="12.75">
      <c r="B53" s="8">
        <v>-4582.01</v>
      </c>
      <c r="C53" s="8"/>
      <c r="D53" s="8"/>
      <c r="E53" s="1">
        <f>+B53/F53</f>
        <v>-1736.3333207018077</v>
      </c>
      <c r="F53" s="9">
        <v>2.6389</v>
      </c>
      <c r="G53" s="8">
        <f>E53*F53</f>
        <v>-4582.01</v>
      </c>
      <c r="H53" s="8">
        <f>B53-G53</f>
        <v>0</v>
      </c>
      <c r="I53" s="8"/>
    </row>
    <row r="54" spans="2:9" s="15" customFormat="1" ht="13.5" thickBot="1">
      <c r="B54" s="16">
        <f>SUM(B52:B53)</f>
        <v>223510.36</v>
      </c>
      <c r="C54" s="16"/>
      <c r="D54" s="16"/>
      <c r="E54" s="16">
        <f>SUM(E52:E53)</f>
        <v>84698.30611239531</v>
      </c>
      <c r="G54" s="16">
        <f>SUM(G52:G53)</f>
        <v>223510.36</v>
      </c>
      <c r="H54" s="16">
        <f>SUM(H52:H53)</f>
        <v>0</v>
      </c>
      <c r="I54" s="16">
        <f>I50+B54</f>
        <v>2655969.670000001</v>
      </c>
    </row>
    <row r="55" spans="5:9" ht="12.75">
      <c r="E55" s="1">
        <f>+E7+E11+E16+E22+E26+E30+E34+E38+E42+E46+E50+E54</f>
        <v>1006452.9159574066</v>
      </c>
      <c r="I55" s="232" t="s">
        <v>221</v>
      </c>
    </row>
    <row r="56" ht="12.75">
      <c r="D56" s="78"/>
    </row>
    <row r="57" ht="12.75">
      <c r="D57" s="78"/>
    </row>
    <row r="58" ht="12.75">
      <c r="D58" s="78"/>
    </row>
    <row r="59" ht="12.75">
      <c r="D59" s="78"/>
    </row>
    <row r="60" ht="12.75">
      <c r="D60" s="78"/>
    </row>
    <row r="61" ht="12.75">
      <c r="D61" s="78"/>
    </row>
    <row r="62" spans="1:6" ht="12.75">
      <c r="A62" t="s">
        <v>26</v>
      </c>
      <c r="F62" s="2"/>
    </row>
    <row r="63" spans="1:6" ht="12.75">
      <c r="A63" t="s">
        <v>27</v>
      </c>
      <c r="F63" s="2"/>
    </row>
    <row r="64" spans="1:6" ht="12.75">
      <c r="A64" t="s">
        <v>28</v>
      </c>
      <c r="F64" s="2"/>
    </row>
    <row r="65" ht="12.75">
      <c r="F65" s="2"/>
    </row>
    <row r="66" spans="2:9" s="4" customFormat="1" ht="25.5">
      <c r="B66" s="5" t="s">
        <v>15</v>
      </c>
      <c r="C66" s="5" t="s">
        <v>16</v>
      </c>
      <c r="D66" s="5" t="s">
        <v>25</v>
      </c>
      <c r="E66" s="5" t="s">
        <v>24</v>
      </c>
      <c r="F66" s="6" t="s">
        <v>17</v>
      </c>
      <c r="G66" s="5" t="s">
        <v>18</v>
      </c>
      <c r="H66" s="5" t="s">
        <v>19</v>
      </c>
      <c r="I66" s="5" t="s">
        <v>20</v>
      </c>
    </row>
    <row r="67" spans="2:9" s="4" customFormat="1" ht="12.75">
      <c r="B67" s="5"/>
      <c r="C67" s="5"/>
      <c r="D67" s="5"/>
      <c r="E67" s="5"/>
      <c r="F67" s="6"/>
      <c r="G67" s="5"/>
      <c r="H67" s="5"/>
      <c r="I67" s="5"/>
    </row>
    <row r="68" spans="1:8" ht="12.75">
      <c r="A68" t="s">
        <v>3</v>
      </c>
      <c r="B68" s="1">
        <f>'[6]GS&gt;50'!$K$2298</f>
        <v>165478.05</v>
      </c>
      <c r="C68" s="1">
        <f>'[6]GS&gt;50'!$AE$2298</f>
        <v>30838858.94</v>
      </c>
      <c r="D68" s="1">
        <f>'[6]GS&gt;50'!$AE$1835</f>
        <v>983829.2899999993</v>
      </c>
      <c r="F68" s="2">
        <v>0.0052</v>
      </c>
      <c r="G68" s="1">
        <f>(C68+D68)*F68</f>
        <v>165477.97879599998</v>
      </c>
      <c r="H68" s="1">
        <f>B68-G68</f>
        <v>0.07120400000712834</v>
      </c>
    </row>
    <row r="69" spans="6:8" ht="12.75">
      <c r="F69" s="2">
        <v>0.0052</v>
      </c>
      <c r="G69" s="1">
        <f>(C69+D69)*F69</f>
        <v>0</v>
      </c>
      <c r="H69" s="1">
        <f>B69-G69</f>
        <v>0</v>
      </c>
    </row>
    <row r="70" spans="6:8" ht="12.75">
      <c r="F70" s="2">
        <f>F68</f>
        <v>0.0052</v>
      </c>
      <c r="G70" s="1">
        <f>(C70+D70)*F70</f>
        <v>0</v>
      </c>
      <c r="H70" s="1">
        <f>B70-G70</f>
        <v>0</v>
      </c>
    </row>
    <row r="71" spans="2:9" s="7" customFormat="1" ht="12.75">
      <c r="B71" s="8"/>
      <c r="C71" s="8"/>
      <c r="D71" s="8"/>
      <c r="E71" s="8"/>
      <c r="F71" s="9">
        <f>F69</f>
        <v>0.0052</v>
      </c>
      <c r="G71" s="8">
        <f>(C71+D71)*F71</f>
        <v>0</v>
      </c>
      <c r="H71" s="8">
        <f>B71-G71</f>
        <v>0</v>
      </c>
      <c r="I71" s="8"/>
    </row>
    <row r="72" spans="2:9" s="16" customFormat="1" ht="13.5" thickBot="1">
      <c r="B72" s="16">
        <f>SUM(B68:B71)</f>
        <v>165478.05</v>
      </c>
      <c r="C72" s="16">
        <f>SUM(C68:C71)</f>
        <v>30838858.94</v>
      </c>
      <c r="D72" s="16">
        <f>SUM(D68:D71)</f>
        <v>983829.2899999993</v>
      </c>
      <c r="E72" s="16">
        <f>SUM(E68:E71)</f>
        <v>0</v>
      </c>
      <c r="G72" s="16">
        <f>SUM(G68:G71)</f>
        <v>165477.97879599998</v>
      </c>
      <c r="H72" s="16">
        <f>SUM(H68:H71)</f>
        <v>0.07120400000712834</v>
      </c>
      <c r="I72" s="16">
        <f>B72</f>
        <v>165478.05</v>
      </c>
    </row>
    <row r="74" spans="1:8" ht="12.75">
      <c r="A74" t="s">
        <v>4</v>
      </c>
      <c r="B74" s="1">
        <f>'[3]GS&gt;50'!$K$3470+'[3]GS&gt;50'!$K$4325</f>
        <v>198685.24000000005</v>
      </c>
      <c r="C74" s="1">
        <f>'[3]GS&gt;50'!$AE$4325</f>
        <v>37027419.7</v>
      </c>
      <c r="D74" s="1">
        <f>'[3]GS&gt;50'!$AE$3470</f>
        <v>1181254.619999998</v>
      </c>
      <c r="F74" s="2">
        <v>0.0052</v>
      </c>
      <c r="G74" s="1">
        <f>(C74+D74)*F74</f>
        <v>198685.10646399998</v>
      </c>
      <c r="H74" s="1">
        <f>B74-G74</f>
        <v>0.13353600006666966</v>
      </c>
    </row>
    <row r="75" spans="2:8" ht="12.75">
      <c r="B75" s="1">
        <f>'[3]GS&gt;50'!$J$4342+'[3]GS&gt;50'!$J$4359</f>
        <v>-2597.6799999999994</v>
      </c>
      <c r="C75" s="1">
        <f>'[3]GS&gt;50'!$K$4359</f>
        <v>-484103.38</v>
      </c>
      <c r="D75" s="1">
        <f>'[3]GS&gt;50'!$K$4342</f>
        <v>-15449.63</v>
      </c>
      <c r="F75" s="2">
        <v>0.0052</v>
      </c>
      <c r="G75" s="1">
        <f>(C75+D75)*F75</f>
        <v>-2597.675652</v>
      </c>
      <c r="H75" s="1">
        <f>B75-G75</f>
        <v>-0.004347999999481544</v>
      </c>
    </row>
    <row r="76" spans="6:8" ht="12.75">
      <c r="F76" s="2">
        <f>F74</f>
        <v>0.0052</v>
      </c>
      <c r="G76" s="1">
        <f>(C76+D76)*F76</f>
        <v>0</v>
      </c>
      <c r="H76" s="1">
        <f>B76-G76</f>
        <v>0</v>
      </c>
    </row>
    <row r="77" spans="2:9" s="7" customFormat="1" ht="12.75">
      <c r="B77" s="8"/>
      <c r="C77" s="8"/>
      <c r="D77" s="8"/>
      <c r="E77" s="8"/>
      <c r="F77" s="9">
        <f>F75</f>
        <v>0.0052</v>
      </c>
      <c r="G77" s="8">
        <f>(C77+D77)*F77</f>
        <v>0</v>
      </c>
      <c r="H77" s="8">
        <f>B77-G77</f>
        <v>0</v>
      </c>
      <c r="I77" s="8"/>
    </row>
    <row r="78" spans="2:10" s="16" customFormat="1" ht="13.5" thickBot="1">
      <c r="B78" s="16">
        <f>SUM(B74:B77)</f>
        <v>196087.56000000006</v>
      </c>
      <c r="C78" s="16">
        <f>SUM(C74:C77)</f>
        <v>36543316.32</v>
      </c>
      <c r="D78" s="16">
        <f>SUM(D74:D77)</f>
        <v>1165804.9899999981</v>
      </c>
      <c r="E78" s="16">
        <f>SUM(E74:E77)</f>
        <v>0</v>
      </c>
      <c r="G78" s="16">
        <f>SUM(G74:G77)</f>
        <v>196087.43081199998</v>
      </c>
      <c r="H78" s="16">
        <f>SUM(H74:H77)</f>
        <v>0.1291880000671881</v>
      </c>
      <c r="I78" s="16">
        <v>196087.56</v>
      </c>
      <c r="J78" s="16">
        <f>B78-I78</f>
        <v>0</v>
      </c>
    </row>
    <row r="80" spans="1:8" ht="12.75">
      <c r="A80" t="s">
        <v>5</v>
      </c>
      <c r="B80" s="1">
        <f>'[7]jfg0303'!$K$11041</f>
        <v>177933.27999999982</v>
      </c>
      <c r="C80" s="1">
        <f>'[7]jfg0303'!$AE$11041</f>
        <v>33160041.38000001</v>
      </c>
      <c r="D80" s="1">
        <f>'[7]jfg0303'!$AE$10582</f>
        <v>1057881.009999999</v>
      </c>
      <c r="F80" s="2">
        <v>0.0052</v>
      </c>
      <c r="G80" s="1">
        <f>(D80+C80)*F80</f>
        <v>177933.19642800002</v>
      </c>
      <c r="H80" s="1">
        <f>B80-G80</f>
        <v>0.08357199979946017</v>
      </c>
    </row>
    <row r="81" spans="2:8" ht="12.75">
      <c r="B81" s="1">
        <f>'[7]jfg0303'!$J$11053</f>
        <v>-697.1299999999999</v>
      </c>
      <c r="C81" s="1">
        <f>'[7]jfg0303'!$K$11053</f>
        <v>-129920</v>
      </c>
      <c r="D81" s="1">
        <f>'[7]jfg0303'!$K$11047</f>
        <v>-4144.44</v>
      </c>
      <c r="F81" s="2">
        <v>0.0052</v>
      </c>
      <c r="G81" s="1">
        <f>(C81+D81)*F81</f>
        <v>-697.135088</v>
      </c>
      <c r="H81" s="1">
        <f>B81-G81</f>
        <v>0.005088000000114334</v>
      </c>
    </row>
    <row r="82" spans="6:8" ht="12.75">
      <c r="F82" s="2">
        <f>F80</f>
        <v>0.0052</v>
      </c>
      <c r="G82" s="1" t="e">
        <f>(#REF!+D82)*F82</f>
        <v>#REF!</v>
      </c>
      <c r="H82" s="1" t="e">
        <f>B82-G82</f>
        <v>#REF!</v>
      </c>
    </row>
    <row r="83" spans="2:9" s="7" customFormat="1" ht="12.75">
      <c r="B83" s="8"/>
      <c r="C83" s="8"/>
      <c r="D83" s="8"/>
      <c r="E83" s="8"/>
      <c r="F83" s="9">
        <f>F81</f>
        <v>0.0052</v>
      </c>
      <c r="G83" s="8">
        <f>(C83+D83)*F83</f>
        <v>0</v>
      </c>
      <c r="H83" s="8">
        <f>B83-G83</f>
        <v>0</v>
      </c>
      <c r="I83" s="8"/>
    </row>
    <row r="84" spans="2:9" s="16" customFormat="1" ht="13.5" thickBot="1">
      <c r="B84" s="16">
        <f>SUM(B80:B83)</f>
        <v>177236.14999999982</v>
      </c>
      <c r="C84" s="16">
        <f>SUM(C80:C83)</f>
        <v>33030121.38000001</v>
      </c>
      <c r="D84" s="16">
        <f>SUM(D80:D83)</f>
        <v>1053736.5699999991</v>
      </c>
      <c r="E84" s="16">
        <f>SUM(E80:E83)</f>
        <v>0</v>
      </c>
      <c r="G84" s="16" t="e">
        <f>SUM(G80:G83)</f>
        <v>#REF!</v>
      </c>
      <c r="H84" s="16" t="e">
        <f>SUM(H80:H83)</f>
        <v>#REF!</v>
      </c>
      <c r="I84" s="16">
        <f>I78+B84</f>
        <v>373323.70999999985</v>
      </c>
    </row>
    <row r="86" spans="1:8" ht="12.75">
      <c r="A86" t="s">
        <v>6</v>
      </c>
      <c r="B86" s="1">
        <f>'[10]GS&gt;50'!$K$2303</f>
        <v>190350.07000000007</v>
      </c>
      <c r="C86" s="1">
        <f>'[10]GS&gt;50'!$AE$2303</f>
        <v>35474066.22</v>
      </c>
      <c r="D86" s="1">
        <f>'[10]GS&gt;50'!$AE$1839</f>
        <v>1131715.190000001</v>
      </c>
      <c r="F86" s="2">
        <v>0.0052</v>
      </c>
      <c r="G86" s="1">
        <f>(C86+D86)*F86</f>
        <v>190350.06333199996</v>
      </c>
      <c r="H86" s="1">
        <f>B86-G86</f>
        <v>0.006668000103672966</v>
      </c>
    </row>
    <row r="87" spans="2:8" ht="12.75">
      <c r="B87" s="1">
        <f>'[10]GS&gt;50'!$J$2440</f>
        <v>-106.46000000000001</v>
      </c>
      <c r="C87" s="1">
        <f>'[10]GS&gt;50'!$K$2437</f>
        <v>-19840</v>
      </c>
      <c r="D87" s="1">
        <f>'[10]GS&gt;50'!$K$2438</f>
        <v>-632.89</v>
      </c>
      <c r="F87" s="2">
        <v>0.0052</v>
      </c>
      <c r="G87" s="1">
        <f>(C87+D87)*F87</f>
        <v>-106.45902799999999</v>
      </c>
      <c r="H87" s="1">
        <f>B87-G87</f>
        <v>-0.0009720000000186246</v>
      </c>
    </row>
    <row r="88" spans="6:8" ht="12.75">
      <c r="F88" s="2">
        <f>F86</f>
        <v>0.0052</v>
      </c>
      <c r="G88" s="1">
        <f>(C88+D88)*F88</f>
        <v>0</v>
      </c>
      <c r="H88" s="1">
        <f>B88-G88</f>
        <v>0</v>
      </c>
    </row>
    <row r="89" spans="2:9" s="7" customFormat="1" ht="12.75">
      <c r="B89" s="8"/>
      <c r="C89" s="8"/>
      <c r="D89" s="8"/>
      <c r="E89" s="8"/>
      <c r="F89" s="9">
        <f>F87</f>
        <v>0.0052</v>
      </c>
      <c r="G89" s="8">
        <f>(C89+D89)*F89</f>
        <v>0</v>
      </c>
      <c r="H89" s="8">
        <f>B89-G89</f>
        <v>0</v>
      </c>
      <c r="I89" s="8"/>
    </row>
    <row r="90" spans="2:9" s="16" customFormat="1" ht="13.5" thickBot="1">
      <c r="B90" s="16">
        <f>SUM(B86:B89)</f>
        <v>190243.61000000007</v>
      </c>
      <c r="C90" s="16">
        <f>SUM(C86:C89)</f>
        <v>35454226.22</v>
      </c>
      <c r="D90" s="16">
        <f>SUM(D86:D89)</f>
        <v>1131082.3000000012</v>
      </c>
      <c r="E90" s="16">
        <f>SUM(E86:E89)</f>
        <v>0</v>
      </c>
      <c r="G90" s="16">
        <f>SUM(G86:G89)</f>
        <v>190243.60430399995</v>
      </c>
      <c r="H90" s="16">
        <f>SUM(H86:H89)</f>
        <v>0.005696000103654342</v>
      </c>
      <c r="I90" s="16">
        <f>I84+B90</f>
        <v>563567.32</v>
      </c>
    </row>
    <row r="91" ht="12.75">
      <c r="F91" s="2"/>
    </row>
    <row r="92" spans="1:8" ht="12.75">
      <c r="A92" t="s">
        <v>7</v>
      </c>
      <c r="B92" s="1">
        <f>'[13]GS&gt;50'!$K$2372</f>
        <v>182527.82000000007</v>
      </c>
      <c r="C92" s="1">
        <f>'[13]GS&gt;50'!$AE$2372</f>
        <v>34016292.97</v>
      </c>
      <c r="D92" s="1">
        <f>'[13]GS&gt;50'!$AE$1905</f>
        <v>1085199.17</v>
      </c>
      <c r="F92" s="2">
        <v>0.0052</v>
      </c>
      <c r="G92" s="1">
        <f>(C92+D92)*F92</f>
        <v>182527.759128</v>
      </c>
      <c r="H92" s="1">
        <f>B92-G92</f>
        <v>0.06087200006004423</v>
      </c>
    </row>
    <row r="93" spans="2:8" ht="12.75">
      <c r="B93" s="1">
        <f>'[13]GS&gt;50'!$J$2402</f>
        <v>-7133.8899999999985</v>
      </c>
      <c r="C93" s="1">
        <f>'[13]GS&gt;50'!$K$2402</f>
        <v>-1329481.48</v>
      </c>
      <c r="D93" s="1">
        <f>'[13]GS&gt;50'!$K$2387</f>
        <v>-42415.97</v>
      </c>
      <c r="F93" s="2">
        <v>0.0052</v>
      </c>
      <c r="G93" s="1">
        <f>(C93+D93)*F93</f>
        <v>-7133.8667399999995</v>
      </c>
      <c r="H93" s="1">
        <f>B93-G93</f>
        <v>-0.02325999999902706</v>
      </c>
    </row>
    <row r="94" spans="6:8" ht="12.75">
      <c r="F94" s="2">
        <f>F92</f>
        <v>0.0052</v>
      </c>
      <c r="G94" s="1">
        <f>(C94+D94)*F94</f>
        <v>0</v>
      </c>
      <c r="H94" s="1">
        <f>B94-G94</f>
        <v>0</v>
      </c>
    </row>
    <row r="95" spans="2:9" s="7" customFormat="1" ht="12.75">
      <c r="B95" s="8"/>
      <c r="C95" s="8"/>
      <c r="D95" s="8"/>
      <c r="E95" s="8"/>
      <c r="F95" s="9">
        <f>F93</f>
        <v>0.0052</v>
      </c>
      <c r="G95" s="8">
        <f>(C95+D95)*F95</f>
        <v>0</v>
      </c>
      <c r="H95" s="8">
        <f>B95-G95</f>
        <v>0</v>
      </c>
      <c r="I95" s="8"/>
    </row>
    <row r="96" spans="2:9" s="16" customFormat="1" ht="13.5" thickBot="1">
      <c r="B96" s="16">
        <f>SUM(B92:B95)</f>
        <v>175393.93000000008</v>
      </c>
      <c r="C96" s="16">
        <f>SUM(C92:C95)</f>
        <v>32686811.49</v>
      </c>
      <c r="D96" s="16">
        <f>SUM(D92:D95)</f>
        <v>1042783.2</v>
      </c>
      <c r="E96" s="16">
        <f>SUM(E92:E95)</f>
        <v>0</v>
      </c>
      <c r="G96" s="16">
        <f>SUM(G92:G95)</f>
        <v>175393.892388</v>
      </c>
      <c r="H96" s="16">
        <f>SUM(H92:H95)</f>
        <v>0.03761200006101717</v>
      </c>
      <c r="I96" s="16">
        <f>B96</f>
        <v>175393.93000000008</v>
      </c>
    </row>
    <row r="98" spans="1:8" ht="12.75">
      <c r="A98" t="s">
        <v>8</v>
      </c>
      <c r="B98" s="1">
        <f>'[15]GS&gt;50'!$K$2302</f>
        <v>148808.60999999996</v>
      </c>
      <c r="C98" s="1">
        <f>'[15]GS&gt;50'!$AE$2302</f>
        <v>27732281.2</v>
      </c>
      <c r="D98" s="1">
        <f>'[15]GS&gt;50'!$AE$1842</f>
        <v>884727.2700000004</v>
      </c>
      <c r="F98" s="2">
        <v>0.0052</v>
      </c>
      <c r="G98" s="1">
        <f>(C98+D98)*F98</f>
        <v>148808.44404399997</v>
      </c>
      <c r="H98" s="1">
        <f>B98-G98</f>
        <v>0.1659559999825433</v>
      </c>
    </row>
    <row r="99" spans="2:8" ht="12.75">
      <c r="B99" s="1">
        <f>'[15]GS&gt;50'!$J$2459</f>
        <v>-698</v>
      </c>
      <c r="C99" s="1">
        <f>'[15]GS&gt;50'!$K$2459</f>
        <v>-130080</v>
      </c>
      <c r="D99" s="1">
        <f>'[15]GS&gt;50'!$K$2454</f>
        <v>-4149.54</v>
      </c>
      <c r="F99" s="2">
        <v>0.0052</v>
      </c>
      <c r="G99" s="1">
        <f>(C99+D99)*F99</f>
        <v>-697.993608</v>
      </c>
      <c r="H99" s="1">
        <f>B99-G99</f>
        <v>-0.006392000000005282</v>
      </c>
    </row>
    <row r="100" spans="6:8" ht="12.75">
      <c r="F100" s="2">
        <f>F98</f>
        <v>0.0052</v>
      </c>
      <c r="G100" s="1">
        <f>(C100+D100)*F100</f>
        <v>0</v>
      </c>
      <c r="H100" s="1">
        <f>B100-G100</f>
        <v>0</v>
      </c>
    </row>
    <row r="101" spans="2:9" s="7" customFormat="1" ht="12.75">
      <c r="B101" s="8"/>
      <c r="C101" s="8"/>
      <c r="D101" s="8"/>
      <c r="E101" s="8"/>
      <c r="F101" s="9">
        <f>F99</f>
        <v>0.0052</v>
      </c>
      <c r="G101" s="8">
        <f>(C101+D101)*F101</f>
        <v>0</v>
      </c>
      <c r="H101" s="8">
        <f>B101-G101</f>
        <v>0</v>
      </c>
      <c r="I101" s="8"/>
    </row>
    <row r="102" spans="2:9" s="16" customFormat="1" ht="13.5" thickBot="1">
      <c r="B102" s="16">
        <f>SUM(B98:B101)</f>
        <v>148110.60999999996</v>
      </c>
      <c r="C102" s="16">
        <f>SUM(C98:C101)</f>
        <v>27602201.2</v>
      </c>
      <c r="D102" s="16">
        <f>SUM(D98:D101)</f>
        <v>880577.7300000003</v>
      </c>
      <c r="E102" s="16">
        <f>SUM(E98:E101)</f>
        <v>0</v>
      </c>
      <c r="G102" s="16">
        <f>SUM(G98:G101)</f>
        <v>148110.45043599998</v>
      </c>
      <c r="H102" s="16">
        <f>SUM(H98:H101)</f>
        <v>0.159563999982538</v>
      </c>
      <c r="I102" s="16">
        <f>I96+B102</f>
        <v>323504.54000000004</v>
      </c>
    </row>
    <row r="104" spans="1:8" ht="12.75">
      <c r="A104" t="s">
        <v>9</v>
      </c>
      <c r="B104" s="1">
        <v>160322.92</v>
      </c>
      <c r="C104" s="1">
        <v>29878139.29</v>
      </c>
      <c r="D104" s="1">
        <v>953190.78</v>
      </c>
      <c r="F104" s="2">
        <v>0.0052</v>
      </c>
      <c r="G104" s="1">
        <f>(C104+D104)*F104</f>
        <v>160322.916364</v>
      </c>
      <c r="H104" s="1">
        <f>B104-G104</f>
        <v>0.003636000008555129</v>
      </c>
    </row>
    <row r="105" spans="2:8" ht="12.75">
      <c r="B105" s="1">
        <v>-896.96</v>
      </c>
      <c r="C105" s="1">
        <v>-167160</v>
      </c>
      <c r="D105" s="1">
        <v>-5331.49</v>
      </c>
      <c r="F105" s="2">
        <v>0.0052</v>
      </c>
      <c r="G105" s="1">
        <f>(C105+D105)*F105</f>
        <v>-896.9557479999999</v>
      </c>
      <c r="H105" s="1">
        <f>B105-G105</f>
        <v>-0.004252000000178668</v>
      </c>
    </row>
    <row r="106" spans="6:8" ht="12.75">
      <c r="F106" s="2">
        <f>F104</f>
        <v>0.0052</v>
      </c>
      <c r="G106" s="1">
        <f>(C106+D106)*F106</f>
        <v>0</v>
      </c>
      <c r="H106" s="1">
        <f>B106-G106</f>
        <v>0</v>
      </c>
    </row>
    <row r="107" spans="2:9" s="7" customFormat="1" ht="12.75">
      <c r="B107" s="8"/>
      <c r="C107" s="8"/>
      <c r="D107" s="8"/>
      <c r="E107" s="8"/>
      <c r="F107" s="9">
        <f>F105</f>
        <v>0.0052</v>
      </c>
      <c r="G107" s="8">
        <f>(C107+D107)*F107</f>
        <v>0</v>
      </c>
      <c r="H107" s="8">
        <f>B107-G107</f>
        <v>0</v>
      </c>
      <c r="I107" s="8"/>
    </row>
    <row r="108" spans="2:9" s="16" customFormat="1" ht="13.5" thickBot="1">
      <c r="B108" s="16">
        <f>SUM(B104:B107)</f>
        <v>159425.96000000002</v>
      </c>
      <c r="C108" s="16">
        <f>SUM(C104:C107)</f>
        <v>29710979.29</v>
      </c>
      <c r="D108" s="16">
        <f>SUM(D104:D107)</f>
        <v>947859.29</v>
      </c>
      <c r="E108" s="16">
        <f>SUM(E104:E107)</f>
        <v>0</v>
      </c>
      <c r="G108" s="16">
        <f>SUM(G104:G107)</f>
        <v>159425.960616</v>
      </c>
      <c r="H108" s="16">
        <f>SUM(H104:H107)</f>
        <v>-0.0006159999916235392</v>
      </c>
      <c r="I108" s="16">
        <f>I102+B108</f>
        <v>482930.50000000006</v>
      </c>
    </row>
    <row r="110" spans="1:8" ht="12.75">
      <c r="A110" t="s">
        <v>10</v>
      </c>
      <c r="F110" s="2">
        <v>0.0052</v>
      </c>
      <c r="G110" s="1">
        <f>(C110+D110)*F110</f>
        <v>0</v>
      </c>
      <c r="H110" s="1">
        <f>B110-G110</f>
        <v>0</v>
      </c>
    </row>
    <row r="111" spans="6:8" ht="12.75">
      <c r="F111" s="2">
        <v>0.0052</v>
      </c>
      <c r="G111" s="1">
        <f>(C111+D111)*F111</f>
        <v>0</v>
      </c>
      <c r="H111" s="1">
        <f>B111-G111</f>
        <v>0</v>
      </c>
    </row>
    <row r="112" spans="6:8" ht="12.75">
      <c r="F112" s="2">
        <f>F110</f>
        <v>0.0052</v>
      </c>
      <c r="G112" s="1">
        <f>(C112+D112)*F112</f>
        <v>0</v>
      </c>
      <c r="H112" s="1">
        <f>B112-G112</f>
        <v>0</v>
      </c>
    </row>
    <row r="113" spans="2:9" s="7" customFormat="1" ht="12.75">
      <c r="B113" s="8"/>
      <c r="C113" s="8"/>
      <c r="D113" s="8"/>
      <c r="E113" s="8"/>
      <c r="F113" s="9">
        <f>F111</f>
        <v>0.0052</v>
      </c>
      <c r="G113" s="8">
        <f>(C113+D113)*F113</f>
        <v>0</v>
      </c>
      <c r="H113" s="8">
        <f>B113-G113</f>
        <v>0</v>
      </c>
      <c r="I113" s="8"/>
    </row>
    <row r="114" spans="2:9" s="16" customFormat="1" ht="13.5" thickBot="1">
      <c r="B114" s="16">
        <f>SUM(B110:B113)</f>
        <v>0</v>
      </c>
      <c r="C114" s="16">
        <f>SUM(C110:C113)</f>
        <v>0</v>
      </c>
      <c r="D114" s="16">
        <f>SUM(D110:D113)</f>
        <v>0</v>
      </c>
      <c r="E114" s="16">
        <f>SUM(E110:E113)</f>
        <v>0</v>
      </c>
      <c r="G114" s="16">
        <f>SUM(G110:G113)</f>
        <v>0</v>
      </c>
      <c r="H114" s="16">
        <f>SUM(H110:H113)</f>
        <v>0</v>
      </c>
      <c r="I114" s="16">
        <f>I108+B114</f>
        <v>482930.50000000006</v>
      </c>
    </row>
    <row r="116" spans="1:8" ht="12.75">
      <c r="A116" t="s">
        <v>11</v>
      </c>
      <c r="F116" s="2">
        <v>0.0052</v>
      </c>
      <c r="G116" s="1">
        <f>(C116+D116)*F116</f>
        <v>0</v>
      </c>
      <c r="H116" s="1">
        <f>B116-G116</f>
        <v>0</v>
      </c>
    </row>
    <row r="117" spans="6:8" ht="12.75">
      <c r="F117" s="2">
        <v>0.0052</v>
      </c>
      <c r="G117" s="1">
        <f>(C117+D117)*F117</f>
        <v>0</v>
      </c>
      <c r="H117" s="1">
        <f>B117-G117</f>
        <v>0</v>
      </c>
    </row>
    <row r="118" spans="6:8" ht="12.75">
      <c r="F118" s="2">
        <f>F116</f>
        <v>0.0052</v>
      </c>
      <c r="G118" s="1">
        <f>(C118+D118)*F118</f>
        <v>0</v>
      </c>
      <c r="H118" s="1">
        <f>B118-G118</f>
        <v>0</v>
      </c>
    </row>
    <row r="119" spans="2:9" s="7" customFormat="1" ht="12.75">
      <c r="B119" s="8"/>
      <c r="C119" s="8"/>
      <c r="D119" s="8"/>
      <c r="E119" s="8"/>
      <c r="F119" s="9">
        <f>F117</f>
        <v>0.0052</v>
      </c>
      <c r="G119" s="8">
        <f>(C119+D119)*F119</f>
        <v>0</v>
      </c>
      <c r="H119" s="8">
        <f>B119-G119</f>
        <v>0</v>
      </c>
      <c r="I119" s="8"/>
    </row>
    <row r="120" spans="2:9" s="16" customFormat="1" ht="13.5" thickBot="1">
      <c r="B120" s="16">
        <f>SUM(B116:B119)</f>
        <v>0</v>
      </c>
      <c r="C120" s="16">
        <f>SUM(C116:C119)</f>
        <v>0</v>
      </c>
      <c r="D120" s="16">
        <f>SUM(D116:D119)</f>
        <v>0</v>
      </c>
      <c r="E120" s="16">
        <f>SUM(E116:E119)</f>
        <v>0</v>
      </c>
      <c r="G120" s="16">
        <f>SUM(G116:G119)</f>
        <v>0</v>
      </c>
      <c r="H120" s="16">
        <f>SUM(H116:H119)</f>
        <v>0</v>
      </c>
      <c r="I120" s="16">
        <f>I114+B120</f>
        <v>482930.50000000006</v>
      </c>
    </row>
    <row r="122" spans="1:8" ht="12.75">
      <c r="A122" t="s">
        <v>12</v>
      </c>
      <c r="F122" s="2">
        <v>0.0052</v>
      </c>
      <c r="G122" s="1">
        <f>(C122+D122)*F122</f>
        <v>0</v>
      </c>
      <c r="H122" s="1">
        <f>B122-G122</f>
        <v>0</v>
      </c>
    </row>
    <row r="123" spans="6:8" ht="12.75">
      <c r="F123" s="2">
        <v>0.0052</v>
      </c>
      <c r="G123" s="1">
        <f>(C123+D123)*F123</f>
        <v>0</v>
      </c>
      <c r="H123" s="1">
        <f>B123-G123</f>
        <v>0</v>
      </c>
    </row>
    <row r="124" spans="6:8" ht="12.75">
      <c r="F124" s="2">
        <f>F122</f>
        <v>0.0052</v>
      </c>
      <c r="G124" s="1">
        <f>(C124+D124)*F124</f>
        <v>0</v>
      </c>
      <c r="H124" s="1">
        <f>B124-G124</f>
        <v>0</v>
      </c>
    </row>
    <row r="125" spans="2:9" s="7" customFormat="1" ht="12.75">
      <c r="B125" s="8"/>
      <c r="C125" s="8"/>
      <c r="D125" s="8"/>
      <c r="E125" s="8"/>
      <c r="F125" s="9">
        <f>F123</f>
        <v>0.0052</v>
      </c>
      <c r="G125" s="8">
        <f>(C125+D125)*F125</f>
        <v>0</v>
      </c>
      <c r="H125" s="8">
        <f>B125-G125</f>
        <v>0</v>
      </c>
      <c r="I125" s="8"/>
    </row>
    <row r="126" spans="2:9" s="16" customFormat="1" ht="13.5" thickBot="1">
      <c r="B126" s="16">
        <f>SUM(B122:B125)</f>
        <v>0</v>
      </c>
      <c r="C126" s="16">
        <f>SUM(C122:C125)</f>
        <v>0</v>
      </c>
      <c r="D126" s="16">
        <f>SUM(D122:D125)</f>
        <v>0</v>
      </c>
      <c r="E126" s="16">
        <f>SUM(E122:E125)</f>
        <v>0</v>
      </c>
      <c r="G126" s="16">
        <f>SUM(G122:G125)</f>
        <v>0</v>
      </c>
      <c r="H126" s="16">
        <f>SUM(H122:H125)</f>
        <v>0</v>
      </c>
      <c r="I126" s="16">
        <f>I120+B126</f>
        <v>482930.50000000006</v>
      </c>
    </row>
    <row r="128" spans="1:8" ht="12.75">
      <c r="A128" t="s">
        <v>13</v>
      </c>
      <c r="F128" s="2">
        <v>0.0052</v>
      </c>
      <c r="G128" s="1">
        <f>(C128+D128)*F128</f>
        <v>0</v>
      </c>
      <c r="H128" s="1">
        <f>B128-G128</f>
        <v>0</v>
      </c>
    </row>
    <row r="129" spans="6:8" ht="12.75">
      <c r="F129" s="2">
        <v>0.0052</v>
      </c>
      <c r="G129" s="1">
        <f>(C129+D129)*F129</f>
        <v>0</v>
      </c>
      <c r="H129" s="1">
        <f>B129-G129</f>
        <v>0</v>
      </c>
    </row>
    <row r="130" spans="6:8" ht="12.75">
      <c r="F130" s="2">
        <f>F128</f>
        <v>0.0052</v>
      </c>
      <c r="G130" s="1">
        <f>(C130+D130)*F130</f>
        <v>0</v>
      </c>
      <c r="H130" s="1">
        <f>B130-G130</f>
        <v>0</v>
      </c>
    </row>
    <row r="131" spans="2:9" s="7" customFormat="1" ht="12.75">
      <c r="B131" s="8"/>
      <c r="C131" s="8"/>
      <c r="D131" s="8"/>
      <c r="E131" s="8"/>
      <c r="F131" s="9">
        <f>F129</f>
        <v>0.0052</v>
      </c>
      <c r="G131" s="8">
        <f>(C131+D131)*F131</f>
        <v>0</v>
      </c>
      <c r="H131" s="8">
        <f>B131-G131</f>
        <v>0</v>
      </c>
      <c r="I131" s="8"/>
    </row>
    <row r="132" spans="2:9" s="16" customFormat="1" ht="13.5" thickBot="1">
      <c r="B132" s="16">
        <f>SUM(B128:B131)</f>
        <v>0</v>
      </c>
      <c r="C132" s="16">
        <f>SUM(C128:C131)</f>
        <v>0</v>
      </c>
      <c r="D132" s="16">
        <f>SUM(D128:D131)</f>
        <v>0</v>
      </c>
      <c r="E132" s="16">
        <f>SUM(E128:E131)</f>
        <v>0</v>
      </c>
      <c r="G132" s="16">
        <f>SUM(G128:G131)</f>
        <v>0</v>
      </c>
      <c r="H132" s="16">
        <f>SUM(H128:H131)</f>
        <v>0</v>
      </c>
      <c r="I132" s="16">
        <f>I126+B132</f>
        <v>482930.50000000006</v>
      </c>
    </row>
    <row r="134" spans="1:8" ht="12.75">
      <c r="A134" t="s">
        <v>14</v>
      </c>
      <c r="F134" s="2">
        <v>0.0052</v>
      </c>
      <c r="G134" s="1">
        <f>(C134+D134)*F134</f>
        <v>0</v>
      </c>
      <c r="H134" s="1">
        <f>B134-G134</f>
        <v>0</v>
      </c>
    </row>
    <row r="135" spans="6:8" ht="12.75">
      <c r="F135" s="2">
        <v>0.0052</v>
      </c>
      <c r="G135" s="1">
        <f>(C135+D135)*F135</f>
        <v>0</v>
      </c>
      <c r="H135" s="1">
        <f>B135-G135</f>
        <v>0</v>
      </c>
    </row>
    <row r="136" spans="6:8" ht="12.75">
      <c r="F136" s="2">
        <f>F134</f>
        <v>0.0052</v>
      </c>
      <c r="G136" s="1">
        <f>(C136+D136)*F136</f>
        <v>0</v>
      </c>
      <c r="H136" s="1">
        <f>B136-G136</f>
        <v>0</v>
      </c>
    </row>
    <row r="137" spans="2:9" s="7" customFormat="1" ht="12.75">
      <c r="B137" s="8"/>
      <c r="C137" s="8"/>
      <c r="D137" s="8"/>
      <c r="E137" s="8"/>
      <c r="F137" s="9">
        <f>F135</f>
        <v>0.0052</v>
      </c>
      <c r="G137" s="8">
        <f>(C137+D137)*F137</f>
        <v>0</v>
      </c>
      <c r="H137" s="8">
        <f>B137-G137</f>
        <v>0</v>
      </c>
      <c r="I137" s="8"/>
    </row>
    <row r="138" spans="2:9" s="16" customFormat="1" ht="13.5" thickBot="1">
      <c r="B138" s="16">
        <f>SUM(B134:B137)</f>
        <v>0</v>
      </c>
      <c r="C138" s="16">
        <f>SUM(C134:C137)</f>
        <v>0</v>
      </c>
      <c r="D138" s="16">
        <f>SUM(D134:D137)</f>
        <v>0</v>
      </c>
      <c r="E138" s="16">
        <f>SUM(E134:E137)</f>
        <v>0</v>
      </c>
      <c r="G138" s="16">
        <f>SUM(G134:G137)</f>
        <v>0</v>
      </c>
      <c r="H138" s="16">
        <f>SUM(H134:H137)</f>
        <v>0</v>
      </c>
      <c r="I138" s="16">
        <f>I132+B138</f>
        <v>482930.50000000006</v>
      </c>
    </row>
    <row r="140" spans="3:4" ht="12.75">
      <c r="C140" s="1">
        <f>C72+C78+C84+C90+C96+C102+C108+C114+C120+C126+C132+C138</f>
        <v>225866514.84</v>
      </c>
      <c r="D140" s="1">
        <f>D72+D78+D84+D90+D96+D102+D108+D114+D120+D126+D132+D138</f>
        <v>7205673.369999999</v>
      </c>
    </row>
    <row r="142" ht="12.75">
      <c r="D142" s="78"/>
    </row>
    <row r="143" ht="12.75">
      <c r="D143" s="78"/>
    </row>
    <row r="144" ht="12.75">
      <c r="D144" s="78"/>
    </row>
    <row r="145" ht="12.75">
      <c r="D145" s="78"/>
    </row>
    <row r="146" ht="12.75">
      <c r="D146" s="78"/>
    </row>
    <row r="147" ht="12.75">
      <c r="D147" s="78"/>
    </row>
    <row r="148" spans="1:6" ht="12.75">
      <c r="A148" t="s">
        <v>80</v>
      </c>
      <c r="F148" s="2"/>
    </row>
    <row r="149" spans="1:6" ht="12.75">
      <c r="A149" t="s">
        <v>29</v>
      </c>
      <c r="F149" s="2"/>
    </row>
    <row r="150" spans="1:6" ht="12.75">
      <c r="A150" t="s">
        <v>30</v>
      </c>
      <c r="F150" s="2"/>
    </row>
    <row r="151" ht="12.75">
      <c r="F151" s="2"/>
    </row>
    <row r="152" spans="2:9" s="4" customFormat="1" ht="25.5">
      <c r="B152" s="5" t="s">
        <v>15</v>
      </c>
      <c r="C152" s="5" t="s">
        <v>16</v>
      </c>
      <c r="D152" s="5" t="s">
        <v>25</v>
      </c>
      <c r="E152" s="5" t="s">
        <v>24</v>
      </c>
      <c r="F152" s="6" t="s">
        <v>17</v>
      </c>
      <c r="G152" s="5" t="s">
        <v>18</v>
      </c>
      <c r="H152" s="5" t="s">
        <v>19</v>
      </c>
      <c r="I152" s="5" t="s">
        <v>20</v>
      </c>
    </row>
    <row r="153" ht="12.75">
      <c r="F153" s="2"/>
    </row>
    <row r="154" spans="1:8" ht="12.75">
      <c r="A154" t="s">
        <v>3</v>
      </c>
      <c r="B154" s="1">
        <f>'[6]GS&gt;50'!$K$2421</f>
        <v>-16339.249999999998</v>
      </c>
      <c r="E154" s="1">
        <f>'[6]GS&gt;50'!$AH$2421</f>
        <v>27232.109999999997</v>
      </c>
      <c r="F154" s="2">
        <v>-0.6</v>
      </c>
      <c r="G154" s="1">
        <f>E154*F154</f>
        <v>-16339.265999999998</v>
      </c>
      <c r="H154" s="1">
        <f>B154-G154</f>
        <v>0.01599999999962165</v>
      </c>
    </row>
    <row r="155" spans="2:9" s="7" customFormat="1" ht="12.75">
      <c r="B155" s="8">
        <v>0</v>
      </c>
      <c r="C155" s="8"/>
      <c r="D155" s="8"/>
      <c r="E155" s="8"/>
      <c r="F155" s="9">
        <v>-0.6</v>
      </c>
      <c r="G155" s="8">
        <f>E155*F155</f>
        <v>0</v>
      </c>
      <c r="H155" s="8">
        <f>B155-G155</f>
        <v>0</v>
      </c>
      <c r="I155" s="8"/>
    </row>
    <row r="156" spans="2:9" s="16" customFormat="1" ht="13.5" thickBot="1">
      <c r="B156" s="16">
        <f>SUM(B154:B155)</f>
        <v>-16339.249999999998</v>
      </c>
      <c r="C156" s="16">
        <f>SUM(C154:C155)</f>
        <v>0</v>
      </c>
      <c r="D156" s="16">
        <f>SUM(D154:D155)</f>
        <v>0</v>
      </c>
      <c r="E156" s="16">
        <f>SUM(E154:E155)</f>
        <v>27232.109999999997</v>
      </c>
      <c r="G156" s="16">
        <f>SUM(G154:G155)</f>
        <v>-16339.265999999998</v>
      </c>
      <c r="H156" s="16">
        <f>SUM(H154:H155)</f>
        <v>0.01599999999962165</v>
      </c>
      <c r="I156" s="16">
        <f>B156</f>
        <v>-16339.249999999998</v>
      </c>
    </row>
    <row r="158" spans="1:8" ht="12.75">
      <c r="A158" t="s">
        <v>4</v>
      </c>
      <c r="B158" s="1">
        <f>'[3]GS&gt;50'!$K$4561</f>
        <v>-16351.73</v>
      </c>
      <c r="E158" s="1">
        <f>'[3]GS&gt;50'!$AH$4561</f>
        <v>27252.91</v>
      </c>
      <c r="F158" s="2">
        <v>-0.6</v>
      </c>
      <c r="G158" s="1">
        <f>E158*F158</f>
        <v>-16351.746</v>
      </c>
      <c r="H158" s="1">
        <f>B158-G158</f>
        <v>0.01599999999962165</v>
      </c>
    </row>
    <row r="159" spans="2:9" s="7" customFormat="1" ht="12.75">
      <c r="B159" s="8"/>
      <c r="C159" s="8"/>
      <c r="D159" s="8"/>
      <c r="E159" s="8"/>
      <c r="F159" s="9">
        <v>-0.6</v>
      </c>
      <c r="G159" s="8">
        <f>E159*F159</f>
        <v>0</v>
      </c>
      <c r="H159" s="8">
        <f>B159-G159</f>
        <v>0</v>
      </c>
      <c r="I159" s="8"/>
    </row>
    <row r="160" spans="2:9" s="16" customFormat="1" ht="13.5" thickBot="1">
      <c r="B160" s="16">
        <f>SUM(B158:B159)</f>
        <v>-16351.73</v>
      </c>
      <c r="C160" s="16">
        <f>SUM(C158:C159)</f>
        <v>0</v>
      </c>
      <c r="D160" s="16">
        <f>SUM(D158:D159)</f>
        <v>0</v>
      </c>
      <c r="E160" s="16">
        <f>SUM(E158:E159)</f>
        <v>27252.91</v>
      </c>
      <c r="G160" s="16">
        <f>SUM(G158:G159)</f>
        <v>-16351.746</v>
      </c>
      <c r="H160" s="16">
        <f>SUM(H158:H159)</f>
        <v>0.01599999999962165</v>
      </c>
      <c r="I160" s="16">
        <f>I156+B160</f>
        <v>-32690.979999999996</v>
      </c>
    </row>
    <row r="162" spans="1:8" ht="12.75">
      <c r="A162" t="s">
        <v>5</v>
      </c>
      <c r="B162" s="1">
        <f>32690.98-49013.61</f>
        <v>-16322.630000000001</v>
      </c>
      <c r="E162" s="1">
        <f>-B162/0.6</f>
        <v>27204.383333333335</v>
      </c>
      <c r="F162" s="2">
        <v>-0.6</v>
      </c>
      <c r="G162" s="1">
        <f>E162*F162</f>
        <v>-16322.630000000001</v>
      </c>
      <c r="H162" s="1">
        <f>B162-G162</f>
        <v>0</v>
      </c>
    </row>
    <row r="163" spans="2:9" s="7" customFormat="1" ht="12.75">
      <c r="B163" s="8"/>
      <c r="C163" s="8"/>
      <c r="D163" s="8"/>
      <c r="E163" s="8"/>
      <c r="F163" s="9">
        <v>-0.6</v>
      </c>
      <c r="G163" s="8">
        <f>E163*F163</f>
        <v>0</v>
      </c>
      <c r="H163" s="8">
        <f>B163-G163</f>
        <v>0</v>
      </c>
      <c r="I163" s="8"/>
    </row>
    <row r="164" spans="2:9" s="16" customFormat="1" ht="13.5" thickBot="1">
      <c r="B164" s="16">
        <f>SUM(B162:B163)</f>
        <v>-16322.630000000001</v>
      </c>
      <c r="C164" s="16">
        <f>SUM(C162:C163)</f>
        <v>0</v>
      </c>
      <c r="D164" s="16">
        <f>SUM(D162:D163)</f>
        <v>0</v>
      </c>
      <c r="E164" s="16">
        <f>SUM(E162:E163)</f>
        <v>27204.383333333335</v>
      </c>
      <c r="G164" s="16">
        <f>SUM(G162:G163)</f>
        <v>-16322.630000000001</v>
      </c>
      <c r="H164" s="16">
        <f>SUM(H162:H163)</f>
        <v>0</v>
      </c>
      <c r="I164" s="16">
        <f>I160+B164</f>
        <v>-49013.61</v>
      </c>
    </row>
    <row r="166" spans="1:8" ht="12.75">
      <c r="A166" t="s">
        <v>6</v>
      </c>
      <c r="B166" s="1">
        <f>49013.61-65648.02</f>
        <v>-16634.410000000003</v>
      </c>
      <c r="E166" s="1">
        <f>-B166/0.6</f>
        <v>27724.016666666674</v>
      </c>
      <c r="F166" s="2">
        <v>-0.6</v>
      </c>
      <c r="G166" s="1">
        <f>E166*F166</f>
        <v>-16634.410000000003</v>
      </c>
      <c r="H166" s="1">
        <f>B166-G166</f>
        <v>0</v>
      </c>
    </row>
    <row r="167" spans="2:9" s="7" customFormat="1" ht="12.75">
      <c r="B167" s="8"/>
      <c r="C167" s="8"/>
      <c r="D167" s="8"/>
      <c r="E167" s="8"/>
      <c r="F167" s="9">
        <v>-0.6</v>
      </c>
      <c r="G167" s="8">
        <f>E167*F167</f>
        <v>0</v>
      </c>
      <c r="H167" s="8">
        <f>B167-G167</f>
        <v>0</v>
      </c>
      <c r="I167" s="8"/>
    </row>
    <row r="168" spans="2:9" s="16" customFormat="1" ht="13.5" thickBot="1">
      <c r="B168" s="16">
        <f>SUM(B166:B167)</f>
        <v>-16634.410000000003</v>
      </c>
      <c r="C168" s="16">
        <f>SUM(C166:C167)</f>
        <v>0</v>
      </c>
      <c r="D168" s="16">
        <f>SUM(D166:D167)</f>
        <v>0</v>
      </c>
      <c r="E168" s="16">
        <f>SUM(E166:E167)</f>
        <v>27724.016666666674</v>
      </c>
      <c r="G168" s="16">
        <f>SUM(G166:G167)</f>
        <v>-16634.410000000003</v>
      </c>
      <c r="H168" s="16">
        <f>SUM(H166:H167)</f>
        <v>0</v>
      </c>
      <c r="I168" s="16">
        <f>I164+B168</f>
        <v>-65648.02</v>
      </c>
    </row>
    <row r="170" spans="1:8" ht="12.75">
      <c r="A170" t="s">
        <v>7</v>
      </c>
      <c r="B170" s="1">
        <f>65648.02-82077.21</f>
        <v>-16429.190000000002</v>
      </c>
      <c r="E170" s="1">
        <f>-B170/0.6</f>
        <v>27381.983333333337</v>
      </c>
      <c r="F170" s="2">
        <v>-0.6</v>
      </c>
      <c r="G170" s="1">
        <f>E170*F170</f>
        <v>-16429.190000000002</v>
      </c>
      <c r="H170" s="1">
        <f>B170-G170</f>
        <v>0</v>
      </c>
    </row>
    <row r="171" spans="2:9" s="7" customFormat="1" ht="12.75">
      <c r="B171" s="8"/>
      <c r="C171" s="8"/>
      <c r="D171" s="8"/>
      <c r="E171" s="8"/>
      <c r="F171" s="9">
        <v>-0.6</v>
      </c>
      <c r="G171" s="8">
        <f>E171*F171</f>
        <v>0</v>
      </c>
      <c r="H171" s="8">
        <f>B171-G171</f>
        <v>0</v>
      </c>
      <c r="I171" s="8"/>
    </row>
    <row r="172" spans="2:9" s="16" customFormat="1" ht="13.5" thickBot="1">
      <c r="B172" s="16">
        <f>SUM(B170:B171)</f>
        <v>-16429.190000000002</v>
      </c>
      <c r="C172" s="16">
        <f>SUM(C170:C171)</f>
        <v>0</v>
      </c>
      <c r="D172" s="16">
        <f>SUM(D170:D171)</f>
        <v>0</v>
      </c>
      <c r="E172" s="16">
        <f>SUM(E170:E171)</f>
        <v>27381.983333333337</v>
      </c>
      <c r="G172" s="16">
        <f>SUM(G170:G171)</f>
        <v>-16429.190000000002</v>
      </c>
      <c r="H172" s="16">
        <f>SUM(H170:H171)</f>
        <v>0</v>
      </c>
      <c r="I172" s="16">
        <f>I168+B172</f>
        <v>-82077.21</v>
      </c>
    </row>
    <row r="174" spans="1:8" ht="12.75">
      <c r="A174" t="s">
        <v>8</v>
      </c>
      <c r="B174" s="1">
        <f>82077.21-98510.3</f>
        <v>-16433.089999999997</v>
      </c>
      <c r="E174" s="1">
        <f>-B174/0.6</f>
        <v>27388.48333333333</v>
      </c>
      <c r="F174" s="2">
        <v>-0.6</v>
      </c>
      <c r="G174" s="1">
        <f>E174*F174</f>
        <v>-16433.089999999997</v>
      </c>
      <c r="H174" s="1">
        <f>B174-G174</f>
        <v>0</v>
      </c>
    </row>
    <row r="175" spans="2:9" s="7" customFormat="1" ht="12.75">
      <c r="B175" s="8"/>
      <c r="C175" s="8"/>
      <c r="D175" s="8"/>
      <c r="E175" s="8"/>
      <c r="F175" s="9">
        <v>-0.6</v>
      </c>
      <c r="G175" s="8">
        <f>E175*F175</f>
        <v>0</v>
      </c>
      <c r="H175" s="8">
        <f>B175-G175</f>
        <v>0</v>
      </c>
      <c r="I175" s="8"/>
    </row>
    <row r="176" spans="2:9" s="16" customFormat="1" ht="13.5" thickBot="1">
      <c r="B176" s="16">
        <f>SUM(B174:B175)</f>
        <v>-16433.089999999997</v>
      </c>
      <c r="C176" s="16">
        <f>SUM(C174:C175)</f>
        <v>0</v>
      </c>
      <c r="D176" s="16">
        <f>SUM(D174:D175)</f>
        <v>0</v>
      </c>
      <c r="E176" s="16">
        <f>SUM(E174:E175)</f>
        <v>27388.48333333333</v>
      </c>
      <c r="G176" s="16">
        <f>SUM(G174:G175)</f>
        <v>-16433.089999999997</v>
      </c>
      <c r="H176" s="16">
        <f>SUM(H174:H175)</f>
        <v>0</v>
      </c>
      <c r="I176" s="16">
        <f>I172+B176</f>
        <v>-98510.3</v>
      </c>
    </row>
    <row r="178" spans="1:8" ht="12.75">
      <c r="A178" t="s">
        <v>9</v>
      </c>
      <c r="B178" s="1">
        <v>-18215.05</v>
      </c>
      <c r="E178" s="1">
        <v>30358.47</v>
      </c>
      <c r="F178" s="2">
        <v>-0.6</v>
      </c>
      <c r="G178" s="1">
        <f>E178*F178</f>
        <v>-18215.082</v>
      </c>
      <c r="H178" s="1">
        <f>B178-G178</f>
        <v>0.0319999999992433</v>
      </c>
    </row>
    <row r="179" spans="2:9" s="7" customFormat="1" ht="12.75">
      <c r="B179" s="8">
        <v>0</v>
      </c>
      <c r="C179" s="8"/>
      <c r="D179" s="8"/>
      <c r="E179" s="8"/>
      <c r="F179" s="9">
        <v>-0.6</v>
      </c>
      <c r="G179" s="8">
        <f>E179*F179</f>
        <v>0</v>
      </c>
      <c r="H179" s="8">
        <f>B179-G179</f>
        <v>0</v>
      </c>
      <c r="I179" s="8"/>
    </row>
    <row r="180" spans="2:9" s="16" customFormat="1" ht="13.5" thickBot="1">
      <c r="B180" s="16">
        <f>SUM(B178:B179)</f>
        <v>-18215.05</v>
      </c>
      <c r="C180" s="16">
        <f>SUM(C178:C179)</f>
        <v>0</v>
      </c>
      <c r="D180" s="16">
        <f>SUM(D178:D179)</f>
        <v>0</v>
      </c>
      <c r="E180" s="16">
        <f>SUM(E178:E179)</f>
        <v>30358.47</v>
      </c>
      <c r="G180" s="16">
        <f>SUM(G178:G179)</f>
        <v>-18215.082</v>
      </c>
      <c r="H180" s="16">
        <f>SUM(H178:H179)</f>
        <v>0.0319999999992433</v>
      </c>
      <c r="I180" s="16">
        <f>I176+B180</f>
        <v>-116725.35</v>
      </c>
    </row>
    <row r="182" spans="1:8" ht="12.75">
      <c r="A182" t="s">
        <v>10</v>
      </c>
      <c r="F182" s="2">
        <v>-0.6</v>
      </c>
      <c r="G182" s="1">
        <f>E182*F182</f>
        <v>0</v>
      </c>
      <c r="H182" s="1">
        <f>B182-G182</f>
        <v>0</v>
      </c>
    </row>
    <row r="183" spans="2:9" s="7" customFormat="1" ht="12.75">
      <c r="B183" s="8">
        <v>0</v>
      </c>
      <c r="C183" s="8"/>
      <c r="D183" s="8"/>
      <c r="E183" s="8"/>
      <c r="F183" s="9">
        <v>-0.6</v>
      </c>
      <c r="G183" s="8">
        <f>E183*F183</f>
        <v>0</v>
      </c>
      <c r="H183" s="8">
        <f>B183-G183</f>
        <v>0</v>
      </c>
      <c r="I183" s="8"/>
    </row>
    <row r="184" spans="2:9" s="16" customFormat="1" ht="13.5" thickBot="1">
      <c r="B184" s="16">
        <f>SUM(B182:B183)</f>
        <v>0</v>
      </c>
      <c r="C184" s="16">
        <f>SUM(C182:C183)</f>
        <v>0</v>
      </c>
      <c r="D184" s="16">
        <f>SUM(D182:D183)</f>
        <v>0</v>
      </c>
      <c r="E184" s="16">
        <f>SUM(E182:E183)</f>
        <v>0</v>
      </c>
      <c r="G184" s="16">
        <f>SUM(G182:G183)</f>
        <v>0</v>
      </c>
      <c r="H184" s="16">
        <f>SUM(H182:H183)</f>
        <v>0</v>
      </c>
      <c r="I184" s="16">
        <f>I180+B184</f>
        <v>-116725.35</v>
      </c>
    </row>
    <row r="186" spans="1:8" ht="12.75">
      <c r="A186" t="s">
        <v>11</v>
      </c>
      <c r="F186" s="2">
        <v>-0.6</v>
      </c>
      <c r="G186" s="1">
        <f>E186*F186</f>
        <v>0</v>
      </c>
      <c r="H186" s="1">
        <f>B186-G186</f>
        <v>0</v>
      </c>
    </row>
    <row r="187" spans="2:9" s="7" customFormat="1" ht="12.75">
      <c r="B187" s="8">
        <v>0</v>
      </c>
      <c r="C187" s="8"/>
      <c r="D187" s="8"/>
      <c r="E187" s="8"/>
      <c r="F187" s="9">
        <v>-0.6</v>
      </c>
      <c r="G187" s="8">
        <f>E187*F187</f>
        <v>0</v>
      </c>
      <c r="H187" s="8">
        <f>B187-G187</f>
        <v>0</v>
      </c>
      <c r="I187" s="8"/>
    </row>
    <row r="188" spans="2:9" s="16" customFormat="1" ht="13.5" thickBot="1">
      <c r="B188" s="16">
        <f>SUM(B186:B187)</f>
        <v>0</v>
      </c>
      <c r="C188" s="16">
        <f>SUM(C186:C187)</f>
        <v>0</v>
      </c>
      <c r="D188" s="16">
        <f>SUM(D186:D187)</f>
        <v>0</v>
      </c>
      <c r="E188" s="16">
        <f>SUM(E186:E187)</f>
        <v>0</v>
      </c>
      <c r="G188" s="16">
        <f>SUM(G186:G187)</f>
        <v>0</v>
      </c>
      <c r="H188" s="16">
        <f>SUM(H186:H187)</f>
        <v>0</v>
      </c>
      <c r="I188" s="16">
        <f>I184+B188</f>
        <v>-116725.35</v>
      </c>
    </row>
    <row r="190" spans="1:8" ht="12.75">
      <c r="A190" t="s">
        <v>12</v>
      </c>
      <c r="F190" s="2">
        <v>-0.6</v>
      </c>
      <c r="G190" s="1">
        <f>E190*F190</f>
        <v>0</v>
      </c>
      <c r="H190" s="1">
        <f>B190-G190</f>
        <v>0</v>
      </c>
    </row>
    <row r="191" spans="2:9" s="7" customFormat="1" ht="12.75">
      <c r="B191" s="8">
        <v>0</v>
      </c>
      <c r="C191" s="8"/>
      <c r="D191" s="8"/>
      <c r="E191" s="8"/>
      <c r="F191" s="9">
        <v>-0.6</v>
      </c>
      <c r="G191" s="8">
        <f>E191*F191</f>
        <v>0</v>
      </c>
      <c r="H191" s="8">
        <f>B191-G191</f>
        <v>0</v>
      </c>
      <c r="I191" s="8"/>
    </row>
    <row r="192" spans="2:9" s="16" customFormat="1" ht="13.5" thickBot="1">
      <c r="B192" s="16">
        <f>SUM(B190:B191)</f>
        <v>0</v>
      </c>
      <c r="C192" s="16">
        <f>SUM(C190:C191)</f>
        <v>0</v>
      </c>
      <c r="D192" s="16">
        <f>SUM(D190:D191)</f>
        <v>0</v>
      </c>
      <c r="E192" s="16">
        <f>SUM(E190:E191)</f>
        <v>0</v>
      </c>
      <c r="G192" s="16">
        <f>SUM(G190:G191)</f>
        <v>0</v>
      </c>
      <c r="H192" s="16">
        <f>SUM(H190:H191)</f>
        <v>0</v>
      </c>
      <c r="I192" s="16">
        <f>I188+B192</f>
        <v>-116725.35</v>
      </c>
    </row>
    <row r="194" spans="1:8" ht="12.75">
      <c r="A194" t="s">
        <v>13</v>
      </c>
      <c r="F194" s="2">
        <v>-0.6</v>
      </c>
      <c r="G194" s="1">
        <f>E194*F194</f>
        <v>0</v>
      </c>
      <c r="H194" s="1">
        <f>B194-G194</f>
        <v>0</v>
      </c>
    </row>
    <row r="195" spans="2:9" s="7" customFormat="1" ht="12.75">
      <c r="B195" s="8"/>
      <c r="C195" s="8"/>
      <c r="D195" s="8"/>
      <c r="E195" s="8"/>
      <c r="F195" s="9">
        <v>-0.6</v>
      </c>
      <c r="G195" s="8">
        <f>E195*F195</f>
        <v>0</v>
      </c>
      <c r="H195" s="8">
        <f>B195-G195</f>
        <v>0</v>
      </c>
      <c r="I195" s="8"/>
    </row>
    <row r="196" spans="2:9" s="16" customFormat="1" ht="13.5" thickBot="1">
      <c r="B196" s="16">
        <f>SUM(B194:B195)</f>
        <v>0</v>
      </c>
      <c r="C196" s="16">
        <f>SUM(C194:C195)</f>
        <v>0</v>
      </c>
      <c r="D196" s="16">
        <f>SUM(D194:D195)</f>
        <v>0</v>
      </c>
      <c r="E196" s="16">
        <f>SUM(E194:E195)</f>
        <v>0</v>
      </c>
      <c r="G196" s="16">
        <f>SUM(G194:G195)</f>
        <v>0</v>
      </c>
      <c r="H196" s="16">
        <f>SUM(H194:H195)</f>
        <v>0</v>
      </c>
      <c r="I196" s="16">
        <f>I192+B196</f>
        <v>-116725.35</v>
      </c>
    </row>
    <row r="198" spans="1:8" ht="12.75">
      <c r="A198" t="s">
        <v>14</v>
      </c>
      <c r="F198" s="2">
        <v>-0.6</v>
      </c>
      <c r="G198" s="1">
        <f>E198*F198</f>
        <v>0</v>
      </c>
      <c r="H198" s="1">
        <f>B198-G198</f>
        <v>0</v>
      </c>
    </row>
    <row r="199" spans="2:9" s="7" customFormat="1" ht="12.75">
      <c r="B199" s="8">
        <v>0</v>
      </c>
      <c r="C199" s="8"/>
      <c r="D199" s="8"/>
      <c r="E199" s="8"/>
      <c r="F199" s="9">
        <v>-0.6</v>
      </c>
      <c r="G199" s="8">
        <f>E199*F199</f>
        <v>0</v>
      </c>
      <c r="H199" s="8">
        <f>B199-G199</f>
        <v>0</v>
      </c>
      <c r="I199" s="8"/>
    </row>
    <row r="200" spans="2:9" s="16" customFormat="1" ht="13.5" thickBot="1">
      <c r="B200" s="16">
        <f>SUM(B198:B199)</f>
        <v>0</v>
      </c>
      <c r="C200" s="16">
        <f>SUM(C198:C199)</f>
        <v>0</v>
      </c>
      <c r="D200" s="16">
        <f>SUM(D198:D199)</f>
        <v>0</v>
      </c>
      <c r="E200" s="16">
        <f>SUM(E198:E199)</f>
        <v>0</v>
      </c>
      <c r="G200" s="16">
        <f>SUM(G198:G199)</f>
        <v>0</v>
      </c>
      <c r="H200" s="16">
        <f>SUM(H198:H199)</f>
        <v>0</v>
      </c>
      <c r="I200" s="16">
        <f>I196+B200</f>
        <v>-116725.35</v>
      </c>
    </row>
    <row r="202" ht="12.75">
      <c r="B202" s="1">
        <f>B156+B160+B164+B168+B172+B176+B180+B184+B188+B192+B196+B200</f>
        <v>-116725.35</v>
      </c>
    </row>
    <row r="203" spans="2:5" ht="12.75">
      <c r="B203" s="1">
        <f>-E203*0.6</f>
        <v>-18000</v>
      </c>
      <c r="E203" s="1">
        <v>30000</v>
      </c>
    </row>
    <row r="204" spans="2:5" ht="12.75">
      <c r="B204" s="1">
        <f>-E204*0.6</f>
        <v>-16800</v>
      </c>
      <c r="E204" s="1">
        <v>28000</v>
      </c>
    </row>
    <row r="205" spans="2:5" ht="12.75">
      <c r="B205" s="1">
        <f>-E205*0.6</f>
        <v>-16200</v>
      </c>
      <c r="E205" s="1">
        <v>27000</v>
      </c>
    </row>
    <row r="206" spans="2:5" ht="12.75">
      <c r="B206" s="1">
        <f>-E206*0.6</f>
        <v>-16200</v>
      </c>
      <c r="E206" s="1">
        <v>27000</v>
      </c>
    </row>
    <row r="207" spans="2:5" ht="12.75">
      <c r="B207" s="1">
        <f>-E207*0.6</f>
        <v>-16200</v>
      </c>
      <c r="E207" s="1">
        <v>27000</v>
      </c>
    </row>
    <row r="209" ht="12.75">
      <c r="B209" s="1">
        <f>ROUND(SUM(B202:B208),-3)</f>
        <v>-200000</v>
      </c>
    </row>
    <row r="210" ht="12.75">
      <c r="D210" s="78"/>
    </row>
    <row r="211" spans="2:4" ht="12.75">
      <c r="B211" s="1">
        <f>B209/0.6</f>
        <v>-333333.3333333334</v>
      </c>
      <c r="D211" s="78"/>
    </row>
    <row r="212" spans="2:4" ht="12.75">
      <c r="B212" s="1">
        <f>B211*1.02</f>
        <v>-340000.00000000006</v>
      </c>
      <c r="D212" s="78"/>
    </row>
    <row r="213" ht="12.75">
      <c r="D213" s="78"/>
    </row>
    <row r="214" ht="12.75">
      <c r="D214" s="78"/>
    </row>
    <row r="215" ht="12.75">
      <c r="D215" s="78"/>
    </row>
  </sheetData>
  <sheetProtection/>
  <printOptions/>
  <pageMargins left="0.75" right="0.75" top="1" bottom="1" header="0.5" footer="0.5"/>
  <pageSetup horizontalDpi="300" verticalDpi="300" orientation="portrait" scale="79" r:id="rId1"/>
  <headerFooter alignWithMargins="0">
    <oddHeader>&amp;RDRAFT</oddHeader>
    <oddFooter>&amp;LI:\JD\YE Dec 31 03\GHESI\Stats\&amp;F&amp;A&amp;D&amp;T</oddFooter>
  </headerFooter>
  <rowBreaks count="1" manualBreakCount="1">
    <brk id="147" max="8" man="1"/>
  </rowBreaks>
  <colBreaks count="1" manualBreakCount="1">
    <brk id="9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I352"/>
  <sheetViews>
    <sheetView zoomScale="75" zoomScaleNormal="75" zoomScalePageLayoutView="0" workbookViewId="0" topLeftCell="A41">
      <selection activeCell="C56" sqref="C56:D61"/>
    </sheetView>
  </sheetViews>
  <sheetFormatPr defaultColWidth="9.140625" defaultRowHeight="12.75"/>
  <cols>
    <col min="2" max="2" width="13.00390625" style="0" bestFit="1" customWidth="1"/>
    <col min="3" max="3" width="16.28125" style="0" bestFit="1" customWidth="1"/>
    <col min="4" max="4" width="14.7109375" style="0" bestFit="1" customWidth="1"/>
    <col min="5" max="5" width="11.421875" style="0" bestFit="1" customWidth="1"/>
    <col min="6" max="6" width="9.28125" style="0" bestFit="1" customWidth="1"/>
    <col min="7" max="7" width="13.00390625" style="0" bestFit="1" customWidth="1"/>
    <col min="8" max="8" width="12.421875" style="0" bestFit="1" customWidth="1"/>
    <col min="9" max="9" width="14.7109375" style="0" bestFit="1" customWidth="1"/>
  </cols>
  <sheetData>
    <row r="1" spans="1:9" ht="12.75">
      <c r="A1" t="s">
        <v>31</v>
      </c>
      <c r="B1" s="1"/>
      <c r="C1" s="1"/>
      <c r="D1" s="193" t="s">
        <v>205</v>
      </c>
      <c r="E1" s="1"/>
      <c r="F1" s="2"/>
      <c r="G1" s="1"/>
      <c r="H1" s="1"/>
      <c r="I1" s="1"/>
    </row>
    <row r="2" spans="1:9" ht="12.75">
      <c r="A2" t="s">
        <v>32</v>
      </c>
      <c r="B2" s="1"/>
      <c r="C2" s="1"/>
      <c r="D2" s="1"/>
      <c r="E2" s="1"/>
      <c r="F2" s="2"/>
      <c r="G2" s="1"/>
      <c r="H2" s="1"/>
      <c r="I2" s="1"/>
    </row>
    <row r="3" spans="1:9" ht="12.75">
      <c r="A3" s="42" t="s">
        <v>33</v>
      </c>
      <c r="B3" s="1"/>
      <c r="C3" s="1"/>
      <c r="D3" s="1"/>
      <c r="E3" s="1"/>
      <c r="F3" s="2"/>
      <c r="G3" s="1"/>
      <c r="H3" s="1"/>
      <c r="I3" s="1"/>
    </row>
    <row r="4" spans="2:9" ht="12.75">
      <c r="B4" s="1"/>
      <c r="C4" s="1"/>
      <c r="D4" s="1"/>
      <c r="E4" s="1"/>
      <c r="F4" s="2"/>
      <c r="G4" s="1"/>
      <c r="H4" s="1"/>
      <c r="I4" s="1"/>
    </row>
    <row r="5" spans="2:9" s="4" customFormat="1" ht="25.5">
      <c r="B5" s="5" t="s">
        <v>178</v>
      </c>
      <c r="C5" s="5" t="s">
        <v>176</v>
      </c>
      <c r="D5" s="5" t="s">
        <v>179</v>
      </c>
      <c r="E5" s="5" t="s">
        <v>180</v>
      </c>
      <c r="F5" s="6" t="s">
        <v>17</v>
      </c>
      <c r="G5" s="5" t="s">
        <v>18</v>
      </c>
      <c r="H5" s="5" t="s">
        <v>19</v>
      </c>
      <c r="I5" s="5" t="s">
        <v>177</v>
      </c>
    </row>
    <row r="6" spans="2:9" ht="12.75">
      <c r="B6" s="1"/>
      <c r="C6" s="1"/>
      <c r="D6" s="1"/>
      <c r="E6" s="1"/>
      <c r="F6" s="2"/>
      <c r="G6" s="1"/>
      <c r="H6" s="1"/>
      <c r="I6" s="1"/>
    </row>
    <row r="7" spans="1:9" ht="12.75">
      <c r="A7" t="s">
        <v>3</v>
      </c>
      <c r="B7" s="1">
        <f>'[6]TOU'!$K$125</f>
        <v>146670.47</v>
      </c>
      <c r="C7" s="1"/>
      <c r="D7" s="1"/>
      <c r="E7" s="1">
        <f>'[6]TOU'!$AH$125</f>
        <v>72673.90000000001</v>
      </c>
      <c r="F7" s="2">
        <v>2.0182</v>
      </c>
      <c r="G7" s="1">
        <f>E7*F7</f>
        <v>146670.46498000002</v>
      </c>
      <c r="H7" s="1">
        <f>B7-G7</f>
        <v>0.0050199999823234975</v>
      </c>
      <c r="I7" s="1"/>
    </row>
    <row r="8" spans="2:9" s="7" customFormat="1" ht="12.75">
      <c r="B8" s="8">
        <v>-8207.86</v>
      </c>
      <c r="C8" s="8"/>
      <c r="D8" s="8"/>
      <c r="E8" s="8">
        <f>-8207.86/2.0182</f>
        <v>-4066.9210187295607</v>
      </c>
      <c r="F8" s="9">
        <v>2.0182</v>
      </c>
      <c r="G8" s="8">
        <f>E8*F8</f>
        <v>-8207.86</v>
      </c>
      <c r="H8" s="8">
        <f>B8-G8</f>
        <v>0</v>
      </c>
      <c r="I8" s="8"/>
    </row>
    <row r="9" spans="2:9" s="15" customFormat="1" ht="13.5" thickBot="1">
      <c r="B9" s="16">
        <f>SUM(B7:B8)</f>
        <v>138462.61</v>
      </c>
      <c r="C9" s="16"/>
      <c r="D9" s="16"/>
      <c r="E9" s="16">
        <f>SUM(E7:E8)</f>
        <v>68606.97898127045</v>
      </c>
      <c r="G9" s="16">
        <f>SUM(G7:G8)</f>
        <v>138462.60498</v>
      </c>
      <c r="H9" s="16">
        <f>SUM(H7:H8)</f>
        <v>0.0050199999823234975</v>
      </c>
      <c r="I9" s="16">
        <f>B9</f>
        <v>138462.61</v>
      </c>
    </row>
    <row r="11" spans="1:9" ht="12.75">
      <c r="A11" t="s">
        <v>4</v>
      </c>
      <c r="B11" s="1">
        <f>'[3]TOU'!$K$119</f>
        <v>139934.57</v>
      </c>
      <c r="C11" s="1"/>
      <c r="D11" s="1"/>
      <c r="E11" s="1">
        <f>'[3]TOU'!$AH$119</f>
        <v>69336.33</v>
      </c>
      <c r="F11" s="2">
        <v>2.0182</v>
      </c>
      <c r="G11" s="1">
        <f>E11*F11</f>
        <v>139934.58120600003</v>
      </c>
      <c r="H11" s="1">
        <f>B11-G11</f>
        <v>-0.011206000024685636</v>
      </c>
      <c r="I11" s="1"/>
    </row>
    <row r="12" spans="2:9" s="7" customFormat="1" ht="12.75">
      <c r="B12" s="8"/>
      <c r="C12" s="8"/>
      <c r="D12" s="8"/>
      <c r="E12" s="8"/>
      <c r="F12" s="9">
        <v>2.0182</v>
      </c>
      <c r="G12" s="8">
        <f>E12*F12</f>
        <v>0</v>
      </c>
      <c r="H12" s="8">
        <f>B12-G12</f>
        <v>0</v>
      </c>
      <c r="I12" s="8"/>
    </row>
    <row r="13" spans="2:9" s="15" customFormat="1" ht="13.5" thickBot="1">
      <c r="B13" s="16">
        <f>SUM(B11:B12)</f>
        <v>139934.57</v>
      </c>
      <c r="C13" s="16"/>
      <c r="D13" s="16"/>
      <c r="E13" s="16">
        <f>SUM(E11:E12)</f>
        <v>69336.33</v>
      </c>
      <c r="G13" s="16">
        <f>SUM(G11:G12)</f>
        <v>139934.58120600003</v>
      </c>
      <c r="H13" s="16">
        <f>SUM(H11:H12)</f>
        <v>-0.011206000024685636</v>
      </c>
      <c r="I13" s="16">
        <f>I9+B13</f>
        <v>278397.18</v>
      </c>
    </row>
    <row r="15" spans="1:9" ht="12.75">
      <c r="A15" t="s">
        <v>5</v>
      </c>
      <c r="B15" s="1">
        <f>'[7]jfg0303'!$K$4047</f>
        <v>134821.35999999996</v>
      </c>
      <c r="C15" s="1"/>
      <c r="D15" s="1"/>
      <c r="E15" s="1">
        <f>'[7]jfg0303'!$AH$4047</f>
        <v>66802.76999999999</v>
      </c>
      <c r="F15" s="2">
        <v>2.0182</v>
      </c>
      <c r="G15" s="1">
        <f>E15*F15</f>
        <v>134821.350414</v>
      </c>
      <c r="H15" s="1">
        <f>B15-G15</f>
        <v>0.00958599997102283</v>
      </c>
      <c r="I15" s="1"/>
    </row>
    <row r="16" spans="2:9" ht="12.75">
      <c r="B16" s="1"/>
      <c r="C16" s="1"/>
      <c r="D16" s="1"/>
      <c r="E16" s="1"/>
      <c r="F16" s="2">
        <v>2.0182</v>
      </c>
      <c r="G16" s="1">
        <f>E16*F16</f>
        <v>0</v>
      </c>
      <c r="H16" s="1">
        <f>B16-G16</f>
        <v>0</v>
      </c>
      <c r="I16" s="1"/>
    </row>
    <row r="17" spans="2:9" ht="12.75">
      <c r="B17" s="1"/>
      <c r="C17" s="1"/>
      <c r="D17" s="1"/>
      <c r="E17" s="1"/>
      <c r="F17" s="2">
        <v>2.0182</v>
      </c>
      <c r="G17" s="1">
        <f>E17*F17</f>
        <v>0</v>
      </c>
      <c r="H17" s="1">
        <f>B17-G17</f>
        <v>0</v>
      </c>
      <c r="I17" s="1"/>
    </row>
    <row r="18" spans="2:9" s="7" customFormat="1" ht="12.75">
      <c r="B18" s="8"/>
      <c r="C18" s="8"/>
      <c r="D18" s="8"/>
      <c r="E18" s="8"/>
      <c r="F18" s="9">
        <v>2.0182</v>
      </c>
      <c r="G18" s="8">
        <f>E18*F18</f>
        <v>0</v>
      </c>
      <c r="H18" s="8">
        <f>B18-G18</f>
        <v>0</v>
      </c>
      <c r="I18" s="8"/>
    </row>
    <row r="19" spans="2:9" s="15" customFormat="1" ht="13.5" thickBot="1">
      <c r="B19" s="16">
        <f>SUM(B15:B18)</f>
        <v>134821.35999999996</v>
      </c>
      <c r="C19" s="16"/>
      <c r="D19" s="16"/>
      <c r="E19" s="16">
        <f>SUM(E15:E18)</f>
        <v>66802.76999999999</v>
      </c>
      <c r="G19" s="16">
        <f>SUM(G15:G18)</f>
        <v>134821.350414</v>
      </c>
      <c r="H19" s="16">
        <f>SUM(H15:H18)</f>
        <v>0.00958599997102283</v>
      </c>
      <c r="I19" s="16">
        <f>I13+B19</f>
        <v>413218.5399999999</v>
      </c>
    </row>
    <row r="21" spans="1:9" ht="12.75">
      <c r="A21" t="s">
        <v>6</v>
      </c>
      <c r="B21" s="1">
        <f>'[10]TOU'!$K$128</f>
        <v>146614.9</v>
      </c>
      <c r="C21" s="1"/>
      <c r="D21" s="1"/>
      <c r="E21" s="1">
        <f>'[10]TOU'!$AH$128</f>
        <v>72646.34999999999</v>
      </c>
      <c r="F21" s="2">
        <v>2.0182</v>
      </c>
      <c r="G21" s="1">
        <f>E21*F21</f>
        <v>146614.86357</v>
      </c>
      <c r="H21" s="1">
        <f>B21-G21</f>
        <v>0.03643000000738539</v>
      </c>
      <c r="I21" s="1"/>
    </row>
    <row r="22" spans="2:9" s="7" customFormat="1" ht="12.75">
      <c r="B22" s="8">
        <f>'[10]TOU'!$J$312</f>
        <v>-9102.96</v>
      </c>
      <c r="C22" s="8"/>
      <c r="D22" s="8"/>
      <c r="E22" s="8">
        <f>'[10]TOU'!$Y$312</f>
        <v>-4510.4400000000005</v>
      </c>
      <c r="F22" s="9">
        <v>2.0182</v>
      </c>
      <c r="G22" s="8">
        <f>E22*F22</f>
        <v>-9102.970008000002</v>
      </c>
      <c r="H22" s="8">
        <f>B22-G22</f>
        <v>0.010008000002926565</v>
      </c>
      <c r="I22" s="8"/>
    </row>
    <row r="23" spans="2:9" s="15" customFormat="1" ht="13.5" thickBot="1">
      <c r="B23" s="16">
        <f>SUM(B21:B22)</f>
        <v>137511.94</v>
      </c>
      <c r="C23" s="16"/>
      <c r="D23" s="16"/>
      <c r="E23" s="16">
        <f>SUM(E21:E22)</f>
        <v>68135.90999999999</v>
      </c>
      <c r="G23" s="16">
        <f>SUM(G21:G22)</f>
        <v>137511.89356199998</v>
      </c>
      <c r="H23" s="16">
        <f>SUM(H21:H22)</f>
        <v>0.04643800001031195</v>
      </c>
      <c r="I23" s="16">
        <f>I19+B23</f>
        <v>550730.48</v>
      </c>
    </row>
    <row r="25" spans="1:9" ht="12.75">
      <c r="A25" t="s">
        <v>7</v>
      </c>
      <c r="B25" s="1">
        <f>'[13]TOU'!$K$126</f>
        <v>146356.4</v>
      </c>
      <c r="C25" s="1"/>
      <c r="D25" s="1"/>
      <c r="E25" s="1">
        <f>'[13]TOU'!$AH$126</f>
        <v>72518.28</v>
      </c>
      <c r="F25" s="2">
        <v>2.0182</v>
      </c>
      <c r="G25" s="1">
        <f>E25*F25</f>
        <v>146356.39269600002</v>
      </c>
      <c r="H25" s="1">
        <f>B25-G25</f>
        <v>0.007303999969735742</v>
      </c>
      <c r="I25" s="1"/>
    </row>
    <row r="26" spans="2:9" s="7" customFormat="1" ht="12.75">
      <c r="B26" s="8">
        <f>'[13]TOU'!$J$131</f>
        <v>-2203.81</v>
      </c>
      <c r="C26" s="8"/>
      <c r="D26" s="8"/>
      <c r="E26" s="8">
        <f>'[13]TOU'!$Y$131</f>
        <v>-1091.97</v>
      </c>
      <c r="F26" s="9">
        <v>2.0182</v>
      </c>
      <c r="G26" s="8">
        <f>E26*F26</f>
        <v>-2203.8138540000004</v>
      </c>
      <c r="H26" s="8">
        <f>B26-G26</f>
        <v>0.003854000000501401</v>
      </c>
      <c r="I26" s="8"/>
    </row>
    <row r="27" spans="2:9" s="15" customFormat="1" ht="13.5" thickBot="1">
      <c r="B27" s="16">
        <f>SUM(B25:B26)</f>
        <v>144152.59</v>
      </c>
      <c r="C27" s="16"/>
      <c r="D27" s="16"/>
      <c r="E27" s="16">
        <f>SUM(E25:E26)</f>
        <v>71426.31</v>
      </c>
      <c r="G27" s="16">
        <f>SUM(G25:G26)</f>
        <v>144152.57884200002</v>
      </c>
      <c r="H27" s="16">
        <f>SUM(H25:H26)</f>
        <v>0.011157999970237142</v>
      </c>
      <c r="I27" s="63">
        <f>I23+B27</f>
        <v>694883.07</v>
      </c>
    </row>
    <row r="29" spans="1:9" ht="12.75">
      <c r="A29" t="s">
        <v>8</v>
      </c>
      <c r="B29" s="1">
        <f>'[15]TOU'!$K$114</f>
        <v>141644.13999999996</v>
      </c>
      <c r="C29" s="1"/>
      <c r="D29" s="1"/>
      <c r="E29" s="1">
        <f>'[15]TOU'!$AH$114</f>
        <v>70183.39</v>
      </c>
      <c r="F29" s="2">
        <v>2.0182</v>
      </c>
      <c r="G29" s="1">
        <f>E29*F29</f>
        <v>141644.11769800002</v>
      </c>
      <c r="H29" s="1">
        <f>B29-G29</f>
        <v>0.022301999939372763</v>
      </c>
      <c r="I29" s="1"/>
    </row>
    <row r="30" spans="2:9" s="7" customFormat="1" ht="12.75">
      <c r="B30" s="8"/>
      <c r="C30" s="8"/>
      <c r="D30" s="8"/>
      <c r="E30" s="8"/>
      <c r="F30" s="9">
        <v>2.0182</v>
      </c>
      <c r="G30" s="8">
        <f>E30*F30</f>
        <v>0</v>
      </c>
      <c r="H30" s="8">
        <f>B30-G30</f>
        <v>0</v>
      </c>
      <c r="I30" s="8"/>
    </row>
    <row r="31" spans="2:9" s="15" customFormat="1" ht="13.5" thickBot="1">
      <c r="B31" s="16">
        <f>SUM(B29:B30)</f>
        <v>141644.13999999996</v>
      </c>
      <c r="C31" s="16"/>
      <c r="D31" s="16"/>
      <c r="E31" s="16">
        <f>SUM(E29:E30)</f>
        <v>70183.39</v>
      </c>
      <c r="G31" s="16">
        <f>SUM(G29:G30)</f>
        <v>141644.11769800002</v>
      </c>
      <c r="H31" s="16">
        <f>SUM(H29:H30)</f>
        <v>0.022301999939372763</v>
      </c>
      <c r="I31" s="16">
        <f>I27+B31</f>
        <v>836527.21</v>
      </c>
    </row>
    <row r="33" spans="1:9" ht="12.75">
      <c r="A33" t="s">
        <v>9</v>
      </c>
      <c r="B33" s="1">
        <v>147222.58</v>
      </c>
      <c r="C33" s="1"/>
      <c r="D33" s="1"/>
      <c r="E33" s="1">
        <v>72947.47</v>
      </c>
      <c r="F33" s="2">
        <v>2.0182</v>
      </c>
      <c r="G33" s="1">
        <f>E33*F33</f>
        <v>147222.58395400003</v>
      </c>
      <c r="H33" s="1">
        <f>B33-G33</f>
        <v>-0.003954000043449923</v>
      </c>
      <c r="I33" s="1"/>
    </row>
    <row r="34" spans="2:9" s="7" customFormat="1" ht="12.75">
      <c r="B34" s="8"/>
      <c r="C34" s="8"/>
      <c r="D34" s="8"/>
      <c r="E34" s="8"/>
      <c r="F34" s="9">
        <v>2.0182</v>
      </c>
      <c r="G34" s="8">
        <f>E34*F34</f>
        <v>0</v>
      </c>
      <c r="H34" s="8">
        <f>B34-G34</f>
        <v>0</v>
      </c>
      <c r="I34" s="8"/>
    </row>
    <row r="35" spans="2:9" s="15" customFormat="1" ht="13.5" thickBot="1">
      <c r="B35" s="16">
        <f>SUM(B33:B34)</f>
        <v>147222.58</v>
      </c>
      <c r="C35" s="16"/>
      <c r="D35" s="16"/>
      <c r="E35" s="16">
        <f>SUM(E33:E34)</f>
        <v>72947.47</v>
      </c>
      <c r="G35" s="16">
        <f>SUM(G33:G34)</f>
        <v>147222.58395400003</v>
      </c>
      <c r="H35" s="16">
        <f>SUM(H33:H34)</f>
        <v>-0.003954000043449923</v>
      </c>
      <c r="I35" s="16">
        <f>I31+B35</f>
        <v>983749.7899999999</v>
      </c>
    </row>
    <row r="37" spans="1:9" ht="12.75">
      <c r="A37" t="s">
        <v>10</v>
      </c>
      <c r="B37" s="1">
        <v>150684.81</v>
      </c>
      <c r="C37" s="1"/>
      <c r="D37" s="1"/>
      <c r="E37" s="1">
        <f>+B37/F37</f>
        <v>74662.9719552076</v>
      </c>
      <c r="F37" s="2">
        <v>2.0182</v>
      </c>
      <c r="G37" s="1">
        <f>E37*F37</f>
        <v>150684.81</v>
      </c>
      <c r="H37" s="1">
        <f>B37-G37</f>
        <v>0</v>
      </c>
      <c r="I37" s="1"/>
    </row>
    <row r="38" spans="2:9" s="7" customFormat="1" ht="12.75">
      <c r="B38" s="8"/>
      <c r="C38" s="8"/>
      <c r="D38" s="8"/>
      <c r="E38" s="8"/>
      <c r="F38" s="9">
        <v>2.0182</v>
      </c>
      <c r="G38" s="8">
        <f>E38*F38</f>
        <v>0</v>
      </c>
      <c r="H38" s="8">
        <f>B38-G38</f>
        <v>0</v>
      </c>
      <c r="I38" s="8"/>
    </row>
    <row r="39" spans="2:9" s="15" customFormat="1" ht="13.5" thickBot="1">
      <c r="B39" s="16">
        <f>SUM(B37:B38)</f>
        <v>150684.81</v>
      </c>
      <c r="C39" s="16"/>
      <c r="D39" s="16"/>
      <c r="E39" s="16">
        <f>SUM(E37:E38)</f>
        <v>74662.9719552076</v>
      </c>
      <c r="G39" s="16">
        <f>SUM(G37:G38)</f>
        <v>150684.81</v>
      </c>
      <c r="H39" s="16">
        <f>SUM(H37:H38)</f>
        <v>0</v>
      </c>
      <c r="I39" s="16">
        <f>I35+B39</f>
        <v>1134434.5999999999</v>
      </c>
    </row>
    <row r="41" spans="1:9" ht="12.75">
      <c r="A41" t="s">
        <v>11</v>
      </c>
      <c r="B41" s="1">
        <v>143810.53</v>
      </c>
      <c r="C41" s="1"/>
      <c r="D41" s="1"/>
      <c r="E41" s="1">
        <f>+B41/F41</f>
        <v>71256.82786641561</v>
      </c>
      <c r="F41" s="2">
        <v>2.0182</v>
      </c>
      <c r="G41" s="1">
        <f>E41*F41</f>
        <v>143810.53</v>
      </c>
      <c r="H41" s="1">
        <f>B41-G41</f>
        <v>0</v>
      </c>
      <c r="I41" s="1"/>
    </row>
    <row r="42" spans="2:9" s="7" customFormat="1" ht="12.75">
      <c r="B42" s="8"/>
      <c r="C42" s="8"/>
      <c r="D42" s="8"/>
      <c r="E42" s="8"/>
      <c r="F42" s="9">
        <v>2.0182</v>
      </c>
      <c r="G42" s="8">
        <f>E42*F42</f>
        <v>0</v>
      </c>
      <c r="H42" s="8">
        <f>B42-G42</f>
        <v>0</v>
      </c>
      <c r="I42" s="8"/>
    </row>
    <row r="43" spans="2:9" s="15" customFormat="1" ht="13.5" thickBot="1">
      <c r="B43" s="16">
        <f>SUM(B41:B42)</f>
        <v>143810.53</v>
      </c>
      <c r="C43" s="16"/>
      <c r="D43" s="16"/>
      <c r="E43" s="16">
        <f>SUM(E41:E42)</f>
        <v>71256.82786641561</v>
      </c>
      <c r="G43" s="16">
        <f>SUM(G41:G42)</f>
        <v>143810.53</v>
      </c>
      <c r="H43" s="16">
        <f>SUM(H41:H42)</f>
        <v>0</v>
      </c>
      <c r="I43" s="16">
        <f>I39+B43</f>
        <v>1278245.13</v>
      </c>
    </row>
    <row r="45" spans="1:9" ht="12.75">
      <c r="A45" t="s">
        <v>12</v>
      </c>
      <c r="B45" s="1">
        <v>158025.38</v>
      </c>
      <c r="C45" s="1"/>
      <c r="D45" s="1"/>
      <c r="E45" s="1">
        <f>+B45/F45</f>
        <v>78300.15855713011</v>
      </c>
      <c r="F45" s="2">
        <v>2.0182</v>
      </c>
      <c r="G45" s="1">
        <f>E45*F45</f>
        <v>158025.38</v>
      </c>
      <c r="H45" s="1">
        <f>B45-G45</f>
        <v>0</v>
      </c>
      <c r="I45" s="1"/>
    </row>
    <row r="46" spans="2:9" s="7" customFormat="1" ht="12.75">
      <c r="B46" s="8">
        <v>-10634.9</v>
      </c>
      <c r="C46" s="8"/>
      <c r="D46" s="8"/>
      <c r="E46" s="1">
        <f>+B46/F46</f>
        <v>-5269.497572093945</v>
      </c>
      <c r="F46" s="9">
        <v>2.0182</v>
      </c>
      <c r="G46" s="8">
        <f>E46*F46</f>
        <v>-10634.9</v>
      </c>
      <c r="H46" s="8">
        <f>B46-G46</f>
        <v>0</v>
      </c>
      <c r="I46" s="8"/>
    </row>
    <row r="47" spans="2:9" s="15" customFormat="1" ht="13.5" thickBot="1">
      <c r="B47" s="16">
        <f>SUM(B45:B46)</f>
        <v>147390.48</v>
      </c>
      <c r="C47" s="16"/>
      <c r="D47" s="16"/>
      <c r="E47" s="16">
        <f>SUM(E45:E46)</f>
        <v>73030.66098503617</v>
      </c>
      <c r="G47" s="16">
        <f>SUM(G45:G46)</f>
        <v>147390.48</v>
      </c>
      <c r="H47" s="16">
        <f>SUM(H45:H46)</f>
        <v>0</v>
      </c>
      <c r="I47" s="16">
        <f>I43+B47</f>
        <v>1425635.6099999999</v>
      </c>
    </row>
    <row r="49" spans="1:9" ht="12.75">
      <c r="A49" t="s">
        <v>13</v>
      </c>
      <c r="B49" s="1">
        <v>143113.48</v>
      </c>
      <c r="C49" s="1"/>
      <c r="D49" s="1"/>
      <c r="E49" s="1">
        <f>+B49/F49</f>
        <v>70911.44584283025</v>
      </c>
      <c r="F49" s="2">
        <v>2.0182</v>
      </c>
      <c r="G49" s="1">
        <f>E49*F49</f>
        <v>143113.48</v>
      </c>
      <c r="H49" s="1">
        <f>B49-G49</f>
        <v>0</v>
      </c>
      <c r="I49" s="1"/>
    </row>
    <row r="50" spans="2:9" s="7" customFormat="1" ht="12.75">
      <c r="B50" s="8"/>
      <c r="C50" s="8"/>
      <c r="D50" s="8"/>
      <c r="E50" s="8"/>
      <c r="F50" s="9">
        <v>2.0182</v>
      </c>
      <c r="G50" s="8">
        <f>E50*F50</f>
        <v>0</v>
      </c>
      <c r="H50" s="8">
        <f>B50-G50</f>
        <v>0</v>
      </c>
      <c r="I50" s="8"/>
    </row>
    <row r="51" spans="2:9" s="15" customFormat="1" ht="13.5" thickBot="1">
      <c r="B51" s="16">
        <f>SUM(B49:B50)</f>
        <v>143113.48</v>
      </c>
      <c r="C51" s="16"/>
      <c r="D51" s="16"/>
      <c r="E51" s="16">
        <f>SUM(E49:E50)</f>
        <v>70911.44584283025</v>
      </c>
      <c r="G51" s="16">
        <f>SUM(G49:G50)</f>
        <v>143113.48</v>
      </c>
      <c r="H51" s="16">
        <f>SUM(H49:H50)</f>
        <v>0</v>
      </c>
      <c r="I51" s="16">
        <f>I47+B51</f>
        <v>1568749.0899999999</v>
      </c>
    </row>
    <row r="53" spans="1:9" ht="12.75">
      <c r="A53" t="s">
        <v>14</v>
      </c>
      <c r="B53" s="1">
        <v>140051.43</v>
      </c>
      <c r="C53" s="1"/>
      <c r="D53" s="1"/>
      <c r="E53" s="1">
        <f>+B53/F53</f>
        <v>69394.22752948171</v>
      </c>
      <c r="F53" s="2">
        <v>2.0182</v>
      </c>
      <c r="G53" s="1">
        <f>E53*F53</f>
        <v>140051.43</v>
      </c>
      <c r="H53" s="1">
        <f>B53-G53</f>
        <v>0</v>
      </c>
      <c r="I53" s="1"/>
    </row>
    <row r="54" spans="2:9" s="7" customFormat="1" ht="12.75">
      <c r="B54" s="8"/>
      <c r="C54" s="8"/>
      <c r="D54" s="8"/>
      <c r="E54" s="8"/>
      <c r="F54" s="9">
        <v>2.0182</v>
      </c>
      <c r="G54" s="8">
        <f>E54*F54</f>
        <v>0</v>
      </c>
      <c r="H54" s="8">
        <f>B54-G54</f>
        <v>0</v>
      </c>
      <c r="I54" s="8"/>
    </row>
    <row r="55" spans="2:9" s="15" customFormat="1" ht="13.5" thickBot="1">
      <c r="B55" s="16">
        <f>SUM(B53:B54)</f>
        <v>140051.43</v>
      </c>
      <c r="C55" s="16"/>
      <c r="D55" s="16"/>
      <c r="E55" s="16">
        <f>SUM(E53:E54)</f>
        <v>69394.22752948171</v>
      </c>
      <c r="G55" s="16">
        <f>SUM(G53:G54)</f>
        <v>140051.43</v>
      </c>
      <c r="H55" s="16">
        <f>SUM(H53:H54)</f>
        <v>0</v>
      </c>
      <c r="I55" s="16">
        <f>I51+B55</f>
        <v>1708800.5199999998</v>
      </c>
    </row>
    <row r="56" spans="3:9" ht="12.75">
      <c r="C56" s="78"/>
      <c r="I56" s="232" t="s">
        <v>221</v>
      </c>
    </row>
    <row r="57" spans="3:9" ht="12.75">
      <c r="C57" s="78"/>
      <c r="E57" s="3">
        <f>+E9+E13+E19+E23+E27+E31+E35+E39+E43+E47+E51+E55</f>
        <v>846695.2931602419</v>
      </c>
      <c r="I57" s="1"/>
    </row>
    <row r="58" spans="3:9" ht="12.75">
      <c r="C58" s="78"/>
      <c r="I58" s="3"/>
    </row>
    <row r="59" ht="12.75">
      <c r="C59" s="78"/>
    </row>
    <row r="60" ht="12.75">
      <c r="C60" s="78"/>
    </row>
    <row r="61" ht="12.75">
      <c r="C61" s="78"/>
    </row>
    <row r="69" spans="1:9" ht="12.75">
      <c r="A69" t="s">
        <v>34</v>
      </c>
      <c r="B69" s="1"/>
      <c r="C69" s="1"/>
      <c r="D69" s="1"/>
      <c r="E69" s="1"/>
      <c r="F69" s="2"/>
      <c r="G69" s="1"/>
      <c r="H69" s="1"/>
      <c r="I69" s="1"/>
    </row>
    <row r="70" spans="1:9" ht="12.75">
      <c r="A70" t="s">
        <v>53</v>
      </c>
      <c r="B70" s="1"/>
      <c r="C70" s="1"/>
      <c r="D70" s="1"/>
      <c r="E70" s="1"/>
      <c r="F70" s="2"/>
      <c r="G70" s="1"/>
      <c r="H70" s="1"/>
      <c r="I70" s="1"/>
    </row>
    <row r="71" spans="1:9" ht="12.75">
      <c r="A71" t="s">
        <v>35</v>
      </c>
      <c r="B71" s="1"/>
      <c r="C71" s="1"/>
      <c r="D71" s="1"/>
      <c r="E71" s="1"/>
      <c r="F71" s="2"/>
      <c r="G71" s="1"/>
      <c r="H71" s="1"/>
      <c r="I71" s="1"/>
    </row>
    <row r="72" spans="1:9" ht="12.75">
      <c r="A72" t="s">
        <v>36</v>
      </c>
      <c r="B72" s="1"/>
      <c r="C72" s="1"/>
      <c r="D72" s="1"/>
      <c r="E72" s="1"/>
      <c r="F72" s="2"/>
      <c r="G72" s="1"/>
      <c r="H72" s="1"/>
      <c r="I72" s="1"/>
    </row>
    <row r="73" spans="2:9" ht="12.75">
      <c r="B73" s="1"/>
      <c r="C73" s="1"/>
      <c r="D73" s="1"/>
      <c r="E73" s="1"/>
      <c r="F73" s="2"/>
      <c r="G73" s="1"/>
      <c r="H73" s="1"/>
      <c r="I73" s="1"/>
    </row>
    <row r="74" spans="2:9" s="4" customFormat="1" ht="25.5">
      <c r="B74" s="5" t="s">
        <v>15</v>
      </c>
      <c r="C74" s="5" t="s">
        <v>16</v>
      </c>
      <c r="D74" s="5" t="s">
        <v>25</v>
      </c>
      <c r="E74" s="5" t="s">
        <v>24</v>
      </c>
      <c r="F74" s="6" t="s">
        <v>17</v>
      </c>
      <c r="G74" s="5" t="s">
        <v>18</v>
      </c>
      <c r="H74" s="5" t="s">
        <v>19</v>
      </c>
      <c r="I74" s="5" t="s">
        <v>20</v>
      </c>
    </row>
    <row r="75" spans="2:9" s="4" customFormat="1" ht="12.75">
      <c r="B75" s="5"/>
      <c r="C75" s="5"/>
      <c r="D75" s="5"/>
      <c r="E75" s="5"/>
      <c r="F75" s="6"/>
      <c r="G75" s="5"/>
      <c r="H75" s="5"/>
      <c r="I75" s="5"/>
    </row>
    <row r="76" spans="1:9" ht="12.75">
      <c r="A76" t="s">
        <v>3</v>
      </c>
      <c r="B76" s="1">
        <f>'[6]TOU'!$K$211</f>
        <v>161607.79</v>
      </c>
      <c r="C76" s="1">
        <f>'[6]TOU'!$AE$211</f>
        <v>30117354.779999994</v>
      </c>
      <c r="D76" s="1">
        <f>'[6]TOU'!$AE$168</f>
        <v>961065.5800000001</v>
      </c>
      <c r="E76" s="1"/>
      <c r="F76" s="2">
        <v>0.0052</v>
      </c>
      <c r="G76" s="1">
        <f>(C76+D76)*F76</f>
        <v>161607.78587199995</v>
      </c>
      <c r="H76" s="1">
        <f>B76-G76</f>
        <v>0.004128000058699399</v>
      </c>
      <c r="I76" s="1"/>
    </row>
    <row r="77" spans="2:9" ht="12.75">
      <c r="B77" s="1"/>
      <c r="C77" s="1"/>
      <c r="D77" s="1"/>
      <c r="E77" s="1"/>
      <c r="F77" s="2">
        <v>0.0052</v>
      </c>
      <c r="G77" s="1">
        <f>(C77+D77)*F77</f>
        <v>0</v>
      </c>
      <c r="H77" s="1">
        <f>B77-G77</f>
        <v>0</v>
      </c>
      <c r="I77" s="1"/>
    </row>
    <row r="78" spans="2:9" ht="12.75">
      <c r="B78" s="1"/>
      <c r="C78" s="1"/>
      <c r="D78" s="1"/>
      <c r="E78" s="1"/>
      <c r="F78" s="2">
        <f>F76</f>
        <v>0.0052</v>
      </c>
      <c r="G78" s="1">
        <f>(C78+D78)*F78</f>
        <v>0</v>
      </c>
      <c r="H78" s="1">
        <f>B78-G78</f>
        <v>0</v>
      </c>
      <c r="I78" s="1"/>
    </row>
    <row r="79" spans="2:9" s="7" customFormat="1" ht="12.75">
      <c r="B79" s="8"/>
      <c r="C79" s="8"/>
      <c r="D79" s="8"/>
      <c r="E79" s="8"/>
      <c r="F79" s="9">
        <f>F77</f>
        <v>0.0052</v>
      </c>
      <c r="G79" s="8">
        <f>(C79+D79)*F79</f>
        <v>0</v>
      </c>
      <c r="H79" s="8">
        <f>B79-G79</f>
        <v>0</v>
      </c>
      <c r="I79" s="8"/>
    </row>
    <row r="80" spans="2:9" s="16" customFormat="1" ht="13.5" thickBot="1">
      <c r="B80" s="16">
        <f>SUM(B76:B79)</f>
        <v>161607.79</v>
      </c>
      <c r="C80" s="16">
        <f>SUM(C76:C79)</f>
        <v>30117354.779999994</v>
      </c>
      <c r="D80" s="16">
        <f>SUM(D76:D79)</f>
        <v>961065.5800000001</v>
      </c>
      <c r="E80" s="16">
        <f>SUM(E76:E79)</f>
        <v>0</v>
      </c>
      <c r="G80" s="16">
        <f>SUM(G76:G79)</f>
        <v>161607.78587199995</v>
      </c>
      <c r="H80" s="16">
        <f>SUM(H76:H79)</f>
        <v>0.004128000058699399</v>
      </c>
      <c r="I80" s="16">
        <f>B80</f>
        <v>161607.79</v>
      </c>
    </row>
    <row r="81" spans="2:9" ht="12.75">
      <c r="B81" s="1"/>
      <c r="C81" s="1"/>
      <c r="D81" s="1"/>
      <c r="E81" s="1"/>
      <c r="G81" s="1"/>
      <c r="H81" s="1"/>
      <c r="I81" s="1"/>
    </row>
    <row r="82" spans="1:9" ht="12.75">
      <c r="A82" t="s">
        <v>4</v>
      </c>
      <c r="B82" s="1">
        <f>'[3]TOU'!$K$201</f>
        <v>172562.25</v>
      </c>
      <c r="C82" s="1">
        <f>'[3]TOU'!$AE$201</f>
        <v>32158865.529999997</v>
      </c>
      <c r="D82" s="1">
        <f>'[3]TOU'!$AE$160</f>
        <v>1026180.3200000001</v>
      </c>
      <c r="E82" s="1"/>
      <c r="F82" s="2">
        <v>0.0052</v>
      </c>
      <c r="G82" s="1">
        <f>(C82+D82)*F82</f>
        <v>172562.23841999998</v>
      </c>
      <c r="H82" s="1">
        <f>B82-G82</f>
        <v>0.011580000020330772</v>
      </c>
      <c r="I82" s="1"/>
    </row>
    <row r="83" spans="2:9" ht="12.75">
      <c r="B83" s="1"/>
      <c r="C83" s="1"/>
      <c r="D83" s="1"/>
      <c r="E83" s="1"/>
      <c r="F83" s="2">
        <v>0.0052</v>
      </c>
      <c r="G83" s="1">
        <f>(C83+D83)*F83</f>
        <v>0</v>
      </c>
      <c r="H83" s="1">
        <f>B83-G83</f>
        <v>0</v>
      </c>
      <c r="I83" s="1"/>
    </row>
    <row r="84" spans="2:9" ht="12.75">
      <c r="B84" s="1"/>
      <c r="C84" s="1"/>
      <c r="D84" s="1"/>
      <c r="E84" s="1"/>
      <c r="F84" s="2">
        <f>F82</f>
        <v>0.0052</v>
      </c>
      <c r="G84" s="1">
        <f>(C84+D84)*F84</f>
        <v>0</v>
      </c>
      <c r="H84" s="1">
        <f>B84-G84</f>
        <v>0</v>
      </c>
      <c r="I84" s="1"/>
    </row>
    <row r="85" spans="2:9" s="7" customFormat="1" ht="12.75">
      <c r="B85" s="8"/>
      <c r="C85" s="8"/>
      <c r="D85" s="8"/>
      <c r="E85" s="8"/>
      <c r="F85" s="9">
        <f>F83</f>
        <v>0.0052</v>
      </c>
      <c r="G85" s="8">
        <f>(C85+D85)*F85</f>
        <v>0</v>
      </c>
      <c r="H85" s="8">
        <f>B85-G85</f>
        <v>0</v>
      </c>
      <c r="I85" s="8"/>
    </row>
    <row r="86" spans="2:9" s="16" customFormat="1" ht="13.5" thickBot="1">
      <c r="B86" s="16">
        <f>SUM(B82:B85)</f>
        <v>172562.25</v>
      </c>
      <c r="C86" s="16">
        <f>SUM(C82:C85)</f>
        <v>32158865.529999997</v>
      </c>
      <c r="D86" s="16">
        <f>SUM(D82:D85)</f>
        <v>1026180.3200000001</v>
      </c>
      <c r="E86" s="16">
        <f>SUM(E82:E85)</f>
        <v>0</v>
      </c>
      <c r="G86" s="16">
        <f>SUM(G82:G85)</f>
        <v>172562.23841999998</v>
      </c>
      <c r="H86" s="16">
        <f>SUM(H82:H85)</f>
        <v>0.011580000020330772</v>
      </c>
      <c r="I86" s="16">
        <f>I80+B86</f>
        <v>334170.04000000004</v>
      </c>
    </row>
    <row r="87" spans="2:9" ht="12.75">
      <c r="B87" s="1"/>
      <c r="C87" s="1"/>
      <c r="D87" s="1"/>
      <c r="E87" s="1"/>
      <c r="G87" s="1"/>
      <c r="H87" s="1"/>
      <c r="I87" s="1"/>
    </row>
    <row r="88" spans="1:9" ht="12.75">
      <c r="A88" t="s">
        <v>5</v>
      </c>
      <c r="B88" s="1">
        <f>'[7]jfg0303'!$K$11131</f>
        <v>158594.73</v>
      </c>
      <c r="C88" s="1">
        <f>'[7]jfg0303'!$AE$11131</f>
        <v>29555875.2</v>
      </c>
      <c r="D88" s="1">
        <f>'[7]jfg0303'!$AE$11092</f>
        <v>943114.64</v>
      </c>
      <c r="E88" s="1"/>
      <c r="F88" s="2">
        <v>0.0052</v>
      </c>
      <c r="G88" s="1">
        <f>(C88+D88)*F88</f>
        <v>158594.747168</v>
      </c>
      <c r="H88" s="1">
        <f>B88-G88</f>
        <v>-0.017167999991215765</v>
      </c>
      <c r="I88" s="1"/>
    </row>
    <row r="89" spans="2:9" ht="12.75">
      <c r="B89" s="1"/>
      <c r="C89" s="1"/>
      <c r="D89" s="1"/>
      <c r="E89" s="1"/>
      <c r="F89" s="2">
        <v>0.0052</v>
      </c>
      <c r="G89" s="1">
        <f>(C89+D89)*F89</f>
        <v>0</v>
      </c>
      <c r="H89" s="1">
        <f>B89-G89</f>
        <v>0</v>
      </c>
      <c r="I89" s="1"/>
    </row>
    <row r="90" spans="2:9" ht="12.75">
      <c r="B90" s="1"/>
      <c r="C90" s="1"/>
      <c r="D90" s="1"/>
      <c r="E90" s="1"/>
      <c r="F90" s="2">
        <f>F88</f>
        <v>0.0052</v>
      </c>
      <c r="G90" s="1">
        <f>(C90+D90)*F90</f>
        <v>0</v>
      </c>
      <c r="H90" s="1">
        <f>B90-G90</f>
        <v>0</v>
      </c>
      <c r="I90" s="1"/>
    </row>
    <row r="91" spans="2:9" s="7" customFormat="1" ht="12.75">
      <c r="B91" s="8"/>
      <c r="C91" s="8"/>
      <c r="D91" s="8"/>
      <c r="E91" s="8"/>
      <c r="F91" s="9">
        <f>F89</f>
        <v>0.0052</v>
      </c>
      <c r="G91" s="8">
        <f>(C91+D91)*F91</f>
        <v>0</v>
      </c>
      <c r="H91" s="8">
        <f>B91-G91</f>
        <v>0</v>
      </c>
      <c r="I91" s="8"/>
    </row>
    <row r="92" spans="2:9" s="16" customFormat="1" ht="13.5" thickBot="1">
      <c r="B92" s="16">
        <f>SUM(B88:B91)</f>
        <v>158594.73</v>
      </c>
      <c r="C92" s="16">
        <f>SUM(C88:C91)</f>
        <v>29555875.2</v>
      </c>
      <c r="D92" s="16">
        <f>SUM(D88:D91)</f>
        <v>943114.64</v>
      </c>
      <c r="E92" s="16">
        <f>SUM(E88:E91)</f>
        <v>0</v>
      </c>
      <c r="G92" s="16">
        <f>SUM(G88:G91)</f>
        <v>158594.747168</v>
      </c>
      <c r="H92" s="16">
        <f>SUM(H88:H91)</f>
        <v>-0.017167999991215765</v>
      </c>
      <c r="I92" s="16">
        <f>I86+B92</f>
        <v>492764.77</v>
      </c>
    </row>
    <row r="93" spans="2:9" ht="12.75">
      <c r="B93" s="1"/>
      <c r="C93" s="1"/>
      <c r="D93" s="1"/>
      <c r="E93" s="1"/>
      <c r="G93" s="1"/>
      <c r="H93" s="1"/>
      <c r="I93" s="1"/>
    </row>
    <row r="94" spans="1:9" ht="12.75">
      <c r="A94" t="s">
        <v>6</v>
      </c>
      <c r="B94" s="1">
        <f>'[10]TOU'!$K$216</f>
        <v>189154.71000000002</v>
      </c>
      <c r="C94" s="1">
        <f>'[10]TOU'!$AE$216</f>
        <v>35251030.39</v>
      </c>
      <c r="D94" s="1">
        <f>'[10]TOU'!$AE$172</f>
        <v>1124874.33</v>
      </c>
      <c r="E94" s="1"/>
      <c r="F94" s="2">
        <v>0.0052</v>
      </c>
      <c r="G94" s="1">
        <f>(C94+D94)*F94</f>
        <v>189154.70454399998</v>
      </c>
      <c r="H94" s="1">
        <f>B94-G94</f>
        <v>0.005456000042613596</v>
      </c>
      <c r="I94" s="1"/>
    </row>
    <row r="95" spans="2:9" ht="12.75">
      <c r="B95" s="1">
        <f>'[10]TOU'!$J$326</f>
        <v>-14138.36</v>
      </c>
      <c r="C95" s="1">
        <f>'[10]TOU'!$K$326</f>
        <v>-2634816.69</v>
      </c>
      <c r="D95" s="1">
        <f>'[10]TOU'!$K$319</f>
        <v>-84101.2</v>
      </c>
      <c r="E95" s="1"/>
      <c r="F95" s="2">
        <v>0.0052</v>
      </c>
      <c r="G95" s="1">
        <f>(C95+D95)*F95</f>
        <v>-14138.373028</v>
      </c>
      <c r="H95" s="1">
        <f>B95-G95</f>
        <v>0.013027999999394524</v>
      </c>
      <c r="I95" s="1"/>
    </row>
    <row r="96" spans="2:9" ht="12.75">
      <c r="B96" s="1"/>
      <c r="C96" s="1"/>
      <c r="D96" s="1"/>
      <c r="E96" s="1"/>
      <c r="F96" s="2">
        <f>F94</f>
        <v>0.0052</v>
      </c>
      <c r="G96" s="1">
        <f>(C96+D96)*F96</f>
        <v>0</v>
      </c>
      <c r="H96" s="1">
        <f>B96-G96</f>
        <v>0</v>
      </c>
      <c r="I96" s="1"/>
    </row>
    <row r="97" spans="2:9" s="7" customFormat="1" ht="12.75">
      <c r="B97" s="8"/>
      <c r="C97" s="8"/>
      <c r="D97" s="8"/>
      <c r="E97" s="8"/>
      <c r="F97" s="9">
        <f>F95</f>
        <v>0.0052</v>
      </c>
      <c r="G97" s="8">
        <f>(C97+D97)*F97</f>
        <v>0</v>
      </c>
      <c r="H97" s="8">
        <f>B97-G97</f>
        <v>0</v>
      </c>
      <c r="I97" s="8"/>
    </row>
    <row r="98" spans="2:9" s="16" customFormat="1" ht="13.5" thickBot="1">
      <c r="B98" s="16">
        <f>SUM(B94:B97)</f>
        <v>175016.35000000003</v>
      </c>
      <c r="C98" s="16">
        <f>SUM(C94:C97)</f>
        <v>32616213.7</v>
      </c>
      <c r="D98" s="16">
        <f>SUM(D94:D97)</f>
        <v>1040773.1300000001</v>
      </c>
      <c r="E98" s="16">
        <f>SUM(E94:E97)</f>
        <v>0</v>
      </c>
      <c r="G98" s="16">
        <f>SUM(G94:G97)</f>
        <v>175016.33151599998</v>
      </c>
      <c r="H98" s="16">
        <f>SUM(H94:H97)</f>
        <v>0.01848400004200812</v>
      </c>
      <c r="I98" s="16">
        <f>I92+B98</f>
        <v>667781.1200000001</v>
      </c>
    </row>
    <row r="99" spans="2:9" ht="12.75">
      <c r="B99" s="1"/>
      <c r="C99" s="1"/>
      <c r="D99" s="1"/>
      <c r="E99" s="1"/>
      <c r="F99" s="2"/>
      <c r="G99" s="1"/>
      <c r="H99" s="1"/>
      <c r="I99" s="1"/>
    </row>
    <row r="100" spans="1:9" ht="12.75">
      <c r="A100" t="s">
        <v>7</v>
      </c>
      <c r="B100" s="1">
        <f>'[13]TOU'!$K$218</f>
        <v>178438.52999999997</v>
      </c>
      <c r="C100" s="1">
        <f>'[13]TOU'!$AE$218</f>
        <v>33253962.8</v>
      </c>
      <c r="D100" s="1">
        <f>'[13]TOU'!$AE$176</f>
        <v>1061139.1</v>
      </c>
      <c r="E100" s="1"/>
      <c r="F100" s="2">
        <v>0.0052</v>
      </c>
      <c r="G100" s="1">
        <f>(C100+D100)*F100</f>
        <v>178438.52988</v>
      </c>
      <c r="H100" s="1">
        <f>B100-G100</f>
        <v>0.00011999998241662979</v>
      </c>
      <c r="I100" s="1"/>
    </row>
    <row r="101" spans="2:9" ht="12.75">
      <c r="B101" s="1">
        <f>'[13]TOU'!$J$228</f>
        <v>-3468.22</v>
      </c>
      <c r="C101" s="1">
        <f>'[13]TOU'!$K$223</f>
        <v>-646338.02</v>
      </c>
      <c r="D101" s="1">
        <f>'[13]TOU'!$K$228</f>
        <v>-20629.5</v>
      </c>
      <c r="E101" s="1"/>
      <c r="F101" s="2">
        <v>0.0052</v>
      </c>
      <c r="G101" s="1">
        <f>(C101+D101)*F101</f>
        <v>-3468.231104</v>
      </c>
      <c r="H101" s="1">
        <f>B101-G101</f>
        <v>0.01110400000015943</v>
      </c>
      <c r="I101" s="1"/>
    </row>
    <row r="102" spans="2:9" ht="12.75">
      <c r="B102" s="1"/>
      <c r="C102" s="1"/>
      <c r="D102" s="1"/>
      <c r="E102" s="1"/>
      <c r="F102" s="2">
        <f>F100</f>
        <v>0.0052</v>
      </c>
      <c r="G102" s="1">
        <f>(C102+D102)*F102</f>
        <v>0</v>
      </c>
      <c r="H102" s="1">
        <f>B102-G102</f>
        <v>0</v>
      </c>
      <c r="I102" s="1"/>
    </row>
    <row r="103" spans="2:9" s="7" customFormat="1" ht="12.75">
      <c r="B103" s="8"/>
      <c r="C103" s="8"/>
      <c r="D103" s="8"/>
      <c r="E103" s="8"/>
      <c r="F103" s="9">
        <f>F101</f>
        <v>0.0052</v>
      </c>
      <c r="G103" s="8">
        <f>(C103+D103)*F103</f>
        <v>0</v>
      </c>
      <c r="H103" s="8">
        <f>B103-G103</f>
        <v>0</v>
      </c>
      <c r="I103" s="8"/>
    </row>
    <row r="104" spans="2:9" s="16" customFormat="1" ht="13.5" thickBot="1">
      <c r="B104" s="16">
        <f>SUM(B100:B103)</f>
        <v>174970.30999999997</v>
      </c>
      <c r="C104" s="16">
        <f>SUM(C100:C103)</f>
        <v>32607624.78</v>
      </c>
      <c r="D104" s="16">
        <f>SUM(D100:D103)</f>
        <v>1040509.6000000001</v>
      </c>
      <c r="E104" s="16">
        <f>SUM(E100:E103)</f>
        <v>0</v>
      </c>
      <c r="G104" s="16">
        <f>SUM(G100:G103)</f>
        <v>174970.29877599998</v>
      </c>
      <c r="H104" s="16">
        <f>SUM(H100:H103)</f>
        <v>0.01122399998257606</v>
      </c>
      <c r="I104" s="16">
        <f>B104</f>
        <v>174970.30999999997</v>
      </c>
    </row>
    <row r="105" spans="2:9" ht="12.75">
      <c r="B105" s="1"/>
      <c r="C105" s="1"/>
      <c r="D105" s="1"/>
      <c r="E105" s="1"/>
      <c r="G105" s="1"/>
      <c r="H105" s="1"/>
      <c r="I105" s="1"/>
    </row>
    <row r="106" spans="1:9" ht="12.75">
      <c r="A106" t="s">
        <v>8</v>
      </c>
      <c r="B106" s="1">
        <f>'[15]TOU'!$K$197</f>
        <v>175141.06000000003</v>
      </c>
      <c r="C106" s="1">
        <f>'[15]TOU'!$AE$197</f>
        <v>32639469.390000004</v>
      </c>
      <c r="D106" s="1">
        <f>'[15]TOU'!$AE$158</f>
        <v>1041511.8300000002</v>
      </c>
      <c r="E106" s="1"/>
      <c r="F106" s="2">
        <v>0.0052</v>
      </c>
      <c r="G106" s="1">
        <f>(C106+D106)*F106</f>
        <v>175141.102344</v>
      </c>
      <c r="H106" s="1">
        <f>B106-G106</f>
        <v>-0.04234399998676963</v>
      </c>
      <c r="I106" s="1"/>
    </row>
    <row r="107" spans="2:9" ht="12.75">
      <c r="B107" s="1"/>
      <c r="C107" s="1"/>
      <c r="D107" s="1"/>
      <c r="E107" s="1"/>
      <c r="F107" s="2">
        <v>0.0052</v>
      </c>
      <c r="G107" s="1">
        <f>(C107+D107)*F107</f>
        <v>0</v>
      </c>
      <c r="H107" s="1">
        <f>B107-G107</f>
        <v>0</v>
      </c>
      <c r="I107" s="1"/>
    </row>
    <row r="108" spans="2:9" ht="12.75">
      <c r="B108" s="1"/>
      <c r="C108" s="1"/>
      <c r="D108" s="1"/>
      <c r="E108" s="1"/>
      <c r="F108" s="2">
        <f>F106</f>
        <v>0.0052</v>
      </c>
      <c r="G108" s="1">
        <f>(C108+D108)*F108</f>
        <v>0</v>
      </c>
      <c r="H108" s="1">
        <f>B108-G108</f>
        <v>0</v>
      </c>
      <c r="I108" s="1"/>
    </row>
    <row r="109" spans="2:9" s="7" customFormat="1" ht="12.75">
      <c r="B109" s="8"/>
      <c r="C109" s="8"/>
      <c r="D109" s="8"/>
      <c r="E109" s="8"/>
      <c r="F109" s="9">
        <f>F107</f>
        <v>0.0052</v>
      </c>
      <c r="G109" s="8">
        <f>(C109+D109)*F109</f>
        <v>0</v>
      </c>
      <c r="H109" s="8">
        <f>B109-G109</f>
        <v>0</v>
      </c>
      <c r="I109" s="8"/>
    </row>
    <row r="110" spans="2:9" s="16" customFormat="1" ht="13.5" thickBot="1">
      <c r="B110" s="16">
        <f>SUM(B106:B109)</f>
        <v>175141.06000000003</v>
      </c>
      <c r="C110" s="16">
        <f>SUM(C106:C109)</f>
        <v>32639469.390000004</v>
      </c>
      <c r="D110" s="16">
        <f>SUM(D106:D109)</f>
        <v>1041511.8300000002</v>
      </c>
      <c r="E110" s="16">
        <f>SUM(E106:E109)</f>
        <v>0</v>
      </c>
      <c r="G110" s="16">
        <f>SUM(G106:G109)</f>
        <v>175141.102344</v>
      </c>
      <c r="H110" s="16">
        <f>SUM(H106:H109)</f>
        <v>-0.04234399998676963</v>
      </c>
      <c r="I110" s="16">
        <f>I104+B110</f>
        <v>350111.37</v>
      </c>
    </row>
    <row r="111" spans="2:9" ht="12.75">
      <c r="B111" s="1"/>
      <c r="C111" s="1"/>
      <c r="D111" s="1"/>
      <c r="E111" s="1"/>
      <c r="G111" s="1"/>
      <c r="H111" s="1"/>
      <c r="I111" s="1"/>
    </row>
    <row r="112" spans="1:9" ht="12.75">
      <c r="A112" t="s">
        <v>9</v>
      </c>
      <c r="B112" s="1">
        <v>173670.14</v>
      </c>
      <c r="C112" s="1">
        <v>32365328.59</v>
      </c>
      <c r="D112" s="1">
        <v>1032771.73</v>
      </c>
      <c r="E112" s="1"/>
      <c r="F112" s="2">
        <v>0.0052</v>
      </c>
      <c r="G112" s="1">
        <f>(C112+D112)*F112</f>
        <v>173670.121664</v>
      </c>
      <c r="H112" s="1">
        <f>B112-G112</f>
        <v>0.018336000008275732</v>
      </c>
      <c r="I112" s="1"/>
    </row>
    <row r="113" spans="2:9" ht="12.75">
      <c r="B113" s="1"/>
      <c r="C113" s="1"/>
      <c r="D113" s="1"/>
      <c r="E113" s="1"/>
      <c r="F113" s="2">
        <v>0.0052</v>
      </c>
      <c r="G113" s="1">
        <f>(C113+D113)*F113</f>
        <v>0</v>
      </c>
      <c r="H113" s="1">
        <f>B113-G113</f>
        <v>0</v>
      </c>
      <c r="I113" s="1"/>
    </row>
    <row r="114" spans="2:9" ht="12.75">
      <c r="B114" s="1"/>
      <c r="C114" s="1"/>
      <c r="D114" s="1"/>
      <c r="E114" s="1"/>
      <c r="F114" s="2">
        <f>F112</f>
        <v>0.0052</v>
      </c>
      <c r="G114" s="1">
        <f>(C114+D114)*F114</f>
        <v>0</v>
      </c>
      <c r="H114" s="1">
        <f>B114-G114</f>
        <v>0</v>
      </c>
      <c r="I114" s="1"/>
    </row>
    <row r="115" spans="2:9" s="7" customFormat="1" ht="12.75">
      <c r="B115" s="8"/>
      <c r="C115" s="8"/>
      <c r="D115" s="8"/>
      <c r="E115" s="8"/>
      <c r="F115" s="9">
        <f>F113</f>
        <v>0.0052</v>
      </c>
      <c r="G115" s="8">
        <f>(C115+D115)*F115</f>
        <v>0</v>
      </c>
      <c r="H115" s="8">
        <f>B115-G115</f>
        <v>0</v>
      </c>
      <c r="I115" s="8"/>
    </row>
    <row r="116" spans="2:9" s="16" customFormat="1" ht="13.5" thickBot="1">
      <c r="B116" s="16">
        <f>SUM(B112:B115)</f>
        <v>173670.14</v>
      </c>
      <c r="C116" s="16">
        <f>SUM(C112:C115)</f>
        <v>32365328.59</v>
      </c>
      <c r="D116" s="16">
        <f>SUM(D112:D115)</f>
        <v>1032771.73</v>
      </c>
      <c r="E116" s="16">
        <f>SUM(E112:E115)</f>
        <v>0</v>
      </c>
      <c r="G116" s="16">
        <f>SUM(G112:G115)</f>
        <v>173670.121664</v>
      </c>
      <c r="H116" s="16">
        <f>SUM(H112:H115)</f>
        <v>0.018336000008275732</v>
      </c>
      <c r="I116" s="16">
        <f>I110+B116</f>
        <v>523781.51</v>
      </c>
    </row>
    <row r="117" spans="2:9" ht="12.75">
      <c r="B117" s="1"/>
      <c r="C117" s="1"/>
      <c r="D117" s="1"/>
      <c r="E117" s="1"/>
      <c r="G117" s="1"/>
      <c r="H117" s="1"/>
      <c r="I117" s="1"/>
    </row>
    <row r="118" spans="1:9" ht="12.75">
      <c r="A118" t="s">
        <v>10</v>
      </c>
      <c r="B118" s="1"/>
      <c r="C118" s="1"/>
      <c r="D118" s="1"/>
      <c r="E118" s="1"/>
      <c r="F118" s="2">
        <v>0.0052</v>
      </c>
      <c r="G118" s="1">
        <f>(C118+D118)*F118</f>
        <v>0</v>
      </c>
      <c r="H118" s="1">
        <f>B118-G118</f>
        <v>0</v>
      </c>
      <c r="I118" s="1"/>
    </row>
    <row r="119" spans="2:9" ht="12.75">
      <c r="B119" s="1"/>
      <c r="C119" s="1"/>
      <c r="D119" s="1"/>
      <c r="E119" s="1"/>
      <c r="F119" s="2">
        <v>0.0052</v>
      </c>
      <c r="G119" s="1">
        <f>(C119+D119)*F119</f>
        <v>0</v>
      </c>
      <c r="H119" s="1">
        <f>B119-G119</f>
        <v>0</v>
      </c>
      <c r="I119" s="1"/>
    </row>
    <row r="120" spans="2:9" ht="12.75">
      <c r="B120" s="1"/>
      <c r="C120" s="1"/>
      <c r="D120" s="1"/>
      <c r="E120" s="1"/>
      <c r="F120" s="2">
        <f>F118</f>
        <v>0.0052</v>
      </c>
      <c r="G120" s="1">
        <f>(C120+D120)*F120</f>
        <v>0</v>
      </c>
      <c r="H120" s="1">
        <f>B120-G120</f>
        <v>0</v>
      </c>
      <c r="I120" s="1"/>
    </row>
    <row r="121" spans="2:9" s="7" customFormat="1" ht="12.75">
      <c r="B121" s="8"/>
      <c r="C121" s="8"/>
      <c r="D121" s="8"/>
      <c r="E121" s="8"/>
      <c r="F121" s="9">
        <f>F119</f>
        <v>0.0052</v>
      </c>
      <c r="G121" s="8">
        <f>(C121+D121)*F121</f>
        <v>0</v>
      </c>
      <c r="H121" s="8">
        <f>B121-G121</f>
        <v>0</v>
      </c>
      <c r="I121" s="8"/>
    </row>
    <row r="122" spans="2:9" s="16" customFormat="1" ht="13.5" thickBot="1">
      <c r="B122" s="16">
        <f>SUM(B118:B121)</f>
        <v>0</v>
      </c>
      <c r="C122" s="16">
        <f>SUM(C118:C121)</f>
        <v>0</v>
      </c>
      <c r="D122" s="16">
        <f>SUM(D118:D121)</f>
        <v>0</v>
      </c>
      <c r="E122" s="16">
        <f>SUM(E118:E121)</f>
        <v>0</v>
      </c>
      <c r="G122" s="16">
        <f>SUM(G118:G121)</f>
        <v>0</v>
      </c>
      <c r="H122" s="16">
        <f>SUM(H118:H121)</f>
        <v>0</v>
      </c>
      <c r="I122" s="16">
        <f>I116+B122</f>
        <v>523781.51</v>
      </c>
    </row>
    <row r="124" spans="1:9" ht="12.75">
      <c r="A124" t="s">
        <v>11</v>
      </c>
      <c r="B124" s="1"/>
      <c r="C124" s="1"/>
      <c r="D124" s="1"/>
      <c r="E124" s="1"/>
      <c r="F124" s="2">
        <v>0.0052</v>
      </c>
      <c r="G124" s="1">
        <f>(C124+D124)*F124</f>
        <v>0</v>
      </c>
      <c r="H124" s="1">
        <f>B124-G124</f>
        <v>0</v>
      </c>
      <c r="I124" s="1"/>
    </row>
    <row r="125" spans="2:9" ht="12.75">
      <c r="B125" s="1"/>
      <c r="C125" s="1"/>
      <c r="D125" s="1"/>
      <c r="E125" s="1"/>
      <c r="F125" s="2">
        <v>0.0052</v>
      </c>
      <c r="G125" s="1">
        <f>(C125+D125)*F125</f>
        <v>0</v>
      </c>
      <c r="H125" s="1">
        <f>B125-G125</f>
        <v>0</v>
      </c>
      <c r="I125" s="1"/>
    </row>
    <row r="126" spans="2:9" ht="12.75">
      <c r="B126" s="1"/>
      <c r="C126" s="1"/>
      <c r="D126" s="1"/>
      <c r="E126" s="1"/>
      <c r="F126" s="2">
        <f>F124</f>
        <v>0.0052</v>
      </c>
      <c r="G126" s="1">
        <f>(C126+D126)*F126</f>
        <v>0</v>
      </c>
      <c r="H126" s="1">
        <f>B126-G126</f>
        <v>0</v>
      </c>
      <c r="I126" s="1"/>
    </row>
    <row r="127" spans="2:9" s="7" customFormat="1" ht="12.75">
      <c r="B127" s="8"/>
      <c r="C127" s="8"/>
      <c r="D127" s="8"/>
      <c r="E127" s="8"/>
      <c r="F127" s="9">
        <f>F125</f>
        <v>0.0052</v>
      </c>
      <c r="G127" s="8">
        <f>(C127+D127)*F127</f>
        <v>0</v>
      </c>
      <c r="H127" s="8">
        <f>B127-G127</f>
        <v>0</v>
      </c>
      <c r="I127" s="8"/>
    </row>
    <row r="128" spans="2:9" s="16" customFormat="1" ht="13.5" thickBot="1">
      <c r="B128" s="16">
        <f>SUM(B124:B127)</f>
        <v>0</v>
      </c>
      <c r="C128" s="16">
        <f>SUM(C124:C127)</f>
        <v>0</v>
      </c>
      <c r="D128" s="16">
        <f>SUM(D124:D127)</f>
        <v>0</v>
      </c>
      <c r="E128" s="16">
        <f>SUM(E124:E127)</f>
        <v>0</v>
      </c>
      <c r="G128" s="16">
        <f>SUM(G124:G127)</f>
        <v>0</v>
      </c>
      <c r="H128" s="16">
        <f>SUM(H124:H127)</f>
        <v>0</v>
      </c>
      <c r="I128" s="16">
        <f>I122+B128</f>
        <v>523781.51</v>
      </c>
    </row>
    <row r="130" spans="1:9" ht="12.75">
      <c r="A130" t="s">
        <v>12</v>
      </c>
      <c r="B130" s="1"/>
      <c r="C130" s="1"/>
      <c r="D130" s="1"/>
      <c r="E130" s="1"/>
      <c r="F130" s="2">
        <v>0.0052</v>
      </c>
      <c r="G130" s="1">
        <f>(C130+D130)*F130</f>
        <v>0</v>
      </c>
      <c r="H130" s="1">
        <f>B130-G130</f>
        <v>0</v>
      </c>
      <c r="I130" s="1"/>
    </row>
    <row r="131" spans="2:9" ht="12.75">
      <c r="B131" s="1"/>
      <c r="C131" s="1"/>
      <c r="D131" s="1"/>
      <c r="E131" s="1"/>
      <c r="F131" s="2">
        <v>0.0052</v>
      </c>
      <c r="G131" s="1">
        <f>(C131+D131)*F131</f>
        <v>0</v>
      </c>
      <c r="H131" s="1">
        <f>B131-G131</f>
        <v>0</v>
      </c>
      <c r="I131" s="1"/>
    </row>
    <row r="132" spans="2:9" ht="12.75">
      <c r="B132" s="1"/>
      <c r="C132" s="1"/>
      <c r="D132" s="1"/>
      <c r="E132" s="1"/>
      <c r="F132" s="2">
        <f>F130</f>
        <v>0.0052</v>
      </c>
      <c r="G132" s="1">
        <f>(C132+D132)*F132</f>
        <v>0</v>
      </c>
      <c r="H132" s="1">
        <f>B132-G132</f>
        <v>0</v>
      </c>
      <c r="I132" s="1"/>
    </row>
    <row r="133" spans="2:9" s="7" customFormat="1" ht="12.75">
      <c r="B133" s="8"/>
      <c r="C133" s="8"/>
      <c r="D133" s="8"/>
      <c r="E133" s="8"/>
      <c r="F133" s="9">
        <f>F131</f>
        <v>0.0052</v>
      </c>
      <c r="G133" s="8">
        <f>(C133+D133)*F133</f>
        <v>0</v>
      </c>
      <c r="H133" s="8">
        <f>B133-G133</f>
        <v>0</v>
      </c>
      <c r="I133" s="8"/>
    </row>
    <row r="134" spans="2:9" s="16" customFormat="1" ht="13.5" thickBot="1">
      <c r="B134" s="16">
        <f>SUM(B130:B133)</f>
        <v>0</v>
      </c>
      <c r="C134" s="16">
        <f>SUM(C130:C133)</f>
        <v>0</v>
      </c>
      <c r="D134" s="16">
        <f>SUM(D130:D133)</f>
        <v>0</v>
      </c>
      <c r="E134" s="16">
        <f>SUM(E130:E133)</f>
        <v>0</v>
      </c>
      <c r="G134" s="16">
        <f>SUM(G130:G133)</f>
        <v>0</v>
      </c>
      <c r="H134" s="16">
        <f>SUM(H130:H133)</f>
        <v>0</v>
      </c>
      <c r="I134" s="16">
        <f>I128+B134</f>
        <v>523781.51</v>
      </c>
    </row>
    <row r="136" spans="1:9" ht="12.75">
      <c r="A136" t="s">
        <v>13</v>
      </c>
      <c r="B136" s="1"/>
      <c r="C136" s="1"/>
      <c r="D136" s="1"/>
      <c r="E136" s="1"/>
      <c r="F136" s="2">
        <v>0.0052</v>
      </c>
      <c r="G136" s="1">
        <f>(C136+D136)*F136</f>
        <v>0</v>
      </c>
      <c r="H136" s="1">
        <f>B136-G136</f>
        <v>0</v>
      </c>
      <c r="I136" s="1"/>
    </row>
    <row r="137" spans="2:9" ht="12.75">
      <c r="B137" s="1"/>
      <c r="C137" s="1"/>
      <c r="D137" s="1"/>
      <c r="E137" s="1"/>
      <c r="F137" s="2">
        <v>0.0052</v>
      </c>
      <c r="G137" s="1">
        <f>(C137+D137)*F137</f>
        <v>0</v>
      </c>
      <c r="H137" s="1">
        <f>B137-G137</f>
        <v>0</v>
      </c>
      <c r="I137" s="1"/>
    </row>
    <row r="138" spans="2:9" ht="12.75">
      <c r="B138" s="1"/>
      <c r="C138" s="1"/>
      <c r="D138" s="1"/>
      <c r="E138" s="1"/>
      <c r="F138" s="2">
        <f>F136</f>
        <v>0.0052</v>
      </c>
      <c r="G138" s="1">
        <f>(C138+D138)*F138</f>
        <v>0</v>
      </c>
      <c r="H138" s="1">
        <f>B138-G138</f>
        <v>0</v>
      </c>
      <c r="I138" s="1"/>
    </row>
    <row r="139" spans="2:9" s="7" customFormat="1" ht="12.75">
      <c r="B139" s="8"/>
      <c r="C139" s="8"/>
      <c r="D139" s="8"/>
      <c r="E139" s="8"/>
      <c r="F139" s="9">
        <f>F137</f>
        <v>0.0052</v>
      </c>
      <c r="G139" s="8">
        <f>(C139+D139)*F139</f>
        <v>0</v>
      </c>
      <c r="H139" s="8">
        <f>B139-G139</f>
        <v>0</v>
      </c>
      <c r="I139" s="8"/>
    </row>
    <row r="140" spans="2:9" s="16" customFormat="1" ht="13.5" thickBot="1">
      <c r="B140" s="16">
        <f>SUM(B136:B139)</f>
        <v>0</v>
      </c>
      <c r="C140" s="16">
        <f>SUM(C136:C139)</f>
        <v>0</v>
      </c>
      <c r="D140" s="16">
        <f>SUM(D136:D139)</f>
        <v>0</v>
      </c>
      <c r="E140" s="16">
        <f>SUM(E136:E139)</f>
        <v>0</v>
      </c>
      <c r="G140" s="16">
        <f>SUM(G136:G139)</f>
        <v>0</v>
      </c>
      <c r="H140" s="16">
        <f>SUM(H136:H139)</f>
        <v>0</v>
      </c>
      <c r="I140" s="16">
        <f>I134+B140</f>
        <v>523781.51</v>
      </c>
    </row>
    <row r="142" spans="1:9" ht="12.75">
      <c r="A142" t="s">
        <v>14</v>
      </c>
      <c r="B142" s="1"/>
      <c r="C142" s="1"/>
      <c r="D142" s="1"/>
      <c r="E142" s="1"/>
      <c r="F142" s="2">
        <v>0.0052</v>
      </c>
      <c r="G142" s="1">
        <f>(C142+D142)*F142</f>
        <v>0</v>
      </c>
      <c r="H142" s="1">
        <f>B142-G142</f>
        <v>0</v>
      </c>
      <c r="I142" s="1"/>
    </row>
    <row r="143" spans="2:9" ht="12.75">
      <c r="B143" s="1"/>
      <c r="C143" s="1"/>
      <c r="D143" s="1"/>
      <c r="E143" s="1"/>
      <c r="F143" s="2">
        <v>0.0052</v>
      </c>
      <c r="G143" s="1">
        <f>(C143+D143)*F143</f>
        <v>0</v>
      </c>
      <c r="H143" s="1">
        <f>B143-G143</f>
        <v>0</v>
      </c>
      <c r="I143" s="1"/>
    </row>
    <row r="144" spans="2:9" ht="12.75">
      <c r="B144" s="1"/>
      <c r="C144" s="1"/>
      <c r="D144" s="1"/>
      <c r="E144" s="1"/>
      <c r="F144" s="2">
        <f>F142</f>
        <v>0.0052</v>
      </c>
      <c r="G144" s="1">
        <f>(C144+D144)*F144</f>
        <v>0</v>
      </c>
      <c r="H144" s="1">
        <f>B144-G144</f>
        <v>0</v>
      </c>
      <c r="I144" s="1"/>
    </row>
    <row r="145" spans="2:9" s="7" customFormat="1" ht="12.75">
      <c r="B145" s="8"/>
      <c r="C145" s="8"/>
      <c r="D145" s="8"/>
      <c r="E145" s="8"/>
      <c r="F145" s="9">
        <f>F143</f>
        <v>0.0052</v>
      </c>
      <c r="G145" s="8">
        <f>(C145+D145)*F145</f>
        <v>0</v>
      </c>
      <c r="H145" s="8">
        <f>B145-G145</f>
        <v>0</v>
      </c>
      <c r="I145" s="8"/>
    </row>
    <row r="146" spans="2:9" s="16" customFormat="1" ht="13.5" thickBot="1">
      <c r="B146" s="16">
        <f>SUM(B142:B145)</f>
        <v>0</v>
      </c>
      <c r="C146" s="16">
        <f>SUM(C142:C145)</f>
        <v>0</v>
      </c>
      <c r="D146" s="16">
        <f>SUM(D142:D145)</f>
        <v>0</v>
      </c>
      <c r="E146" s="16">
        <f>SUM(E142:E145)</f>
        <v>0</v>
      </c>
      <c r="G146" s="16">
        <f>SUM(G142:G145)</f>
        <v>0</v>
      </c>
      <c r="H146" s="16">
        <f>SUM(H142:H145)</f>
        <v>0</v>
      </c>
      <c r="I146" s="16">
        <f>I140+B146</f>
        <v>523781.51</v>
      </c>
    </row>
    <row r="148" spans="3:9" ht="12.75">
      <c r="C148" s="3">
        <f>C80+C86+C92+C98+C104+C110+C116+C122+C128+C134+C140+C146</f>
        <v>222060731.97000003</v>
      </c>
      <c r="D148" s="3">
        <f>D80+D86+D92+D98+D104+D110+D116+D122+D128+D134+D140+D146</f>
        <v>7085926.83</v>
      </c>
      <c r="I148" s="1">
        <v>1272683.09</v>
      </c>
    </row>
    <row r="149" spans="3:9" ht="12.75">
      <c r="C149" s="78"/>
      <c r="I149" s="1">
        <f>I146-I148</f>
        <v>-748901.5800000001</v>
      </c>
    </row>
    <row r="150" ht="12.75">
      <c r="C150" s="78"/>
    </row>
    <row r="151" ht="12.75">
      <c r="C151" s="78"/>
    </row>
    <row r="152" ht="12.75">
      <c r="C152" s="78"/>
    </row>
    <row r="153" ht="12.75">
      <c r="C153" s="78"/>
    </row>
    <row r="154" ht="12.75">
      <c r="C154" s="78"/>
    </row>
    <row r="155" spans="1:9" ht="12.75">
      <c r="A155" t="s">
        <v>37</v>
      </c>
      <c r="B155" s="1"/>
      <c r="C155" s="1"/>
      <c r="D155" s="1"/>
      <c r="E155" s="1"/>
      <c r="F155" s="2"/>
      <c r="G155" s="1"/>
      <c r="H155" s="1"/>
      <c r="I155" s="1"/>
    </row>
    <row r="156" spans="1:9" ht="12.75">
      <c r="A156" t="s">
        <v>38</v>
      </c>
      <c r="B156" s="1"/>
      <c r="C156" s="1"/>
      <c r="D156" s="1"/>
      <c r="E156" s="1"/>
      <c r="F156" s="2"/>
      <c r="G156" s="1"/>
      <c r="H156" s="1"/>
      <c r="I156" s="1"/>
    </row>
    <row r="157" spans="1:9" ht="12.75">
      <c r="A157" t="s">
        <v>39</v>
      </c>
      <c r="B157" s="1"/>
      <c r="C157" s="1"/>
      <c r="D157" s="1"/>
      <c r="E157" s="1"/>
      <c r="F157" s="2"/>
      <c r="G157" s="1"/>
      <c r="H157" s="1"/>
      <c r="I157" s="1"/>
    </row>
    <row r="158" spans="2:9" ht="12.75">
      <c r="B158" s="1"/>
      <c r="C158" s="1"/>
      <c r="D158" s="1"/>
      <c r="E158" s="1"/>
      <c r="F158" s="2"/>
      <c r="G158" s="1"/>
      <c r="H158" s="1"/>
      <c r="I158" s="1"/>
    </row>
    <row r="159" spans="2:9" s="4" customFormat="1" ht="25.5">
      <c r="B159" s="5" t="s">
        <v>15</v>
      </c>
      <c r="C159" s="5" t="s">
        <v>16</v>
      </c>
      <c r="D159" s="5" t="s">
        <v>25</v>
      </c>
      <c r="E159" s="5" t="s">
        <v>24</v>
      </c>
      <c r="F159" s="6" t="s">
        <v>17</v>
      </c>
      <c r="G159" s="5" t="s">
        <v>18</v>
      </c>
      <c r="H159" s="5" t="s">
        <v>19</v>
      </c>
      <c r="I159" s="5" t="s">
        <v>20</v>
      </c>
    </row>
    <row r="160" spans="2:9" ht="12.75">
      <c r="B160" s="1"/>
      <c r="C160" s="1"/>
      <c r="D160" s="1"/>
      <c r="E160" s="1"/>
      <c r="F160" s="2"/>
      <c r="G160" s="1"/>
      <c r="H160" s="1"/>
      <c r="I160" s="1"/>
    </row>
    <row r="161" spans="1:9" ht="12.75">
      <c r="A161" t="s">
        <v>3</v>
      </c>
      <c r="B161" s="1">
        <v>-41164.21</v>
      </c>
      <c r="C161" s="1"/>
      <c r="D161" s="1"/>
      <c r="E161" s="1">
        <f>-B161/0.6</f>
        <v>68607.01666666666</v>
      </c>
      <c r="F161" s="2">
        <v>-0.6</v>
      </c>
      <c r="G161" s="1">
        <f>E161*F161</f>
        <v>-41164.21</v>
      </c>
      <c r="H161" s="1">
        <f>B161-G161</f>
        <v>0</v>
      </c>
      <c r="I161" s="1"/>
    </row>
    <row r="162" spans="2:9" ht="12.75">
      <c r="B162" s="1"/>
      <c r="C162" s="1"/>
      <c r="D162" s="1"/>
      <c r="E162" s="1"/>
      <c r="F162" s="2">
        <v>-0.6</v>
      </c>
      <c r="G162" s="1">
        <f>E162*F162</f>
        <v>0</v>
      </c>
      <c r="H162" s="1">
        <f>B162-G162</f>
        <v>0</v>
      </c>
      <c r="I162" s="1"/>
    </row>
    <row r="163" spans="2:9" s="7" customFormat="1" ht="12.75">
      <c r="B163" s="8"/>
      <c r="C163" s="8"/>
      <c r="D163" s="8"/>
      <c r="E163" s="8"/>
      <c r="F163" s="9">
        <v>-1.56</v>
      </c>
      <c r="G163" s="8">
        <f>E163*F163</f>
        <v>0</v>
      </c>
      <c r="H163" s="8">
        <f>B163-G163</f>
        <v>0</v>
      </c>
      <c r="I163" s="8"/>
    </row>
    <row r="164" spans="2:9" s="16" customFormat="1" ht="13.5" thickBot="1">
      <c r="B164" s="16">
        <f>SUM(B161:B163)</f>
        <v>-41164.21</v>
      </c>
      <c r="C164" s="16">
        <f>SUM(C161:C163)</f>
        <v>0</v>
      </c>
      <c r="D164" s="16">
        <f>SUM(D161:D163)</f>
        <v>0</v>
      </c>
      <c r="E164" s="16">
        <f>SUM(E161:E163)</f>
        <v>68607.01666666666</v>
      </c>
      <c r="G164" s="16">
        <f>SUM(G161:G163)</f>
        <v>-41164.21</v>
      </c>
      <c r="H164" s="16">
        <f>SUM(H161:H163)</f>
        <v>0</v>
      </c>
      <c r="I164" s="16">
        <f>B164</f>
        <v>-41164.21</v>
      </c>
    </row>
    <row r="165" spans="2:9" ht="12.75">
      <c r="B165" s="1"/>
      <c r="C165" s="1"/>
      <c r="D165" s="1"/>
      <c r="E165" s="1"/>
      <c r="F165" s="2"/>
      <c r="G165" s="1"/>
      <c r="H165" s="1"/>
      <c r="I165" s="1"/>
    </row>
    <row r="166" spans="1:9" ht="12.75">
      <c r="A166" t="s">
        <v>4</v>
      </c>
      <c r="B166" s="1">
        <f>'[3]TOU'!$K$280</f>
        <v>-41601.79</v>
      </c>
      <c r="C166" s="1"/>
      <c r="D166" s="1"/>
      <c r="E166" s="1">
        <f>'[3]TOU'!$AH$280</f>
        <v>69336.33</v>
      </c>
      <c r="F166" s="2">
        <v>-0.6</v>
      </c>
      <c r="G166" s="1">
        <f>E166*F166</f>
        <v>-41601.798</v>
      </c>
      <c r="H166" s="1">
        <f>B166-G166</f>
        <v>0.008000000001629815</v>
      </c>
      <c r="I166" s="1"/>
    </row>
    <row r="167" spans="2:9" ht="12.75">
      <c r="B167" s="1"/>
      <c r="C167" s="1"/>
      <c r="D167" s="1"/>
      <c r="E167" s="1"/>
      <c r="F167" s="2">
        <v>-0.6</v>
      </c>
      <c r="G167" s="1">
        <f>E167*F167</f>
        <v>0</v>
      </c>
      <c r="H167" s="1">
        <f>B167-G167</f>
        <v>0</v>
      </c>
      <c r="I167" s="1"/>
    </row>
    <row r="168" spans="2:9" s="7" customFormat="1" ht="12.75">
      <c r="B168" s="8"/>
      <c r="C168" s="8"/>
      <c r="D168" s="8"/>
      <c r="E168" s="8"/>
      <c r="F168" s="9">
        <v>-1.56</v>
      </c>
      <c r="G168" s="8">
        <f>E168*F168</f>
        <v>0</v>
      </c>
      <c r="H168" s="8">
        <f>B168-G168</f>
        <v>0</v>
      </c>
      <c r="I168" s="8"/>
    </row>
    <row r="169" spans="2:9" s="16" customFormat="1" ht="13.5" thickBot="1">
      <c r="B169" s="16">
        <f>SUM(B166:B168)</f>
        <v>-41601.79</v>
      </c>
      <c r="C169" s="16">
        <f>SUM(C166:C168)</f>
        <v>0</v>
      </c>
      <c r="D169" s="16">
        <f>SUM(D166:D168)</f>
        <v>0</v>
      </c>
      <c r="E169" s="16">
        <f>SUM(E166:E168)</f>
        <v>69336.33</v>
      </c>
      <c r="G169" s="16">
        <f>SUM(G166:G168)</f>
        <v>-41601.798</v>
      </c>
      <c r="H169" s="16">
        <f>SUM(H166:H168)</f>
        <v>0.008000000001629815</v>
      </c>
      <c r="I169" s="16">
        <f>I164+B169</f>
        <v>-82766</v>
      </c>
    </row>
    <row r="170" spans="2:9" ht="12.75">
      <c r="B170" s="1"/>
      <c r="C170" s="1"/>
      <c r="D170" s="1"/>
      <c r="E170" s="1"/>
      <c r="G170" s="1"/>
      <c r="H170" s="1"/>
      <c r="I170" s="1"/>
    </row>
    <row r="171" spans="1:9" ht="12.75">
      <c r="A171" t="s">
        <v>5</v>
      </c>
      <c r="B171" s="1">
        <f>82766-122847.67</f>
        <v>-40081.67</v>
      </c>
      <c r="C171" s="1"/>
      <c r="D171" s="1"/>
      <c r="E171" s="1">
        <f>-B171/0.6</f>
        <v>66802.78333333334</v>
      </c>
      <c r="F171" s="2">
        <v>-0.6</v>
      </c>
      <c r="G171" s="1">
        <f>E171*F171</f>
        <v>-40081.670000000006</v>
      </c>
      <c r="H171" s="1">
        <f>B171-G171</f>
        <v>0</v>
      </c>
      <c r="I171" s="1"/>
    </row>
    <row r="172" spans="2:9" ht="12.75">
      <c r="B172" s="1"/>
      <c r="C172" s="1"/>
      <c r="D172" s="1"/>
      <c r="E172" s="1"/>
      <c r="F172" s="2">
        <v>-0.6</v>
      </c>
      <c r="G172" s="1">
        <f>E172*F172</f>
        <v>0</v>
      </c>
      <c r="H172" s="1">
        <f>B172-G172</f>
        <v>0</v>
      </c>
      <c r="I172" s="1"/>
    </row>
    <row r="173" spans="2:9" s="7" customFormat="1" ht="12.75">
      <c r="B173" s="8"/>
      <c r="C173" s="8"/>
      <c r="D173" s="8"/>
      <c r="E173" s="8"/>
      <c r="F173" s="9">
        <v>-1.56</v>
      </c>
      <c r="G173" s="8">
        <f>E173*F173</f>
        <v>0</v>
      </c>
      <c r="H173" s="8">
        <f>B173-G173</f>
        <v>0</v>
      </c>
      <c r="I173" s="8"/>
    </row>
    <row r="174" spans="2:9" s="16" customFormat="1" ht="13.5" thickBot="1">
      <c r="B174" s="16">
        <f>SUM(B171:B173)</f>
        <v>-40081.67</v>
      </c>
      <c r="C174" s="16">
        <f>SUM(C171:C173)</f>
        <v>0</v>
      </c>
      <c r="D174" s="16">
        <f>SUM(D171:D173)</f>
        <v>0</v>
      </c>
      <c r="E174" s="16">
        <f>SUM(E171:E173)</f>
        <v>66802.78333333334</v>
      </c>
      <c r="G174" s="16">
        <f>SUM(G171:G173)</f>
        <v>-40081.670000000006</v>
      </c>
      <c r="H174" s="16">
        <f>SUM(H171:H173)</f>
        <v>0</v>
      </c>
      <c r="I174" s="16">
        <f>I169+B174</f>
        <v>-122847.67</v>
      </c>
    </row>
    <row r="175" spans="2:9" ht="12.75">
      <c r="B175" s="1"/>
      <c r="C175" s="1"/>
      <c r="D175" s="1"/>
      <c r="E175" s="1"/>
      <c r="G175" s="1"/>
      <c r="H175" s="1"/>
      <c r="I175" s="1"/>
    </row>
    <row r="176" spans="1:9" ht="12.75">
      <c r="A176" t="s">
        <v>6</v>
      </c>
      <c r="B176" s="1">
        <f>122847.67-163729.21</f>
        <v>-40881.53999999999</v>
      </c>
      <c r="C176" s="1"/>
      <c r="D176" s="1"/>
      <c r="E176" s="1">
        <f>-B176/0.6</f>
        <v>68135.9</v>
      </c>
      <c r="F176" s="2">
        <v>-0.6</v>
      </c>
      <c r="G176" s="1">
        <f>E176*F176</f>
        <v>-40881.53999999999</v>
      </c>
      <c r="H176" s="1">
        <f>B176-G176</f>
        <v>0</v>
      </c>
      <c r="I176" s="1"/>
    </row>
    <row r="177" spans="2:9" s="7" customFormat="1" ht="12.75">
      <c r="B177" s="8"/>
      <c r="C177" s="8"/>
      <c r="D177" s="8"/>
      <c r="E177" s="8"/>
      <c r="F177" s="9">
        <v>-1.56</v>
      </c>
      <c r="G177" s="8">
        <f>E177*F177</f>
        <v>0</v>
      </c>
      <c r="H177" s="8">
        <f>B177-G177</f>
        <v>0</v>
      </c>
      <c r="I177" s="8"/>
    </row>
    <row r="178" spans="2:9" s="16" customFormat="1" ht="13.5" thickBot="1">
      <c r="B178" s="16">
        <f>SUM(B176:B177)</f>
        <v>-40881.53999999999</v>
      </c>
      <c r="C178" s="16">
        <f>SUM(C176:C177)</f>
        <v>0</v>
      </c>
      <c r="D178" s="16">
        <f>SUM(D176:D177)</f>
        <v>0</v>
      </c>
      <c r="E178" s="16">
        <f>SUM(E176:E177)</f>
        <v>68135.9</v>
      </c>
      <c r="G178" s="16">
        <f>SUM(G176:G177)</f>
        <v>-40881.53999999999</v>
      </c>
      <c r="H178" s="16">
        <f>SUM(H176:H177)</f>
        <v>0</v>
      </c>
      <c r="I178" s="16">
        <f>I174+B178</f>
        <v>-163729.21</v>
      </c>
    </row>
    <row r="179" spans="2:9" ht="12.75">
      <c r="B179" s="1"/>
      <c r="C179" s="1"/>
      <c r="D179" s="1"/>
      <c r="E179" s="1"/>
      <c r="G179" s="1"/>
      <c r="H179" s="1"/>
      <c r="I179" s="1"/>
    </row>
    <row r="180" spans="1:9" ht="12.75">
      <c r="A180" t="s">
        <v>7</v>
      </c>
      <c r="B180" s="1">
        <f>163729.21-206585.01</f>
        <v>-42855.80000000002</v>
      </c>
      <c r="C180" s="1"/>
      <c r="D180" s="1"/>
      <c r="E180" s="1">
        <f>-B180/0.6</f>
        <v>71426.33333333337</v>
      </c>
      <c r="F180" s="2">
        <v>-0.6</v>
      </c>
      <c r="G180" s="1">
        <f>E180*F180</f>
        <v>-42855.800000000025</v>
      </c>
      <c r="H180" s="1">
        <f>B180-G180</f>
        <v>0</v>
      </c>
      <c r="I180" s="1"/>
    </row>
    <row r="181" spans="2:9" ht="12.75">
      <c r="B181" s="1"/>
      <c r="C181" s="1"/>
      <c r="D181" s="1"/>
      <c r="E181" s="1"/>
      <c r="F181" s="2">
        <v>-0.6</v>
      </c>
      <c r="G181" s="1">
        <f>E181*F181</f>
        <v>0</v>
      </c>
      <c r="H181" s="1">
        <f>B181-G181</f>
        <v>0</v>
      </c>
      <c r="I181" s="1"/>
    </row>
    <row r="182" spans="2:9" s="7" customFormat="1" ht="12.75">
      <c r="B182" s="8"/>
      <c r="C182" s="8"/>
      <c r="D182" s="8"/>
      <c r="E182" s="8"/>
      <c r="F182" s="9">
        <v>-1.56</v>
      </c>
      <c r="G182" s="8">
        <f>E182*F182</f>
        <v>0</v>
      </c>
      <c r="H182" s="8">
        <f>B182-G182</f>
        <v>0</v>
      </c>
      <c r="I182" s="8"/>
    </row>
    <row r="183" spans="2:9" s="16" customFormat="1" ht="13.5" thickBot="1">
      <c r="B183" s="16">
        <f>SUM(B180:B182)</f>
        <v>-42855.80000000002</v>
      </c>
      <c r="C183" s="16">
        <f>SUM(C180:C182)</f>
        <v>0</v>
      </c>
      <c r="D183" s="16">
        <f>SUM(D180:D182)</f>
        <v>0</v>
      </c>
      <c r="E183" s="16">
        <f>SUM(E180:E182)</f>
        <v>71426.33333333337</v>
      </c>
      <c r="G183" s="16">
        <f>SUM(G180:G182)</f>
        <v>-42855.800000000025</v>
      </c>
      <c r="H183" s="16">
        <f>SUM(H180:H182)</f>
        <v>0</v>
      </c>
      <c r="I183" s="16">
        <f>I178+B183</f>
        <v>-206585.01</v>
      </c>
    </row>
    <row r="184" spans="2:9" ht="12.75">
      <c r="B184" s="1"/>
      <c r="C184" s="1"/>
      <c r="D184" s="1"/>
      <c r="E184" s="1"/>
      <c r="G184" s="1"/>
      <c r="H184" s="1"/>
      <c r="I184" s="1"/>
    </row>
    <row r="185" spans="1:9" ht="12.75">
      <c r="A185" t="s">
        <v>8</v>
      </c>
      <c r="B185" s="1">
        <f>206585.01-248695.05</f>
        <v>-42110.03999999998</v>
      </c>
      <c r="C185" s="1"/>
      <c r="D185" s="1"/>
      <c r="E185" s="1">
        <f>-B185/0.6</f>
        <v>70183.39999999997</v>
      </c>
      <c r="F185" s="2">
        <v>-0.6</v>
      </c>
      <c r="G185" s="1">
        <f>E185*F185</f>
        <v>-42110.03999999998</v>
      </c>
      <c r="H185" s="1">
        <f>B185-G185</f>
        <v>0</v>
      </c>
      <c r="I185" s="1"/>
    </row>
    <row r="186" spans="2:9" s="7" customFormat="1" ht="12.75">
      <c r="B186" s="8"/>
      <c r="C186" s="8"/>
      <c r="D186" s="8"/>
      <c r="E186" s="8"/>
      <c r="F186" s="9">
        <v>-0.6</v>
      </c>
      <c r="G186" s="8">
        <f>E186*F186</f>
        <v>0</v>
      </c>
      <c r="H186" s="8">
        <f>B186-G186</f>
        <v>0</v>
      </c>
      <c r="I186" s="8"/>
    </row>
    <row r="187" spans="2:9" s="16" customFormat="1" ht="13.5" thickBot="1">
      <c r="B187" s="16">
        <f>SUM(B185:B186)</f>
        <v>-42110.03999999998</v>
      </c>
      <c r="C187" s="16">
        <f>SUM(C185:C186)</f>
        <v>0</v>
      </c>
      <c r="D187" s="16">
        <f>SUM(D185:D186)</f>
        <v>0</v>
      </c>
      <c r="E187" s="16">
        <f>SUM(E185:E186)</f>
        <v>70183.39999999997</v>
      </c>
      <c r="G187" s="16">
        <f>SUM(G185:G186)</f>
        <v>-42110.03999999998</v>
      </c>
      <c r="H187" s="16">
        <f>SUM(H185:H186)</f>
        <v>0</v>
      </c>
      <c r="I187" s="16">
        <f>I183+B187</f>
        <v>-248695.05</v>
      </c>
    </row>
    <row r="188" spans="2:9" ht="12.75">
      <c r="B188" s="1"/>
      <c r="C188" s="1"/>
      <c r="D188" s="1"/>
      <c r="E188" s="1"/>
      <c r="G188" s="1"/>
      <c r="H188" s="1"/>
      <c r="I188" s="1"/>
    </row>
    <row r="189" spans="1:9" ht="12.75">
      <c r="A189" t="s">
        <v>9</v>
      </c>
      <c r="B189" s="1">
        <v>-43768.48</v>
      </c>
      <c r="C189" s="1"/>
      <c r="D189" s="1"/>
      <c r="E189" s="1">
        <v>72947.47</v>
      </c>
      <c r="F189" s="2">
        <v>-0.6</v>
      </c>
      <c r="G189" s="1">
        <f>E189*F189</f>
        <v>-43768.481999999996</v>
      </c>
      <c r="H189" s="1">
        <f>B189-G189</f>
        <v>0.001999999993131496</v>
      </c>
      <c r="I189" s="1"/>
    </row>
    <row r="190" spans="2:9" s="7" customFormat="1" ht="12.75">
      <c r="B190" s="8"/>
      <c r="C190" s="8"/>
      <c r="D190" s="8"/>
      <c r="E190" s="8"/>
      <c r="F190" s="9">
        <v>-0.6</v>
      </c>
      <c r="G190" s="8">
        <f>E190*F190</f>
        <v>0</v>
      </c>
      <c r="H190" s="8">
        <f>B190-G190</f>
        <v>0</v>
      </c>
      <c r="I190" s="8"/>
    </row>
    <row r="191" spans="2:9" s="16" customFormat="1" ht="13.5" thickBot="1">
      <c r="B191" s="16">
        <f>SUM(B189:B190)</f>
        <v>-43768.48</v>
      </c>
      <c r="C191" s="16">
        <f>SUM(C189:C190)</f>
        <v>0</v>
      </c>
      <c r="D191" s="16">
        <f>SUM(D189:D190)</f>
        <v>0</v>
      </c>
      <c r="E191" s="16">
        <f>SUM(E189:E190)</f>
        <v>72947.47</v>
      </c>
      <c r="G191" s="16">
        <f>SUM(G189:G190)</f>
        <v>-43768.481999999996</v>
      </c>
      <c r="H191" s="16">
        <f>SUM(H189:H190)</f>
        <v>0.001999999993131496</v>
      </c>
      <c r="I191" s="16">
        <f>I187+B191</f>
        <v>-292463.52999999997</v>
      </c>
    </row>
    <row r="192" spans="2:9" ht="12.75">
      <c r="B192" s="1"/>
      <c r="C192" s="1"/>
      <c r="D192" s="1"/>
      <c r="E192" s="1"/>
      <c r="G192" s="1"/>
      <c r="H192" s="1"/>
      <c r="I192" s="1"/>
    </row>
    <row r="193" spans="1:9" ht="12.75">
      <c r="A193" t="s">
        <v>10</v>
      </c>
      <c r="B193" s="1"/>
      <c r="C193" s="1"/>
      <c r="D193" s="1"/>
      <c r="E193" s="1"/>
      <c r="F193" s="2">
        <v>-0.6</v>
      </c>
      <c r="G193" s="1">
        <f>E193*F193</f>
        <v>0</v>
      </c>
      <c r="H193" s="1">
        <f>B193-G193</f>
        <v>0</v>
      </c>
      <c r="I193" s="1"/>
    </row>
    <row r="194" spans="2:9" s="7" customFormat="1" ht="12.75">
      <c r="B194" s="8"/>
      <c r="C194" s="8"/>
      <c r="D194" s="8"/>
      <c r="E194" s="8"/>
      <c r="F194" s="9">
        <v>-0.6</v>
      </c>
      <c r="G194" s="8">
        <f>E194*F194</f>
        <v>0</v>
      </c>
      <c r="H194" s="8">
        <f>B194-G194</f>
        <v>0</v>
      </c>
      <c r="I194" s="8"/>
    </row>
    <row r="195" spans="2:9" s="16" customFormat="1" ht="13.5" thickBot="1">
      <c r="B195" s="16">
        <f>SUM(B193:B194)</f>
        <v>0</v>
      </c>
      <c r="C195" s="16">
        <f>SUM(C193:C194)</f>
        <v>0</v>
      </c>
      <c r="D195" s="16">
        <f>SUM(D193:D194)</f>
        <v>0</v>
      </c>
      <c r="E195" s="16">
        <f>SUM(E193:E194)</f>
        <v>0</v>
      </c>
      <c r="G195" s="16">
        <f>SUM(G193:G194)</f>
        <v>0</v>
      </c>
      <c r="H195" s="16">
        <f>SUM(H193:H194)</f>
        <v>0</v>
      </c>
      <c r="I195" s="16">
        <f>I191+B195</f>
        <v>-292463.52999999997</v>
      </c>
    </row>
    <row r="196" spans="2:9" ht="12.75">
      <c r="B196" s="1"/>
      <c r="C196" s="1"/>
      <c r="D196" s="1"/>
      <c r="E196" s="1"/>
      <c r="G196" s="1"/>
      <c r="H196" s="1"/>
      <c r="I196" s="1"/>
    </row>
    <row r="197" spans="1:9" ht="12.75">
      <c r="A197" t="s">
        <v>11</v>
      </c>
      <c r="B197" s="1"/>
      <c r="C197" s="1"/>
      <c r="D197" s="1"/>
      <c r="E197" s="1"/>
      <c r="F197" s="2">
        <v>-0.6</v>
      </c>
      <c r="G197" s="1">
        <f>E197*F197</f>
        <v>0</v>
      </c>
      <c r="H197" s="1">
        <f>B197-G197</f>
        <v>0</v>
      </c>
      <c r="I197" s="1"/>
    </row>
    <row r="198" spans="2:9" s="7" customFormat="1" ht="12.75">
      <c r="B198" s="8">
        <v>0</v>
      </c>
      <c r="C198" s="8"/>
      <c r="D198" s="8"/>
      <c r="E198" s="8"/>
      <c r="F198" s="9">
        <v>-0.6</v>
      </c>
      <c r="G198" s="8">
        <f>E198*F198</f>
        <v>0</v>
      </c>
      <c r="H198" s="8">
        <f>B198-G198</f>
        <v>0</v>
      </c>
      <c r="I198" s="8"/>
    </row>
    <row r="199" spans="2:9" s="16" customFormat="1" ht="13.5" thickBot="1">
      <c r="B199" s="16">
        <f>SUM(B197:B198)</f>
        <v>0</v>
      </c>
      <c r="C199" s="16">
        <f>SUM(C197:C198)</f>
        <v>0</v>
      </c>
      <c r="D199" s="16">
        <f>SUM(D197:D198)</f>
        <v>0</v>
      </c>
      <c r="E199" s="16">
        <f>SUM(E197:E198)</f>
        <v>0</v>
      </c>
      <c r="G199" s="16">
        <f>SUM(G197:G198)</f>
        <v>0</v>
      </c>
      <c r="H199" s="16">
        <f>SUM(H197:H198)</f>
        <v>0</v>
      </c>
      <c r="I199" s="16">
        <f>I195+B199</f>
        <v>-292463.52999999997</v>
      </c>
    </row>
    <row r="200" spans="2:9" ht="12.75">
      <c r="B200" s="1"/>
      <c r="C200" s="1"/>
      <c r="D200" s="1"/>
      <c r="E200" s="1"/>
      <c r="G200" s="1"/>
      <c r="H200" s="1"/>
      <c r="I200" s="1"/>
    </row>
    <row r="201" spans="1:9" ht="12.75">
      <c r="A201" t="s">
        <v>12</v>
      </c>
      <c r="B201" s="1"/>
      <c r="C201" s="1"/>
      <c r="D201" s="1"/>
      <c r="E201" s="1"/>
      <c r="F201" s="2">
        <v>-0.6</v>
      </c>
      <c r="G201" s="1">
        <f>E201*F201</f>
        <v>0</v>
      </c>
      <c r="H201" s="1">
        <f>B201-G201</f>
        <v>0</v>
      </c>
      <c r="I201" s="1"/>
    </row>
    <row r="202" spans="2:9" s="7" customFormat="1" ht="12.75">
      <c r="B202" s="8">
        <v>0</v>
      </c>
      <c r="C202" s="8"/>
      <c r="D202" s="8"/>
      <c r="E202" s="8"/>
      <c r="F202" s="9">
        <v>-0.6</v>
      </c>
      <c r="G202" s="8">
        <f>E202*F202</f>
        <v>0</v>
      </c>
      <c r="H202" s="8">
        <f>B202-G202</f>
        <v>0</v>
      </c>
      <c r="I202" s="8"/>
    </row>
    <row r="203" spans="2:9" s="16" customFormat="1" ht="13.5" thickBot="1">
      <c r="B203" s="16">
        <f>SUM(B201:B202)</f>
        <v>0</v>
      </c>
      <c r="C203" s="16">
        <f>SUM(C201:C202)</f>
        <v>0</v>
      </c>
      <c r="D203" s="16">
        <f>SUM(D201:D202)</f>
        <v>0</v>
      </c>
      <c r="E203" s="16">
        <f>SUM(E201:E202)</f>
        <v>0</v>
      </c>
      <c r="G203" s="16">
        <f>SUM(G201:G202)</f>
        <v>0</v>
      </c>
      <c r="H203" s="16">
        <f>SUM(H201:H202)</f>
        <v>0</v>
      </c>
      <c r="I203" s="16">
        <f>I199+B203</f>
        <v>-292463.52999999997</v>
      </c>
    </row>
    <row r="204" spans="2:9" ht="12.75">
      <c r="B204" s="1"/>
      <c r="C204" s="1"/>
      <c r="D204" s="1"/>
      <c r="E204" s="1"/>
      <c r="G204" s="1"/>
      <c r="H204" s="1"/>
      <c r="I204" s="1"/>
    </row>
    <row r="205" spans="1:9" ht="12.75">
      <c r="A205" t="s">
        <v>13</v>
      </c>
      <c r="B205" s="1"/>
      <c r="C205" s="1"/>
      <c r="D205" s="1"/>
      <c r="E205" s="1"/>
      <c r="F205" s="2">
        <v>-0.6</v>
      </c>
      <c r="G205" s="1">
        <f>E205*F205</f>
        <v>0</v>
      </c>
      <c r="H205" s="1">
        <f>B205-G205</f>
        <v>0</v>
      </c>
      <c r="I205" s="1"/>
    </row>
    <row r="206" spans="2:9" s="7" customFormat="1" ht="12.75">
      <c r="B206" s="8">
        <v>0</v>
      </c>
      <c r="C206" s="8"/>
      <c r="D206" s="8"/>
      <c r="E206" s="8"/>
      <c r="F206" s="9">
        <v>-0.6</v>
      </c>
      <c r="G206" s="8">
        <f>E206*F206</f>
        <v>0</v>
      </c>
      <c r="H206" s="8">
        <f>B206-G206</f>
        <v>0</v>
      </c>
      <c r="I206" s="8"/>
    </row>
    <row r="207" spans="2:9" s="16" customFormat="1" ht="13.5" thickBot="1">
      <c r="B207" s="16">
        <f>SUM(B205:B206)</f>
        <v>0</v>
      </c>
      <c r="C207" s="16">
        <f>SUM(C205:C206)</f>
        <v>0</v>
      </c>
      <c r="D207" s="16">
        <f>SUM(D205:D206)</f>
        <v>0</v>
      </c>
      <c r="E207" s="16">
        <f>SUM(E205:E206)</f>
        <v>0</v>
      </c>
      <c r="G207" s="16">
        <f>SUM(G205:G206)</f>
        <v>0</v>
      </c>
      <c r="H207" s="16">
        <f>SUM(H205:H206)</f>
        <v>0</v>
      </c>
      <c r="I207" s="16">
        <f>I203+B207</f>
        <v>-292463.52999999997</v>
      </c>
    </row>
    <row r="208" spans="2:9" ht="12.75">
      <c r="B208" s="1"/>
      <c r="C208" s="1"/>
      <c r="D208" s="1"/>
      <c r="E208" s="1"/>
      <c r="G208" s="1"/>
      <c r="H208" s="1"/>
      <c r="I208" s="1"/>
    </row>
    <row r="209" spans="1:9" ht="12.75">
      <c r="A209" t="s">
        <v>14</v>
      </c>
      <c r="B209" s="1"/>
      <c r="C209" s="1"/>
      <c r="D209" s="1"/>
      <c r="E209" s="1"/>
      <c r="F209" s="2">
        <v>-0.6</v>
      </c>
      <c r="G209" s="1">
        <f>E209*F209</f>
        <v>0</v>
      </c>
      <c r="H209" s="1">
        <f>B209-G209</f>
        <v>0</v>
      </c>
      <c r="I209" s="1"/>
    </row>
    <row r="210" spans="2:9" s="7" customFormat="1" ht="12.75">
      <c r="B210" s="8">
        <v>0</v>
      </c>
      <c r="C210" s="8"/>
      <c r="D210" s="8"/>
      <c r="E210" s="8"/>
      <c r="F210" s="9">
        <v>-0.6</v>
      </c>
      <c r="G210" s="8">
        <f>E210*F210</f>
        <v>0</v>
      </c>
      <c r="H210" s="8">
        <f>B210-G210</f>
        <v>0</v>
      </c>
      <c r="I210" s="8"/>
    </row>
    <row r="211" spans="2:9" s="16" customFormat="1" ht="13.5" thickBot="1">
      <c r="B211" s="16">
        <f>SUM(B209:B210)</f>
        <v>0</v>
      </c>
      <c r="C211" s="16">
        <f>SUM(C209:C210)</f>
        <v>0</v>
      </c>
      <c r="D211" s="16">
        <f>SUM(D209:D210)</f>
        <v>0</v>
      </c>
      <c r="E211" s="16">
        <f>SUM(E209:E210)</f>
        <v>0</v>
      </c>
      <c r="G211" s="16">
        <f>SUM(G209:G210)</f>
        <v>0</v>
      </c>
      <c r="H211" s="16">
        <f>SUM(H209:H210)</f>
        <v>0</v>
      </c>
      <c r="I211" s="16">
        <f>I207+B211</f>
        <v>-292463.52999999997</v>
      </c>
    </row>
    <row r="212" spans="2:9" ht="12.75">
      <c r="B212" s="1"/>
      <c r="C212" s="1"/>
      <c r="D212" s="1"/>
      <c r="E212" s="1"/>
      <c r="G212" s="1"/>
      <c r="H212" s="1"/>
      <c r="I212" s="1"/>
    </row>
    <row r="213" spans="2:9" ht="12.75">
      <c r="B213" s="1">
        <f>B164+B169+B174+B178+B183+B187+B191+B195+B199+B203+B207+B211</f>
        <v>-292463.52999999997</v>
      </c>
      <c r="C213" s="1"/>
      <c r="D213" s="1"/>
      <c r="E213" s="1"/>
      <c r="G213" s="1"/>
      <c r="H213" s="1"/>
      <c r="I213" s="1">
        <v>-490572.07</v>
      </c>
    </row>
    <row r="214" spans="2:9" ht="12.75">
      <c r="B214" s="1">
        <f>-E214*0.6</f>
        <v>-43800</v>
      </c>
      <c r="C214" s="1"/>
      <c r="D214" s="1"/>
      <c r="E214" s="1">
        <v>73000</v>
      </c>
      <c r="G214" s="1"/>
      <c r="H214" s="1"/>
      <c r="I214" s="1">
        <f>I211-I213</f>
        <v>198108.54000000004</v>
      </c>
    </row>
    <row r="215" spans="2:9" ht="12.75">
      <c r="B215" s="1">
        <f>-E215*0.6</f>
        <v>-43200</v>
      </c>
      <c r="C215" s="1"/>
      <c r="D215" s="1"/>
      <c r="E215" s="1">
        <v>72000</v>
      </c>
      <c r="G215" s="1"/>
      <c r="H215" s="1"/>
      <c r="I215" s="1"/>
    </row>
    <row r="216" spans="2:9" ht="12.75">
      <c r="B216" s="1">
        <f>-E216*0.6</f>
        <v>-42000</v>
      </c>
      <c r="C216" s="1"/>
      <c r="D216" s="1"/>
      <c r="E216" s="1">
        <v>70000</v>
      </c>
      <c r="G216" s="1"/>
      <c r="H216" s="1"/>
      <c r="I216" s="1"/>
    </row>
    <row r="217" spans="2:9" ht="12.75">
      <c r="B217" s="1">
        <f>-E217*0.6</f>
        <v>-41400</v>
      </c>
      <c r="C217" s="1"/>
      <c r="D217" s="1"/>
      <c r="E217" s="1">
        <v>69000</v>
      </c>
      <c r="G217" s="1"/>
      <c r="H217" s="1"/>
      <c r="I217" s="1"/>
    </row>
    <row r="218" spans="2:9" ht="12.75">
      <c r="B218" s="1">
        <f>-E218*0.6</f>
        <v>-41400</v>
      </c>
      <c r="C218" s="1"/>
      <c r="D218" s="1"/>
      <c r="E218" s="1">
        <v>69000</v>
      </c>
      <c r="G218" s="1"/>
      <c r="H218" s="1"/>
      <c r="I218" s="1"/>
    </row>
    <row r="219" spans="2:9" ht="12.75">
      <c r="B219" s="1"/>
      <c r="C219" s="1"/>
      <c r="D219" s="1"/>
      <c r="E219" s="1"/>
      <c r="G219" s="1"/>
      <c r="H219" s="1"/>
      <c r="I219" s="1"/>
    </row>
    <row r="220" spans="2:9" ht="12.75">
      <c r="B220" s="1">
        <f>ROUND(SUM(B213:B219),-3)</f>
        <v>-504000</v>
      </c>
      <c r="C220" s="1"/>
      <c r="D220" s="1"/>
      <c r="E220" s="1"/>
      <c r="G220" s="1"/>
      <c r="H220" s="1"/>
      <c r="I220" s="1"/>
    </row>
    <row r="221" spans="2:9" ht="12.75">
      <c r="B221" s="1"/>
      <c r="C221" s="1"/>
      <c r="D221" s="1"/>
      <c r="E221" s="1"/>
      <c r="G221" s="1"/>
      <c r="H221" s="1"/>
      <c r="I221" s="1"/>
    </row>
    <row r="222" spans="2:9" ht="12.75">
      <c r="B222" s="1">
        <f>B220/0.6</f>
        <v>-840000</v>
      </c>
      <c r="C222" s="1"/>
      <c r="D222" s="1"/>
      <c r="E222" s="1"/>
      <c r="G222" s="1"/>
      <c r="H222" s="1"/>
      <c r="I222" s="1"/>
    </row>
    <row r="223" spans="2:9" ht="12.75">
      <c r="B223" s="1">
        <f>B222*1.02</f>
        <v>-856800</v>
      </c>
      <c r="C223" s="1"/>
      <c r="D223" s="1"/>
      <c r="E223" s="1"/>
      <c r="G223" s="1"/>
      <c r="H223" s="1"/>
      <c r="I223" s="1"/>
    </row>
    <row r="224" spans="2:9" ht="12.75">
      <c r="B224" s="1"/>
      <c r="C224" s="1"/>
      <c r="D224" s="1"/>
      <c r="E224" s="1"/>
      <c r="G224" s="1"/>
      <c r="H224" s="1"/>
      <c r="I224" s="1"/>
    </row>
    <row r="225" spans="2:9" ht="12.75">
      <c r="B225" s="1"/>
      <c r="C225" s="1"/>
      <c r="D225" s="1"/>
      <c r="E225" s="1"/>
      <c r="G225" s="1"/>
      <c r="H225" s="1"/>
      <c r="I225" s="1"/>
    </row>
    <row r="226" spans="2:9" ht="12.75">
      <c r="B226" s="1"/>
      <c r="C226" s="1"/>
      <c r="D226" s="1"/>
      <c r="E226" s="1"/>
      <c r="G226" s="1"/>
      <c r="H226" s="1"/>
      <c r="I226" s="1"/>
    </row>
    <row r="227" spans="2:9" ht="12.75">
      <c r="B227" s="1"/>
      <c r="C227" s="1"/>
      <c r="D227" s="1"/>
      <c r="E227" s="1"/>
      <c r="G227" s="1"/>
      <c r="H227" s="1"/>
      <c r="I227" s="1"/>
    </row>
    <row r="228" spans="2:9" ht="12.75">
      <c r="B228" s="1"/>
      <c r="C228" s="1"/>
      <c r="D228" s="1"/>
      <c r="E228" s="1"/>
      <c r="G228" s="1"/>
      <c r="H228" s="1"/>
      <c r="I228" s="1"/>
    </row>
    <row r="229" spans="2:9" ht="12.75">
      <c r="B229" s="1"/>
      <c r="C229" s="1"/>
      <c r="D229" s="1"/>
      <c r="E229" s="1"/>
      <c r="G229" s="1"/>
      <c r="H229" s="1"/>
      <c r="I229" s="1"/>
    </row>
    <row r="230" spans="2:9" ht="12.75">
      <c r="B230" s="1"/>
      <c r="C230" s="1"/>
      <c r="D230" s="1"/>
      <c r="E230" s="1"/>
      <c r="G230" s="1"/>
      <c r="H230" s="1"/>
      <c r="I230" s="1"/>
    </row>
    <row r="231" spans="2:9" ht="12.75">
      <c r="B231" s="1"/>
      <c r="C231" s="1"/>
      <c r="D231" s="1"/>
      <c r="E231" s="1"/>
      <c r="G231" s="1"/>
      <c r="H231" s="1"/>
      <c r="I231" s="1"/>
    </row>
    <row r="232" spans="2:9" ht="12.75">
      <c r="B232" s="1"/>
      <c r="C232" s="1"/>
      <c r="D232" s="1"/>
      <c r="E232" s="1"/>
      <c r="G232" s="1"/>
      <c r="H232" s="1"/>
      <c r="I232" s="1"/>
    </row>
    <row r="233" spans="2:9" ht="12.75">
      <c r="B233" s="1"/>
      <c r="C233" s="1"/>
      <c r="D233" s="1"/>
      <c r="E233" s="1"/>
      <c r="G233" s="1"/>
      <c r="H233" s="1"/>
      <c r="I233" s="1"/>
    </row>
    <row r="234" spans="2:9" ht="12.75">
      <c r="B234" s="1"/>
      <c r="C234" s="1"/>
      <c r="D234" s="1"/>
      <c r="E234" s="1"/>
      <c r="G234" s="1"/>
      <c r="H234" s="1"/>
      <c r="I234" s="1"/>
    </row>
    <row r="235" spans="2:9" ht="12.75">
      <c r="B235" s="1"/>
      <c r="C235" s="1"/>
      <c r="D235" s="1"/>
      <c r="E235" s="1"/>
      <c r="G235" s="1"/>
      <c r="H235" s="1"/>
      <c r="I235" s="1"/>
    </row>
    <row r="236" spans="2:9" ht="12.75">
      <c r="B236" s="1"/>
      <c r="C236" s="1"/>
      <c r="D236" s="1"/>
      <c r="E236" s="1"/>
      <c r="G236" s="1"/>
      <c r="H236" s="1"/>
      <c r="I236" s="1"/>
    </row>
    <row r="237" spans="2:9" ht="12.75">
      <c r="B237" s="1"/>
      <c r="C237" s="1"/>
      <c r="D237" s="1"/>
      <c r="E237" s="1"/>
      <c r="G237" s="1"/>
      <c r="H237" s="1"/>
      <c r="I237" s="1"/>
    </row>
    <row r="238" spans="2:9" ht="12.75">
      <c r="B238" s="1"/>
      <c r="C238" s="1"/>
      <c r="D238" s="1"/>
      <c r="E238" s="1"/>
      <c r="G238" s="1"/>
      <c r="H238" s="1"/>
      <c r="I238" s="1"/>
    </row>
    <row r="239" spans="2:9" ht="12.75">
      <c r="B239" s="1"/>
      <c r="C239" s="1"/>
      <c r="D239" s="1"/>
      <c r="E239" s="1"/>
      <c r="G239" s="1"/>
      <c r="H239" s="1"/>
      <c r="I239" s="1"/>
    </row>
    <row r="240" spans="2:9" ht="12.75">
      <c r="B240" s="1"/>
      <c r="C240" s="1"/>
      <c r="D240" s="1"/>
      <c r="E240" s="1"/>
      <c r="G240" s="1"/>
      <c r="H240" s="1"/>
      <c r="I240" s="1"/>
    </row>
    <row r="241" spans="2:9" ht="12.75">
      <c r="B241" s="1"/>
      <c r="C241" s="1"/>
      <c r="D241" s="1"/>
      <c r="E241" s="1"/>
      <c r="G241" s="1"/>
      <c r="H241" s="1"/>
      <c r="I241" s="1"/>
    </row>
    <row r="242" spans="2:9" ht="12.75">
      <c r="B242" s="1"/>
      <c r="C242" s="1"/>
      <c r="D242" s="1"/>
      <c r="E242" s="1"/>
      <c r="G242" s="1"/>
      <c r="H242" s="1"/>
      <c r="I242" s="1"/>
    </row>
    <row r="243" spans="2:9" ht="12.75">
      <c r="B243" s="1"/>
      <c r="C243" s="1"/>
      <c r="D243" s="1"/>
      <c r="E243" s="1"/>
      <c r="G243" s="1"/>
      <c r="H243" s="1"/>
      <c r="I243" s="1"/>
    </row>
    <row r="244" spans="2:9" ht="12.75">
      <c r="B244" s="1"/>
      <c r="C244" s="1"/>
      <c r="D244" s="1"/>
      <c r="E244" s="1"/>
      <c r="G244" s="1"/>
      <c r="H244" s="1"/>
      <c r="I244" s="1"/>
    </row>
    <row r="245" spans="2:9" ht="12.75">
      <c r="B245" s="1"/>
      <c r="C245" s="1"/>
      <c r="D245" s="1"/>
      <c r="E245" s="1"/>
      <c r="G245" s="1"/>
      <c r="H245" s="1"/>
      <c r="I245" s="1"/>
    </row>
    <row r="246" spans="2:9" ht="12.75">
      <c r="B246" s="1"/>
      <c r="C246" s="1"/>
      <c r="D246" s="1"/>
      <c r="E246" s="1"/>
      <c r="G246" s="1"/>
      <c r="H246" s="1"/>
      <c r="I246" s="1"/>
    </row>
    <row r="247" spans="2:9" ht="12.75">
      <c r="B247" s="1"/>
      <c r="C247" s="1"/>
      <c r="D247" s="1"/>
      <c r="E247" s="1"/>
      <c r="G247" s="1"/>
      <c r="H247" s="1"/>
      <c r="I247" s="1"/>
    </row>
    <row r="248" spans="2:9" ht="12.75">
      <c r="B248" s="1"/>
      <c r="C248" s="1"/>
      <c r="D248" s="1"/>
      <c r="E248" s="1"/>
      <c r="G248" s="1"/>
      <c r="H248" s="1"/>
      <c r="I248" s="1"/>
    </row>
    <row r="249" spans="2:9" ht="12.75">
      <c r="B249" s="1"/>
      <c r="C249" s="1"/>
      <c r="D249" s="1"/>
      <c r="E249" s="1"/>
      <c r="G249" s="1"/>
      <c r="H249" s="1"/>
      <c r="I249" s="1"/>
    </row>
    <row r="250" spans="2:9" ht="12.75">
      <c r="B250" s="1"/>
      <c r="C250" s="1"/>
      <c r="D250" s="1"/>
      <c r="E250" s="1"/>
      <c r="G250" s="1"/>
      <c r="H250" s="1"/>
      <c r="I250" s="1"/>
    </row>
    <row r="251" spans="2:9" ht="12.75">
      <c r="B251" s="1"/>
      <c r="C251" s="1"/>
      <c r="D251" s="1"/>
      <c r="E251" s="1"/>
      <c r="G251" s="1"/>
      <c r="H251" s="1"/>
      <c r="I251" s="1"/>
    </row>
    <row r="252" spans="2:9" ht="12.75">
      <c r="B252" s="1"/>
      <c r="C252" s="1"/>
      <c r="D252" s="1"/>
      <c r="E252" s="1"/>
      <c r="G252" s="1"/>
      <c r="H252" s="1"/>
      <c r="I252" s="1"/>
    </row>
    <row r="253" spans="2:9" ht="12.75">
      <c r="B253" s="1"/>
      <c r="C253" s="1"/>
      <c r="D253" s="1"/>
      <c r="E253" s="1"/>
      <c r="G253" s="1"/>
      <c r="H253" s="1"/>
      <c r="I253" s="1"/>
    </row>
    <row r="254" spans="2:9" ht="12.75">
      <c r="B254" s="1"/>
      <c r="C254" s="1"/>
      <c r="D254" s="1"/>
      <c r="E254" s="1"/>
      <c r="G254" s="1"/>
      <c r="H254" s="1"/>
      <c r="I254" s="1"/>
    </row>
    <row r="255" spans="2:9" ht="12.75">
      <c r="B255" s="1"/>
      <c r="C255" s="1"/>
      <c r="D255" s="1"/>
      <c r="E255" s="1"/>
      <c r="G255" s="1"/>
      <c r="H255" s="1"/>
      <c r="I255" s="1"/>
    </row>
    <row r="256" spans="2:9" ht="12.75">
      <c r="B256" s="1"/>
      <c r="C256" s="1"/>
      <c r="D256" s="1"/>
      <c r="E256" s="1"/>
      <c r="G256" s="1"/>
      <c r="H256" s="1"/>
      <c r="I256" s="1"/>
    </row>
    <row r="257" spans="2:9" ht="12.75">
      <c r="B257" s="1"/>
      <c r="C257" s="1"/>
      <c r="D257" s="1"/>
      <c r="E257" s="1"/>
      <c r="G257" s="1"/>
      <c r="H257" s="1"/>
      <c r="I257" s="1"/>
    </row>
    <row r="258" spans="2:9" ht="12.75">
      <c r="B258" s="1"/>
      <c r="C258" s="1"/>
      <c r="D258" s="1"/>
      <c r="E258" s="1"/>
      <c r="G258" s="1"/>
      <c r="H258" s="1"/>
      <c r="I258" s="1"/>
    </row>
    <row r="259" spans="2:9" ht="12.75">
      <c r="B259" s="1"/>
      <c r="C259" s="1"/>
      <c r="D259" s="1"/>
      <c r="E259" s="1"/>
      <c r="G259" s="1"/>
      <c r="H259" s="1"/>
      <c r="I259" s="1"/>
    </row>
    <row r="260" spans="2:9" ht="12.75">
      <c r="B260" s="1"/>
      <c r="C260" s="1"/>
      <c r="D260" s="1"/>
      <c r="E260" s="1"/>
      <c r="G260" s="1"/>
      <c r="H260" s="1"/>
      <c r="I260" s="1"/>
    </row>
    <row r="261" spans="2:9" ht="12.75">
      <c r="B261" s="1"/>
      <c r="C261" s="1"/>
      <c r="D261" s="1"/>
      <c r="E261" s="1"/>
      <c r="G261" s="1"/>
      <c r="H261" s="1"/>
      <c r="I261" s="1"/>
    </row>
    <row r="262" spans="2:9" ht="12.75">
      <c r="B262" s="1"/>
      <c r="C262" s="1"/>
      <c r="D262" s="1"/>
      <c r="E262" s="1"/>
      <c r="G262" s="1"/>
      <c r="H262" s="1"/>
      <c r="I262" s="1"/>
    </row>
    <row r="263" spans="2:9" ht="12.75">
      <c r="B263" s="1"/>
      <c r="C263" s="1"/>
      <c r="D263" s="1"/>
      <c r="E263" s="1"/>
      <c r="G263" s="1"/>
      <c r="H263" s="1"/>
      <c r="I263" s="1"/>
    </row>
    <row r="264" spans="2:9" ht="12.75">
      <c r="B264" s="1"/>
      <c r="C264" s="1"/>
      <c r="D264" s="1"/>
      <c r="E264" s="1"/>
      <c r="G264" s="1"/>
      <c r="H264" s="1"/>
      <c r="I264" s="1"/>
    </row>
    <row r="265" spans="2:9" ht="12.75">
      <c r="B265" s="1"/>
      <c r="C265" s="1"/>
      <c r="D265" s="1"/>
      <c r="E265" s="1"/>
      <c r="G265" s="1"/>
      <c r="H265" s="1"/>
      <c r="I265" s="1"/>
    </row>
    <row r="266" spans="2:9" ht="12.75">
      <c r="B266" s="1"/>
      <c r="C266" s="1"/>
      <c r="D266" s="1"/>
      <c r="E266" s="1"/>
      <c r="G266" s="1"/>
      <c r="H266" s="1"/>
      <c r="I266" s="1"/>
    </row>
    <row r="267" spans="2:9" ht="12.75">
      <c r="B267" s="1"/>
      <c r="C267" s="1"/>
      <c r="D267" s="1"/>
      <c r="E267" s="1"/>
      <c r="G267" s="1"/>
      <c r="H267" s="1"/>
      <c r="I267" s="1"/>
    </row>
    <row r="268" spans="2:9" ht="12.75">
      <c r="B268" s="1"/>
      <c r="C268" s="1"/>
      <c r="D268" s="1"/>
      <c r="E268" s="1"/>
      <c r="G268" s="1"/>
      <c r="H268" s="1"/>
      <c r="I268" s="1"/>
    </row>
    <row r="269" spans="2:9" ht="12.75">
      <c r="B269" s="1"/>
      <c r="C269" s="1"/>
      <c r="D269" s="1"/>
      <c r="E269" s="1"/>
      <c r="G269" s="1"/>
      <c r="H269" s="1"/>
      <c r="I269" s="1"/>
    </row>
    <row r="270" spans="2:9" ht="12.75">
      <c r="B270" s="1"/>
      <c r="C270" s="1"/>
      <c r="D270" s="1"/>
      <c r="E270" s="1"/>
      <c r="G270" s="1"/>
      <c r="H270" s="1"/>
      <c r="I270" s="1"/>
    </row>
    <row r="271" spans="2:9" ht="12.75">
      <c r="B271" s="1"/>
      <c r="C271" s="1"/>
      <c r="D271" s="1"/>
      <c r="E271" s="1"/>
      <c r="G271" s="1"/>
      <c r="H271" s="1"/>
      <c r="I271" s="1"/>
    </row>
    <row r="272" spans="2:9" ht="12.75">
      <c r="B272" s="1"/>
      <c r="C272" s="1"/>
      <c r="D272" s="1"/>
      <c r="E272" s="1"/>
      <c r="G272" s="1"/>
      <c r="H272" s="1"/>
      <c r="I272" s="1"/>
    </row>
    <row r="273" spans="2:9" ht="12.75">
      <c r="B273" s="1"/>
      <c r="C273" s="1"/>
      <c r="D273" s="1"/>
      <c r="E273" s="1"/>
      <c r="G273" s="1"/>
      <c r="H273" s="1"/>
      <c r="I273" s="1"/>
    </row>
    <row r="274" spans="2:9" ht="12.75">
      <c r="B274" s="1"/>
      <c r="C274" s="1"/>
      <c r="D274" s="1"/>
      <c r="E274" s="1"/>
      <c r="G274" s="1"/>
      <c r="H274" s="1"/>
      <c r="I274" s="1"/>
    </row>
    <row r="275" spans="2:9" ht="12.75">
      <c r="B275" s="1"/>
      <c r="C275" s="1"/>
      <c r="D275" s="1"/>
      <c r="E275" s="1"/>
      <c r="G275" s="1"/>
      <c r="H275" s="1"/>
      <c r="I275" s="1"/>
    </row>
    <row r="276" spans="2:9" ht="12.75">
      <c r="B276" s="1"/>
      <c r="C276" s="1"/>
      <c r="D276" s="1"/>
      <c r="E276" s="1"/>
      <c r="G276" s="1"/>
      <c r="H276" s="1"/>
      <c r="I276" s="1"/>
    </row>
    <row r="277" spans="2:9" ht="12.75">
      <c r="B277" s="1"/>
      <c r="C277" s="1"/>
      <c r="D277" s="1"/>
      <c r="E277" s="1"/>
      <c r="G277" s="1"/>
      <c r="H277" s="1"/>
      <c r="I277" s="1"/>
    </row>
    <row r="278" spans="2:9" ht="12.75">
      <c r="B278" s="1"/>
      <c r="C278" s="1"/>
      <c r="D278" s="1"/>
      <c r="E278" s="1"/>
      <c r="G278" s="1"/>
      <c r="H278" s="1"/>
      <c r="I278" s="1"/>
    </row>
    <row r="279" spans="2:9" ht="12.75">
      <c r="B279" s="1"/>
      <c r="C279" s="1"/>
      <c r="D279" s="1"/>
      <c r="E279" s="1"/>
      <c r="G279" s="1"/>
      <c r="H279" s="1"/>
      <c r="I279" s="1"/>
    </row>
    <row r="280" spans="2:9" ht="12.75">
      <c r="B280" s="1"/>
      <c r="C280" s="1"/>
      <c r="D280" s="1"/>
      <c r="E280" s="1"/>
      <c r="G280" s="1"/>
      <c r="H280" s="1"/>
      <c r="I280" s="1"/>
    </row>
    <row r="281" spans="2:9" ht="12.75">
      <c r="B281" s="1"/>
      <c r="C281" s="1"/>
      <c r="D281" s="1"/>
      <c r="E281" s="1"/>
      <c r="G281" s="1"/>
      <c r="H281" s="1"/>
      <c r="I281" s="1"/>
    </row>
    <row r="282" spans="2:9" ht="12.75">
      <c r="B282" s="1"/>
      <c r="C282" s="1"/>
      <c r="D282" s="1"/>
      <c r="E282" s="1"/>
      <c r="G282" s="1"/>
      <c r="H282" s="1"/>
      <c r="I282" s="1"/>
    </row>
    <row r="283" spans="2:9" ht="12.75">
      <c r="B283" s="1"/>
      <c r="C283" s="1"/>
      <c r="D283" s="1"/>
      <c r="E283" s="1"/>
      <c r="G283" s="1"/>
      <c r="H283" s="1"/>
      <c r="I283" s="1"/>
    </row>
    <row r="284" spans="2:9" ht="12.75">
      <c r="B284" s="1"/>
      <c r="C284" s="1"/>
      <c r="D284" s="1"/>
      <c r="E284" s="1"/>
      <c r="G284" s="1"/>
      <c r="H284" s="1"/>
      <c r="I284" s="1"/>
    </row>
    <row r="285" spans="2:9" ht="12.75">
      <c r="B285" s="1"/>
      <c r="C285" s="1"/>
      <c r="D285" s="1"/>
      <c r="E285" s="1"/>
      <c r="G285" s="1"/>
      <c r="H285" s="1"/>
      <c r="I285" s="1"/>
    </row>
    <row r="286" spans="2:9" ht="12.75">
      <c r="B286" s="1"/>
      <c r="C286" s="1"/>
      <c r="D286" s="1"/>
      <c r="E286" s="1"/>
      <c r="G286" s="1"/>
      <c r="H286" s="1"/>
      <c r="I286" s="1"/>
    </row>
    <row r="287" spans="2:9" ht="12.75">
      <c r="B287" s="1"/>
      <c r="C287" s="1"/>
      <c r="D287" s="1"/>
      <c r="E287" s="1"/>
      <c r="G287" s="1"/>
      <c r="H287" s="1"/>
      <c r="I287" s="1"/>
    </row>
    <row r="288" spans="2:9" ht="12.75">
      <c r="B288" s="1"/>
      <c r="C288" s="1"/>
      <c r="D288" s="1"/>
      <c r="E288" s="1"/>
      <c r="G288" s="1"/>
      <c r="H288" s="1"/>
      <c r="I288" s="1"/>
    </row>
    <row r="289" spans="2:9" ht="12.75">
      <c r="B289" s="1"/>
      <c r="C289" s="1"/>
      <c r="D289" s="1"/>
      <c r="E289" s="1"/>
      <c r="G289" s="1"/>
      <c r="H289" s="1"/>
      <c r="I289" s="1"/>
    </row>
    <row r="290" spans="2:9" ht="12.75">
      <c r="B290" s="1"/>
      <c r="C290" s="1"/>
      <c r="D290" s="1"/>
      <c r="E290" s="1"/>
      <c r="G290" s="1"/>
      <c r="H290" s="1"/>
      <c r="I290" s="1"/>
    </row>
    <row r="291" spans="2:9" ht="12.75">
      <c r="B291" s="1"/>
      <c r="C291" s="1"/>
      <c r="D291" s="1"/>
      <c r="E291" s="1"/>
      <c r="G291" s="1"/>
      <c r="H291" s="1"/>
      <c r="I291" s="1"/>
    </row>
    <row r="292" spans="2:9" ht="12.75">
      <c r="B292" s="1"/>
      <c r="C292" s="1"/>
      <c r="D292" s="1"/>
      <c r="E292" s="1"/>
      <c r="G292" s="1"/>
      <c r="H292" s="1"/>
      <c r="I292" s="1"/>
    </row>
    <row r="293" spans="2:9" ht="12.75">
      <c r="B293" s="1"/>
      <c r="C293" s="1"/>
      <c r="D293" s="1"/>
      <c r="E293" s="1"/>
      <c r="G293" s="1"/>
      <c r="H293" s="1"/>
      <c r="I293" s="1"/>
    </row>
    <row r="294" spans="2:9" ht="12.75">
      <c r="B294" s="1"/>
      <c r="C294" s="1"/>
      <c r="D294" s="1"/>
      <c r="E294" s="1"/>
      <c r="G294" s="1"/>
      <c r="H294" s="1"/>
      <c r="I294" s="1"/>
    </row>
    <row r="295" spans="2:9" ht="12.75">
      <c r="B295" s="1"/>
      <c r="C295" s="1"/>
      <c r="D295" s="1"/>
      <c r="E295" s="1"/>
      <c r="G295" s="1"/>
      <c r="H295" s="1"/>
      <c r="I295" s="1"/>
    </row>
    <row r="296" spans="2:9" ht="12.75">
      <c r="B296" s="1"/>
      <c r="C296" s="1"/>
      <c r="D296" s="1"/>
      <c r="E296" s="1"/>
      <c r="G296" s="1"/>
      <c r="H296" s="1"/>
      <c r="I296" s="1"/>
    </row>
    <row r="297" spans="2:9" ht="12.75">
      <c r="B297" s="1"/>
      <c r="C297" s="1"/>
      <c r="D297" s="1"/>
      <c r="E297" s="1"/>
      <c r="G297" s="1"/>
      <c r="H297" s="1"/>
      <c r="I297" s="1"/>
    </row>
    <row r="298" spans="2:9" ht="12.75">
      <c r="B298" s="1"/>
      <c r="C298" s="1"/>
      <c r="D298" s="1"/>
      <c r="E298" s="1"/>
      <c r="G298" s="1"/>
      <c r="H298" s="1"/>
      <c r="I298" s="1"/>
    </row>
    <row r="299" spans="2:9" ht="12.75">
      <c r="B299" s="1"/>
      <c r="C299" s="1"/>
      <c r="D299" s="1"/>
      <c r="E299" s="1"/>
      <c r="G299" s="1"/>
      <c r="H299" s="1"/>
      <c r="I299" s="1"/>
    </row>
    <row r="300" spans="2:9" ht="12.75">
      <c r="B300" s="1"/>
      <c r="C300" s="1"/>
      <c r="D300" s="1"/>
      <c r="E300" s="1"/>
      <c r="G300" s="1"/>
      <c r="H300" s="1"/>
      <c r="I300" s="1"/>
    </row>
    <row r="301" spans="2:9" ht="12.75">
      <c r="B301" s="1"/>
      <c r="C301" s="1"/>
      <c r="D301" s="1"/>
      <c r="E301" s="1"/>
      <c r="G301" s="1"/>
      <c r="H301" s="1"/>
      <c r="I301" s="1"/>
    </row>
    <row r="302" spans="2:9" ht="12.75">
      <c r="B302" s="1"/>
      <c r="C302" s="1"/>
      <c r="D302" s="1"/>
      <c r="E302" s="1"/>
      <c r="G302" s="1"/>
      <c r="H302" s="1"/>
      <c r="I302" s="1"/>
    </row>
    <row r="303" spans="2:9" ht="12.75">
      <c r="B303" s="1"/>
      <c r="C303" s="1"/>
      <c r="D303" s="1"/>
      <c r="E303" s="1"/>
      <c r="G303" s="1"/>
      <c r="H303" s="1"/>
      <c r="I303" s="1"/>
    </row>
    <row r="304" spans="2:9" ht="12.75">
      <c r="B304" s="1"/>
      <c r="C304" s="1"/>
      <c r="D304" s="1"/>
      <c r="E304" s="1"/>
      <c r="G304" s="1"/>
      <c r="H304" s="1"/>
      <c r="I304" s="1"/>
    </row>
    <row r="305" spans="2:9" ht="12.75">
      <c r="B305" s="1"/>
      <c r="C305" s="1"/>
      <c r="D305" s="1"/>
      <c r="E305" s="1"/>
      <c r="G305" s="1"/>
      <c r="H305" s="1"/>
      <c r="I305" s="1"/>
    </row>
    <row r="306" spans="2:9" ht="12.75">
      <c r="B306" s="1"/>
      <c r="C306" s="1"/>
      <c r="D306" s="1"/>
      <c r="E306" s="1"/>
      <c r="G306" s="1"/>
      <c r="H306" s="1"/>
      <c r="I306" s="1"/>
    </row>
    <row r="307" spans="2:9" ht="12.75">
      <c r="B307" s="1"/>
      <c r="C307" s="1"/>
      <c r="D307" s="1"/>
      <c r="E307" s="1"/>
      <c r="G307" s="1"/>
      <c r="H307" s="1"/>
      <c r="I307" s="1"/>
    </row>
    <row r="308" spans="2:9" ht="12.75">
      <c r="B308" s="1"/>
      <c r="C308" s="1"/>
      <c r="D308" s="1"/>
      <c r="E308" s="1"/>
      <c r="G308" s="1"/>
      <c r="H308" s="1"/>
      <c r="I308" s="1"/>
    </row>
    <row r="309" spans="2:9" ht="12.75">
      <c r="B309" s="1"/>
      <c r="C309" s="1"/>
      <c r="D309" s="1"/>
      <c r="E309" s="1"/>
      <c r="G309" s="1"/>
      <c r="H309" s="1"/>
      <c r="I309" s="1"/>
    </row>
    <row r="310" spans="2:9" ht="12.75">
      <c r="B310" s="1"/>
      <c r="C310" s="1"/>
      <c r="D310" s="1"/>
      <c r="E310" s="1"/>
      <c r="G310" s="1"/>
      <c r="H310" s="1"/>
      <c r="I310" s="1"/>
    </row>
    <row r="311" spans="2:9" ht="12.75">
      <c r="B311" s="1"/>
      <c r="C311" s="1"/>
      <c r="D311" s="1"/>
      <c r="E311" s="1"/>
      <c r="G311" s="1"/>
      <c r="H311" s="1"/>
      <c r="I311" s="1"/>
    </row>
    <row r="312" spans="2:9" ht="12.75">
      <c r="B312" s="1"/>
      <c r="C312" s="1"/>
      <c r="D312" s="1"/>
      <c r="E312" s="1"/>
      <c r="G312" s="1"/>
      <c r="H312" s="1"/>
      <c r="I312" s="1"/>
    </row>
    <row r="313" spans="2:9" ht="12.75">
      <c r="B313" s="1"/>
      <c r="C313" s="1"/>
      <c r="D313" s="1"/>
      <c r="E313" s="1"/>
      <c r="G313" s="1"/>
      <c r="H313" s="1"/>
      <c r="I313" s="1"/>
    </row>
    <row r="314" spans="2:9" ht="12.75">
      <c r="B314" s="1"/>
      <c r="C314" s="1"/>
      <c r="D314" s="1"/>
      <c r="E314" s="1"/>
      <c r="G314" s="1"/>
      <c r="H314" s="1"/>
      <c r="I314" s="1"/>
    </row>
    <row r="315" spans="2:9" ht="12.75">
      <c r="B315" s="1"/>
      <c r="C315" s="1"/>
      <c r="D315" s="1"/>
      <c r="E315" s="1"/>
      <c r="G315" s="1"/>
      <c r="H315" s="1"/>
      <c r="I315" s="1"/>
    </row>
    <row r="316" spans="2:9" ht="12.75">
      <c r="B316" s="1"/>
      <c r="C316" s="1"/>
      <c r="D316" s="1"/>
      <c r="E316" s="1"/>
      <c r="G316" s="1"/>
      <c r="H316" s="1"/>
      <c r="I316" s="1"/>
    </row>
    <row r="317" spans="2:9" ht="12.75">
      <c r="B317" s="1"/>
      <c r="C317" s="1"/>
      <c r="D317" s="1"/>
      <c r="E317" s="1"/>
      <c r="G317" s="1"/>
      <c r="H317" s="1"/>
      <c r="I317" s="1"/>
    </row>
    <row r="318" spans="2:9" ht="12.75">
      <c r="B318" s="1"/>
      <c r="C318" s="1"/>
      <c r="D318" s="1"/>
      <c r="E318" s="1"/>
      <c r="G318" s="1"/>
      <c r="H318" s="1"/>
      <c r="I318" s="1"/>
    </row>
    <row r="319" spans="2:9" ht="12.75">
      <c r="B319" s="1"/>
      <c r="C319" s="1"/>
      <c r="D319" s="1"/>
      <c r="E319" s="1"/>
      <c r="G319" s="1"/>
      <c r="H319" s="1"/>
      <c r="I319" s="1"/>
    </row>
    <row r="320" spans="2:9" ht="12.75">
      <c r="B320" s="1"/>
      <c r="C320" s="1"/>
      <c r="D320" s="1"/>
      <c r="E320" s="1"/>
      <c r="G320" s="1"/>
      <c r="H320" s="1"/>
      <c r="I320" s="1"/>
    </row>
    <row r="321" spans="2:9" ht="12.75">
      <c r="B321" s="1"/>
      <c r="C321" s="1"/>
      <c r="D321" s="1"/>
      <c r="E321" s="1"/>
      <c r="G321" s="1"/>
      <c r="H321" s="1"/>
      <c r="I321" s="1"/>
    </row>
    <row r="322" spans="2:9" ht="12.75">
      <c r="B322" s="1"/>
      <c r="C322" s="1"/>
      <c r="D322" s="1"/>
      <c r="E322" s="1"/>
      <c r="G322" s="1"/>
      <c r="H322" s="1"/>
      <c r="I322" s="1"/>
    </row>
    <row r="323" spans="2:9" ht="12.75">
      <c r="B323" s="1"/>
      <c r="C323" s="1"/>
      <c r="D323" s="1"/>
      <c r="E323" s="1"/>
      <c r="G323" s="1"/>
      <c r="H323" s="1"/>
      <c r="I323" s="1"/>
    </row>
    <row r="324" spans="2:9" ht="12.75">
      <c r="B324" s="1"/>
      <c r="C324" s="1"/>
      <c r="D324" s="1"/>
      <c r="E324" s="1"/>
      <c r="G324" s="1"/>
      <c r="H324" s="1"/>
      <c r="I324" s="1"/>
    </row>
    <row r="325" spans="2:9" ht="12.75">
      <c r="B325" s="1"/>
      <c r="C325" s="1"/>
      <c r="D325" s="1"/>
      <c r="E325" s="1"/>
      <c r="G325" s="1"/>
      <c r="H325" s="1"/>
      <c r="I325" s="1"/>
    </row>
    <row r="326" spans="2:9" ht="12.75">
      <c r="B326" s="1"/>
      <c r="C326" s="1"/>
      <c r="D326" s="1"/>
      <c r="E326" s="1"/>
      <c r="G326" s="1"/>
      <c r="H326" s="1"/>
      <c r="I326" s="1"/>
    </row>
    <row r="327" spans="2:9" ht="12.75">
      <c r="B327" s="1"/>
      <c r="C327" s="1"/>
      <c r="D327" s="1"/>
      <c r="E327" s="1"/>
      <c r="G327" s="1"/>
      <c r="H327" s="1"/>
      <c r="I327" s="1"/>
    </row>
    <row r="328" spans="2:9" ht="12.75">
      <c r="B328" s="1"/>
      <c r="C328" s="1"/>
      <c r="D328" s="1"/>
      <c r="E328" s="1"/>
      <c r="G328" s="1"/>
      <c r="H328" s="1"/>
      <c r="I328" s="1"/>
    </row>
    <row r="329" spans="2:9" ht="12.75">
      <c r="B329" s="1"/>
      <c r="C329" s="1"/>
      <c r="D329" s="1"/>
      <c r="E329" s="1"/>
      <c r="G329" s="1"/>
      <c r="H329" s="1"/>
      <c r="I329" s="1"/>
    </row>
    <row r="330" spans="2:9" ht="12.75">
      <c r="B330" s="1"/>
      <c r="C330" s="1"/>
      <c r="D330" s="1"/>
      <c r="E330" s="1"/>
      <c r="G330" s="1"/>
      <c r="H330" s="1"/>
      <c r="I330" s="1"/>
    </row>
    <row r="331" spans="2:9" ht="12.75">
      <c r="B331" s="1"/>
      <c r="C331" s="1"/>
      <c r="D331" s="1"/>
      <c r="E331" s="1"/>
      <c r="G331" s="1"/>
      <c r="H331" s="1"/>
      <c r="I331" s="1"/>
    </row>
    <row r="332" spans="2:9" ht="12.75">
      <c r="B332" s="1"/>
      <c r="C332" s="1"/>
      <c r="D332" s="1"/>
      <c r="E332" s="1"/>
      <c r="G332" s="1"/>
      <c r="H332" s="1"/>
      <c r="I332" s="1"/>
    </row>
    <row r="333" spans="2:9" ht="12.75">
      <c r="B333" s="1"/>
      <c r="C333" s="1"/>
      <c r="D333" s="1"/>
      <c r="E333" s="1"/>
      <c r="G333" s="1"/>
      <c r="H333" s="1"/>
      <c r="I333" s="1"/>
    </row>
    <row r="334" spans="2:9" ht="12.75">
      <c r="B334" s="1"/>
      <c r="C334" s="1"/>
      <c r="D334" s="1"/>
      <c r="E334" s="1"/>
      <c r="G334" s="1"/>
      <c r="H334" s="1"/>
      <c r="I334" s="1"/>
    </row>
    <row r="335" spans="2:9" ht="12.75">
      <c r="B335" s="1"/>
      <c r="C335" s="1"/>
      <c r="D335" s="1"/>
      <c r="E335" s="1"/>
      <c r="G335" s="1"/>
      <c r="H335" s="1"/>
      <c r="I335" s="1"/>
    </row>
    <row r="336" spans="2:9" ht="12.75">
      <c r="B336" s="1"/>
      <c r="C336" s="1"/>
      <c r="D336" s="1"/>
      <c r="E336" s="1"/>
      <c r="G336" s="1"/>
      <c r="H336" s="1"/>
      <c r="I336" s="1"/>
    </row>
    <row r="337" spans="2:9" ht="12.75">
      <c r="B337" s="1"/>
      <c r="C337" s="1"/>
      <c r="D337" s="1"/>
      <c r="E337" s="1"/>
      <c r="G337" s="1"/>
      <c r="H337" s="1"/>
      <c r="I337" s="1"/>
    </row>
    <row r="338" spans="2:9" ht="12.75">
      <c r="B338" s="1"/>
      <c r="C338" s="1"/>
      <c r="D338" s="1"/>
      <c r="E338" s="1"/>
      <c r="G338" s="1"/>
      <c r="H338" s="1"/>
      <c r="I338" s="1"/>
    </row>
    <row r="339" spans="2:9" ht="12.75">
      <c r="B339" s="1"/>
      <c r="C339" s="1"/>
      <c r="D339" s="1"/>
      <c r="E339" s="1"/>
      <c r="G339" s="1"/>
      <c r="H339" s="1"/>
      <c r="I339" s="1"/>
    </row>
    <row r="340" spans="2:9" ht="12.75">
      <c r="B340" s="1"/>
      <c r="C340" s="1"/>
      <c r="D340" s="1"/>
      <c r="E340" s="1"/>
      <c r="G340" s="1"/>
      <c r="H340" s="1"/>
      <c r="I340" s="1"/>
    </row>
    <row r="341" spans="2:9" ht="12.75">
      <c r="B341" s="1"/>
      <c r="C341" s="1"/>
      <c r="D341" s="1"/>
      <c r="E341" s="1"/>
      <c r="G341" s="1"/>
      <c r="H341" s="1"/>
      <c r="I341" s="1"/>
    </row>
    <row r="342" spans="2:9" ht="12.75">
      <c r="B342" s="1"/>
      <c r="C342" s="1"/>
      <c r="D342" s="1"/>
      <c r="E342" s="1"/>
      <c r="G342" s="1"/>
      <c r="H342" s="1"/>
      <c r="I342" s="1"/>
    </row>
    <row r="343" spans="2:9" ht="12.75">
      <c r="B343" s="1"/>
      <c r="C343" s="1"/>
      <c r="D343" s="1"/>
      <c r="E343" s="1"/>
      <c r="G343" s="1"/>
      <c r="H343" s="1"/>
      <c r="I343" s="1"/>
    </row>
    <row r="344" spans="2:9" ht="12.75">
      <c r="B344" s="1"/>
      <c r="C344" s="1"/>
      <c r="D344" s="1"/>
      <c r="E344" s="1"/>
      <c r="G344" s="1"/>
      <c r="H344" s="1"/>
      <c r="I344" s="1"/>
    </row>
    <row r="345" spans="2:9" ht="12.75">
      <c r="B345" s="1"/>
      <c r="C345" s="1"/>
      <c r="D345" s="1"/>
      <c r="E345" s="1"/>
      <c r="G345" s="1"/>
      <c r="H345" s="1"/>
      <c r="I345" s="1"/>
    </row>
    <row r="346" spans="2:9" ht="12.75">
      <c r="B346" s="1"/>
      <c r="C346" s="1"/>
      <c r="D346" s="1"/>
      <c r="E346" s="1"/>
      <c r="G346" s="1"/>
      <c r="H346" s="1"/>
      <c r="I346" s="1"/>
    </row>
    <row r="347" spans="2:9" ht="12.75">
      <c r="B347" s="1"/>
      <c r="C347" s="1"/>
      <c r="D347" s="1"/>
      <c r="E347" s="1"/>
      <c r="G347" s="1"/>
      <c r="H347" s="1"/>
      <c r="I347" s="1"/>
    </row>
    <row r="348" spans="2:9" ht="12.75">
      <c r="B348" s="1"/>
      <c r="C348" s="1"/>
      <c r="D348" s="1"/>
      <c r="E348" s="1"/>
      <c r="G348" s="1"/>
      <c r="H348" s="1"/>
      <c r="I348" s="1"/>
    </row>
    <row r="349" spans="2:9" ht="12.75">
      <c r="B349" s="1"/>
      <c r="C349" s="1"/>
      <c r="D349" s="1"/>
      <c r="E349" s="1"/>
      <c r="G349" s="1"/>
      <c r="H349" s="1"/>
      <c r="I349" s="1"/>
    </row>
    <row r="350" spans="2:9" ht="12.75">
      <c r="B350" s="1"/>
      <c r="C350" s="1"/>
      <c r="D350" s="1"/>
      <c r="E350" s="1"/>
      <c r="G350" s="1"/>
      <c r="H350" s="1"/>
      <c r="I350" s="1"/>
    </row>
    <row r="351" spans="2:9" ht="12.75">
      <c r="B351" s="1"/>
      <c r="C351" s="1"/>
      <c r="D351" s="1"/>
      <c r="E351" s="1"/>
      <c r="G351" s="1"/>
      <c r="H351" s="1"/>
      <c r="I351" s="1"/>
    </row>
    <row r="352" spans="2:9" ht="12.75">
      <c r="B352" s="1"/>
      <c r="C352" s="1"/>
      <c r="D352" s="1"/>
      <c r="E352" s="1"/>
      <c r="G352" s="1"/>
      <c r="H352" s="1"/>
      <c r="I352" s="1"/>
    </row>
  </sheetData>
  <sheetProtection/>
  <printOptions/>
  <pageMargins left="0.75" right="0.75" top="1" bottom="1" header="0.5" footer="0.5"/>
  <pageSetup horizontalDpi="300" verticalDpi="300" orientation="portrait" scale="79" r:id="rId1"/>
  <headerFooter alignWithMargins="0">
    <oddHeader>&amp;RDRAFT</oddHeader>
    <oddFooter>&amp;LI:\JD\YE Dec 31 03\GHESI\Stats\&amp;F&amp;A&amp;D&amp;T</oddFooter>
  </headerFooter>
  <colBreaks count="1" manualBreakCount="1">
    <brk id="9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6"/>
  <sheetViews>
    <sheetView zoomScale="75" zoomScaleNormal="75" zoomScalePageLayoutView="0" workbookViewId="0" topLeftCell="A39">
      <selection activeCell="B56" sqref="B56:B59"/>
    </sheetView>
  </sheetViews>
  <sheetFormatPr defaultColWidth="9.140625" defaultRowHeight="12.75"/>
  <cols>
    <col min="2" max="2" width="13.00390625" style="0" bestFit="1" customWidth="1"/>
    <col min="3" max="3" width="15.00390625" style="0" bestFit="1" customWidth="1"/>
    <col min="4" max="4" width="12.8515625" style="0" bestFit="1" customWidth="1"/>
    <col min="5" max="5" width="12.57421875" style="0" bestFit="1" customWidth="1"/>
    <col min="6" max="6" width="9.28125" style="0" bestFit="1" customWidth="1"/>
    <col min="7" max="7" width="13.00390625" style="0" bestFit="1" customWidth="1"/>
    <col min="8" max="8" width="12.421875" style="0" bestFit="1" customWidth="1"/>
    <col min="9" max="9" width="14.7109375" style="0" bestFit="1" customWidth="1"/>
    <col min="10" max="10" width="13.8515625" style="1" bestFit="1" customWidth="1"/>
    <col min="11" max="11" width="13.8515625" style="0" customWidth="1"/>
  </cols>
  <sheetData>
    <row r="1" spans="1:9" ht="12.75">
      <c r="A1" t="s">
        <v>40</v>
      </c>
      <c r="B1" s="1"/>
      <c r="C1" s="1"/>
      <c r="D1" s="193" t="s">
        <v>205</v>
      </c>
      <c r="E1" s="1"/>
      <c r="F1" s="2"/>
      <c r="G1" s="1"/>
      <c r="H1" s="1"/>
      <c r="I1" s="1"/>
    </row>
    <row r="2" spans="1:9" ht="12.75">
      <c r="A2" t="s">
        <v>41</v>
      </c>
      <c r="B2" s="1"/>
      <c r="C2" s="1"/>
      <c r="D2" s="1"/>
      <c r="E2" s="1"/>
      <c r="F2" s="2"/>
      <c r="G2" s="1"/>
      <c r="H2" s="1"/>
      <c r="I2" s="1"/>
    </row>
    <row r="3" spans="1:9" ht="12.75">
      <c r="A3" s="42" t="s">
        <v>42</v>
      </c>
      <c r="B3" s="1"/>
      <c r="C3" s="1"/>
      <c r="D3" s="1"/>
      <c r="E3" s="1"/>
      <c r="F3" s="2"/>
      <c r="G3" s="1"/>
      <c r="H3" s="1"/>
      <c r="I3" s="1"/>
    </row>
    <row r="4" spans="2:10" s="4" customFormat="1" ht="38.25">
      <c r="B4" s="5" t="s">
        <v>178</v>
      </c>
      <c r="C4" s="5" t="s">
        <v>176</v>
      </c>
      <c r="D4" s="5" t="s">
        <v>179</v>
      </c>
      <c r="E4" s="5" t="s">
        <v>180</v>
      </c>
      <c r="F4" s="6" t="s">
        <v>17</v>
      </c>
      <c r="G4" s="5" t="s">
        <v>18</v>
      </c>
      <c r="H4" s="5" t="s">
        <v>19</v>
      </c>
      <c r="I4" s="5" t="s">
        <v>177</v>
      </c>
      <c r="J4" s="5"/>
    </row>
    <row r="5" spans="2:9" ht="12.75">
      <c r="B5" s="1"/>
      <c r="C5" s="1"/>
      <c r="D5" s="1"/>
      <c r="E5" s="1"/>
      <c r="F5" s="2"/>
      <c r="G5" s="1"/>
      <c r="H5" s="1"/>
      <c r="I5" s="1"/>
    </row>
    <row r="6" spans="1:9" ht="12.75">
      <c r="A6" t="s">
        <v>3</v>
      </c>
      <c r="B6" s="1">
        <f>'[6]LU'!$K$14</f>
        <v>55718.91</v>
      </c>
      <c r="C6" s="1"/>
      <c r="D6" s="1"/>
      <c r="E6" s="1">
        <f>'[6]LU'!$AH$14</f>
        <v>30939.48</v>
      </c>
      <c r="F6" s="2">
        <v>1.8009</v>
      </c>
      <c r="G6" s="1">
        <f>E6*F6</f>
        <v>55718.909532</v>
      </c>
      <c r="H6" s="1">
        <f>B6-G6</f>
        <v>0.00046800000563962385</v>
      </c>
      <c r="I6" s="1"/>
    </row>
    <row r="7" spans="2:10" s="7" customFormat="1" ht="12.75">
      <c r="B7" s="8"/>
      <c r="C7" s="8"/>
      <c r="D7" s="8"/>
      <c r="E7" s="8"/>
      <c r="F7" s="9">
        <v>1.8009</v>
      </c>
      <c r="G7" s="8">
        <f>E7*F7</f>
        <v>0</v>
      </c>
      <c r="H7" s="8">
        <f>B7-G7</f>
        <v>0</v>
      </c>
      <c r="I7" s="8"/>
      <c r="J7" s="8"/>
    </row>
    <row r="8" spans="2:10" s="15" customFormat="1" ht="13.5" thickBot="1">
      <c r="B8" s="16">
        <f>SUM(B6:B7)</f>
        <v>55718.91</v>
      </c>
      <c r="C8" s="16"/>
      <c r="D8" s="16"/>
      <c r="E8" s="16">
        <f>SUM(E6:E7)</f>
        <v>30939.48</v>
      </c>
      <c r="G8" s="16">
        <f>SUM(G6:G7)</f>
        <v>55718.909532</v>
      </c>
      <c r="H8" s="16">
        <f>SUM(H6:H7)</f>
        <v>0.00046800000563962385</v>
      </c>
      <c r="I8" s="16">
        <f>B8</f>
        <v>55718.91</v>
      </c>
      <c r="J8" s="16"/>
    </row>
    <row r="9" ht="12.75"/>
    <row r="10" spans="1:9" ht="12.75">
      <c r="A10" t="s">
        <v>4</v>
      </c>
      <c r="B10" s="1">
        <f>'[3]LU'!$K$13</f>
        <v>56104.01</v>
      </c>
      <c r="C10" s="1"/>
      <c r="D10" s="1"/>
      <c r="E10" s="1">
        <f>'[3]LU'!$AH$13</f>
        <v>31153.32</v>
      </c>
      <c r="F10" s="2">
        <v>1.8009</v>
      </c>
      <c r="G10" s="1">
        <f>E10*F10</f>
        <v>56104.013988</v>
      </c>
      <c r="H10" s="1">
        <f>B10-G10</f>
        <v>-0.003987999996752478</v>
      </c>
      <c r="I10" s="1"/>
    </row>
    <row r="11" spans="2:10" s="7" customFormat="1" ht="12.75">
      <c r="B11" s="8"/>
      <c r="C11" s="8"/>
      <c r="D11" s="8"/>
      <c r="E11" s="8"/>
      <c r="F11" s="9">
        <v>1.8009</v>
      </c>
      <c r="G11" s="8">
        <f>E11*F11</f>
        <v>0</v>
      </c>
      <c r="H11" s="8">
        <f>B11-G11</f>
        <v>0</v>
      </c>
      <c r="I11" s="8"/>
      <c r="J11" s="8"/>
    </row>
    <row r="12" spans="2:10" s="15" customFormat="1" ht="13.5" thickBot="1">
      <c r="B12" s="16">
        <f>SUM(B10:B11)</f>
        <v>56104.01</v>
      </c>
      <c r="C12" s="16"/>
      <c r="D12" s="16"/>
      <c r="E12" s="16">
        <f>SUM(E10:E11)</f>
        <v>31153.32</v>
      </c>
      <c r="G12" s="16">
        <f>SUM(G10:G11)</f>
        <v>56104.013988</v>
      </c>
      <c r="H12" s="16">
        <f>SUM(H10:H11)</f>
        <v>-0.003987999996752478</v>
      </c>
      <c r="I12" s="16">
        <f>I8+B12</f>
        <v>111822.92000000001</v>
      </c>
      <c r="J12" s="16"/>
    </row>
    <row r="13" ht="12.75"/>
    <row r="14" spans="1:9" ht="12.75">
      <c r="A14" t="s">
        <v>5</v>
      </c>
      <c r="B14" s="1">
        <f>'[7]jfg0303'!$K$4056</f>
        <v>54954.049999999996</v>
      </c>
      <c r="C14" s="1"/>
      <c r="D14" s="1"/>
      <c r="E14" s="1">
        <f>'[7]jfg0303'!$AH$4056</f>
        <v>30514.769999999997</v>
      </c>
      <c r="F14" s="2">
        <v>1.8009</v>
      </c>
      <c r="G14" s="1">
        <f>E14*F14</f>
        <v>54954.04929299999</v>
      </c>
      <c r="H14" s="1">
        <f>B14-G14</f>
        <v>0.0007070000065141357</v>
      </c>
      <c r="I14" s="1"/>
    </row>
    <row r="15" spans="2:9" ht="12.75">
      <c r="B15" s="1"/>
      <c r="C15" s="1"/>
      <c r="D15" s="1"/>
      <c r="E15" s="1"/>
      <c r="F15" s="19">
        <v>1.8009</v>
      </c>
      <c r="G15" s="1">
        <f>E15*F15</f>
        <v>0</v>
      </c>
      <c r="H15" s="1">
        <f>B15-G15</f>
        <v>0</v>
      </c>
      <c r="I15" s="1"/>
    </row>
    <row r="16" spans="2:9" ht="12.75">
      <c r="B16" s="1"/>
      <c r="C16" s="1"/>
      <c r="D16" s="1"/>
      <c r="E16" s="1"/>
      <c r="F16" s="2"/>
      <c r="G16" s="1">
        <f>E16*F16</f>
        <v>0</v>
      </c>
      <c r="H16" s="1">
        <f>B16-G16</f>
        <v>0</v>
      </c>
      <c r="I16" s="1"/>
    </row>
    <row r="17" spans="2:10" s="7" customFormat="1" ht="12.75">
      <c r="B17" s="8"/>
      <c r="C17" s="8"/>
      <c r="D17" s="8"/>
      <c r="E17" s="8"/>
      <c r="F17" s="9"/>
      <c r="G17" s="8">
        <f>E17*F17</f>
        <v>0</v>
      </c>
      <c r="H17" s="8">
        <f>B17-G17</f>
        <v>0</v>
      </c>
      <c r="I17" s="8"/>
      <c r="J17" s="8"/>
    </row>
    <row r="18" spans="2:10" s="15" customFormat="1" ht="13.5" thickBot="1">
      <c r="B18" s="16">
        <f>SUM(B14:B17)</f>
        <v>54954.049999999996</v>
      </c>
      <c r="C18" s="16"/>
      <c r="D18" s="16"/>
      <c r="E18" s="16">
        <f>SUM(E14:E17)</f>
        <v>30514.769999999997</v>
      </c>
      <c r="G18" s="16">
        <f>SUM(G14:G17)</f>
        <v>54954.04929299999</v>
      </c>
      <c r="H18" s="16">
        <f>SUM(H14:H17)</f>
        <v>0.0007070000065141357</v>
      </c>
      <c r="I18" s="16">
        <f>I12+B18</f>
        <v>166776.97</v>
      </c>
      <c r="J18" s="16"/>
    </row>
    <row r="19" ht="12.75"/>
    <row r="20" spans="1:9" ht="12.75">
      <c r="A20" t="s">
        <v>6</v>
      </c>
      <c r="B20" s="1">
        <f>'[10]LU'!$K$17</f>
        <v>80411.95</v>
      </c>
      <c r="C20" s="1"/>
      <c r="D20" s="1"/>
      <c r="E20" s="1">
        <f>'[10]LU'!$AH$17</f>
        <v>44650.98</v>
      </c>
      <c r="F20" s="2">
        <v>1.8009</v>
      </c>
      <c r="G20" s="1">
        <f>E20*F20</f>
        <v>80411.949882</v>
      </c>
      <c r="H20" s="1">
        <f>B20-G20</f>
        <v>0.00011799999629147351</v>
      </c>
      <c r="I20" s="1"/>
    </row>
    <row r="21" spans="2:10" s="7" customFormat="1" ht="12.75">
      <c r="B21" s="8"/>
      <c r="C21" s="8"/>
      <c r="D21" s="8"/>
      <c r="E21" s="8"/>
      <c r="F21" s="9">
        <v>1.8009</v>
      </c>
      <c r="G21" s="8">
        <f>E21*F21</f>
        <v>0</v>
      </c>
      <c r="H21" s="8">
        <f>B21-G21</f>
        <v>0</v>
      </c>
      <c r="I21" s="8"/>
      <c r="J21" s="8"/>
    </row>
    <row r="22" spans="2:10" s="15" customFormat="1" ht="13.5" thickBot="1">
      <c r="B22" s="16">
        <f>SUM(B20:B21)</f>
        <v>80411.95</v>
      </c>
      <c r="C22" s="16"/>
      <c r="D22" s="16"/>
      <c r="E22" s="16">
        <f>SUM(E20:E21)</f>
        <v>44650.98</v>
      </c>
      <c r="G22" s="16">
        <f>SUM(G20:G21)</f>
        <v>80411.949882</v>
      </c>
      <c r="H22" s="16">
        <f>SUM(H20:H21)</f>
        <v>0.00011799999629147351</v>
      </c>
      <c r="I22" s="16">
        <f>I18+B22</f>
        <v>247188.91999999998</v>
      </c>
      <c r="J22" s="16"/>
    </row>
    <row r="23" ht="12.75"/>
    <row r="24" spans="1:9" ht="12.75">
      <c r="A24" t="s">
        <v>7</v>
      </c>
      <c r="B24" s="1">
        <f>'[13]LU'!$K$19</f>
        <v>163604.31</v>
      </c>
      <c r="C24" s="1"/>
      <c r="D24" s="1"/>
      <c r="E24" s="1">
        <f>'[13]LU'!$AH$19</f>
        <v>90845.85999999999</v>
      </c>
      <c r="F24" s="2">
        <v>1.8009</v>
      </c>
      <c r="G24" s="1">
        <f>E24*F24</f>
        <v>163604.30927399997</v>
      </c>
      <c r="H24" s="1">
        <f>B24-G24</f>
        <v>0.0007260000274982303</v>
      </c>
      <c r="I24" s="1"/>
    </row>
    <row r="25" spans="2:10" s="7" customFormat="1" ht="12.75">
      <c r="B25" s="8"/>
      <c r="C25" s="8"/>
      <c r="D25" s="8"/>
      <c r="E25" s="64"/>
      <c r="F25" s="9">
        <v>1.8009</v>
      </c>
      <c r="G25" s="8">
        <f>E25*F25</f>
        <v>0</v>
      </c>
      <c r="H25" s="8">
        <f>B25-G25</f>
        <v>0</v>
      </c>
      <c r="I25" s="8"/>
      <c r="J25" s="8"/>
    </row>
    <row r="26" spans="2:10" s="15" customFormat="1" ht="13.5" thickBot="1">
      <c r="B26" s="16">
        <f>SUM(B24:B25)</f>
        <v>163604.31</v>
      </c>
      <c r="C26" s="16"/>
      <c r="D26" s="16"/>
      <c r="E26" s="16">
        <f>SUM(E24:E25)</f>
        <v>90845.85999999999</v>
      </c>
      <c r="G26" s="16">
        <f>SUM(G24:G25)</f>
        <v>163604.30927399997</v>
      </c>
      <c r="H26" s="16">
        <f>SUM(H24:H25)</f>
        <v>0.0007260000274982303</v>
      </c>
      <c r="I26" s="16">
        <f>I22+B26</f>
        <v>410793.23</v>
      </c>
      <c r="J26" s="16"/>
    </row>
    <row r="27" ht="12.75"/>
    <row r="28" spans="1:9" ht="12.75">
      <c r="A28" t="s">
        <v>8</v>
      </c>
      <c r="B28" s="1">
        <f>'[15]LU'!$K$120</f>
        <v>44821.880000000005</v>
      </c>
      <c r="C28" s="1"/>
      <c r="D28" s="1"/>
      <c r="E28" s="1">
        <f>'[15]LU'!$AH$120</f>
        <v>24888.6</v>
      </c>
      <c r="F28" s="2">
        <v>1.8009</v>
      </c>
      <c r="G28" s="1">
        <f>E28*F28</f>
        <v>44821.87974</v>
      </c>
      <c r="H28" s="1">
        <f>B28-G28</f>
        <v>0.00026000000798376277</v>
      </c>
      <c r="I28" s="1"/>
    </row>
    <row r="29" spans="1:9" ht="12.75">
      <c r="A29" t="s">
        <v>182</v>
      </c>
      <c r="B29" s="1">
        <v>805.86</v>
      </c>
      <c r="C29" s="1"/>
      <c r="D29" s="1"/>
      <c r="E29" s="231">
        <f>+B29/F29</f>
        <v>447.47626186906547</v>
      </c>
      <c r="F29" s="2">
        <v>1.8009</v>
      </c>
      <c r="G29" s="1"/>
      <c r="H29" s="1"/>
      <c r="I29" s="1"/>
    </row>
    <row r="30" spans="2:10" s="7" customFormat="1" ht="12.75">
      <c r="B30" s="8">
        <f>'[15]LU'!$J$482</f>
        <v>-119133.66</v>
      </c>
      <c r="C30" s="8"/>
      <c r="D30" s="8"/>
      <c r="E30" s="8">
        <f>'[15]LU'!$Y$482</f>
        <v>-66152.29</v>
      </c>
      <c r="F30" s="9">
        <v>1.8009</v>
      </c>
      <c r="G30" s="8">
        <f>E30*F30</f>
        <v>-119133.65906099998</v>
      </c>
      <c r="H30" s="8">
        <f>B30-G30</f>
        <v>-0.0009390000195708126</v>
      </c>
      <c r="I30" s="8"/>
      <c r="J30" s="8"/>
    </row>
    <row r="31" spans="2:12" s="15" customFormat="1" ht="13.5" thickBot="1">
      <c r="B31" s="16">
        <f>SUM(B28:B30)</f>
        <v>-73505.92</v>
      </c>
      <c r="C31" s="16"/>
      <c r="D31" s="16"/>
      <c r="E31" s="16">
        <f>SUM(E28:E30)</f>
        <v>-40816.21373813093</v>
      </c>
      <c r="G31" s="16">
        <f>SUM(G28:G30)</f>
        <v>-74311.77932099998</v>
      </c>
      <c r="H31" s="16">
        <f>SUM(H28:H30)</f>
        <v>-0.0006790000115870498</v>
      </c>
      <c r="I31" s="16">
        <f>I26+B31</f>
        <v>337287.31</v>
      </c>
      <c r="J31" s="16">
        <v>337287.31</v>
      </c>
      <c r="K31" s="18">
        <f>+I31-J31</f>
        <v>0</v>
      </c>
      <c r="L31" s="103"/>
    </row>
    <row r="32" ht="12.75"/>
    <row r="33" spans="1:9" ht="12.75">
      <c r="A33" t="s">
        <v>9</v>
      </c>
      <c r="B33" s="1">
        <v>59477.24</v>
      </c>
      <c r="C33" s="1"/>
      <c r="D33" s="1"/>
      <c r="E33" s="1">
        <v>33026.4</v>
      </c>
      <c r="F33" s="2">
        <v>1.8009</v>
      </c>
      <c r="G33" s="1">
        <f>E33*F33</f>
        <v>59477.24376</v>
      </c>
      <c r="H33" s="1">
        <f>B33-G33</f>
        <v>-0.0037599999996018596</v>
      </c>
      <c r="I33" s="1"/>
    </row>
    <row r="34" spans="1:10" s="7" customFormat="1" ht="12.75">
      <c r="A34" s="88" t="s">
        <v>181</v>
      </c>
      <c r="B34" s="8">
        <v>-25750.29</v>
      </c>
      <c r="C34" s="8"/>
      <c r="D34" s="8"/>
      <c r="E34" s="8"/>
      <c r="F34" s="9">
        <v>1.8009</v>
      </c>
      <c r="G34" s="8">
        <f>E34*F34</f>
        <v>0</v>
      </c>
      <c r="H34" s="8">
        <f>B34-G34</f>
        <v>-25750.29</v>
      </c>
      <c r="I34" s="8"/>
      <c r="J34" s="8"/>
    </row>
    <row r="35" spans="2:11" s="15" customFormat="1" ht="13.5" thickBot="1">
      <c r="B35" s="16">
        <f>SUM(B33:B34)</f>
        <v>33726.95</v>
      </c>
      <c r="C35" s="16"/>
      <c r="D35" s="16"/>
      <c r="E35" s="16">
        <f>SUM(E33:E34)</f>
        <v>33026.4</v>
      </c>
      <c r="G35" s="16">
        <f>SUM(G33:G34)</f>
        <v>59477.24376</v>
      </c>
      <c r="H35" s="16">
        <f>SUM(H33:H34)</f>
        <v>-25750.29376</v>
      </c>
      <c r="I35" s="16">
        <f>I31+B35</f>
        <v>371014.26</v>
      </c>
      <c r="J35" s="16">
        <v>371014.26</v>
      </c>
      <c r="K35" s="18">
        <f>+I35-J35</f>
        <v>0</v>
      </c>
    </row>
    <row r="36" ht="12.75"/>
    <row r="37" spans="1:9" ht="12.75">
      <c r="A37" t="s">
        <v>10</v>
      </c>
      <c r="B37" s="1">
        <v>96333.17</v>
      </c>
      <c r="C37" s="1"/>
      <c r="D37" s="1"/>
      <c r="E37" s="1">
        <f>+B37/F37</f>
        <v>53491.68193680937</v>
      </c>
      <c r="F37" s="2">
        <v>1.8009</v>
      </c>
      <c r="G37" s="1">
        <f>E37*F37</f>
        <v>96333.17</v>
      </c>
      <c r="H37" s="1">
        <f>B37-G37</f>
        <v>0</v>
      </c>
      <c r="I37" s="1"/>
    </row>
    <row r="38" spans="2:10" s="7" customFormat="1" ht="12.75">
      <c r="B38" s="8"/>
      <c r="C38" s="8"/>
      <c r="D38" s="8"/>
      <c r="E38" s="8"/>
      <c r="F38" s="9">
        <v>1.8009</v>
      </c>
      <c r="G38" s="8">
        <f>E38*F38</f>
        <v>0</v>
      </c>
      <c r="H38" s="8">
        <f>B38-G38</f>
        <v>0</v>
      </c>
      <c r="I38" s="8"/>
      <c r="J38" s="8"/>
    </row>
    <row r="39" spans="2:10" s="15" customFormat="1" ht="13.5" thickBot="1">
      <c r="B39" s="16">
        <f>SUM(B37:B38)</f>
        <v>96333.17</v>
      </c>
      <c r="C39" s="16"/>
      <c r="D39" s="16"/>
      <c r="E39" s="16">
        <f>SUM(E37:E38)</f>
        <v>53491.68193680937</v>
      </c>
      <c r="G39" s="16">
        <f>SUM(G37:G38)</f>
        <v>96333.17</v>
      </c>
      <c r="H39" s="16">
        <f>SUM(H37:H38)</f>
        <v>0</v>
      </c>
      <c r="I39" s="16">
        <f>I35+B39</f>
        <v>467347.43</v>
      </c>
      <c r="J39" s="16"/>
    </row>
    <row r="40" ht="12.75"/>
    <row r="41" spans="1:9" ht="12.75">
      <c r="A41" t="s">
        <v>11</v>
      </c>
      <c r="B41" s="1">
        <v>32302.42</v>
      </c>
      <c r="C41" s="1"/>
      <c r="D41" s="1"/>
      <c r="E41" s="1">
        <f>+B41/F41</f>
        <v>17936.820478649563</v>
      </c>
      <c r="F41" s="2">
        <v>1.8009</v>
      </c>
      <c r="G41" s="1">
        <f>E41*F41</f>
        <v>32302.419999999995</v>
      </c>
      <c r="H41" s="1">
        <f>B41-G41</f>
        <v>0</v>
      </c>
      <c r="I41" s="1"/>
    </row>
    <row r="42" spans="2:10" s="7" customFormat="1" ht="12.75">
      <c r="B42" s="8"/>
      <c r="C42" s="8"/>
      <c r="D42" s="8"/>
      <c r="E42" s="8"/>
      <c r="F42" s="9">
        <v>1.8009</v>
      </c>
      <c r="G42" s="8">
        <f>E42*F42</f>
        <v>0</v>
      </c>
      <c r="H42" s="8">
        <f>B42-G42</f>
        <v>0</v>
      </c>
      <c r="I42" s="8"/>
      <c r="J42" s="8"/>
    </row>
    <row r="43" spans="2:10" s="15" customFormat="1" ht="13.5" thickBot="1">
      <c r="B43" s="16">
        <f>SUM(B41:B42)</f>
        <v>32302.42</v>
      </c>
      <c r="C43" s="16"/>
      <c r="D43" s="16"/>
      <c r="E43" s="16">
        <f>SUM(E41:E42)</f>
        <v>17936.820478649563</v>
      </c>
      <c r="G43" s="16">
        <f>SUM(G41:G42)</f>
        <v>32302.419999999995</v>
      </c>
      <c r="H43" s="16">
        <f>SUM(H41:H42)</f>
        <v>0</v>
      </c>
      <c r="I43" s="16">
        <f>I39+B43</f>
        <v>499649.85</v>
      </c>
      <c r="J43" s="16"/>
    </row>
    <row r="44" ht="12.75"/>
    <row r="45" spans="1:9" ht="12.75">
      <c r="A45" t="s">
        <v>12</v>
      </c>
      <c r="B45" s="1">
        <v>96646.95</v>
      </c>
      <c r="C45" s="1"/>
      <c r="D45" s="1"/>
      <c r="E45" s="1">
        <f>+B45/F45</f>
        <v>53665.91704147926</v>
      </c>
      <c r="F45" s="2">
        <v>1.8009</v>
      </c>
      <c r="G45" s="1">
        <f>E45*F45</f>
        <v>96646.95</v>
      </c>
      <c r="H45" s="1">
        <f>B45-G45</f>
        <v>0</v>
      </c>
      <c r="I45" s="1"/>
    </row>
    <row r="46" spans="2:10" s="7" customFormat="1" ht="12.75">
      <c r="B46" s="8"/>
      <c r="C46" s="8"/>
      <c r="D46" s="8"/>
      <c r="E46" s="8"/>
      <c r="F46" s="9">
        <v>1.8009</v>
      </c>
      <c r="G46" s="8">
        <f>E46*F46</f>
        <v>0</v>
      </c>
      <c r="H46" s="8">
        <f>B46-G46</f>
        <v>0</v>
      </c>
      <c r="I46" s="8"/>
      <c r="J46" s="8"/>
    </row>
    <row r="47" spans="2:10" s="15" customFormat="1" ht="13.5" thickBot="1">
      <c r="B47" s="16">
        <f>SUM(B45:B46)</f>
        <v>96646.95</v>
      </c>
      <c r="C47" s="16"/>
      <c r="D47" s="16"/>
      <c r="E47" s="16">
        <f>SUM(E45:E46)</f>
        <v>53665.91704147926</v>
      </c>
      <c r="G47" s="16">
        <f>SUM(G45:G46)</f>
        <v>96646.95</v>
      </c>
      <c r="H47" s="16">
        <f>SUM(H45:H46)</f>
        <v>0</v>
      </c>
      <c r="I47" s="16">
        <f>I43+B47</f>
        <v>596296.7999999999</v>
      </c>
      <c r="J47" s="16"/>
    </row>
    <row r="48" ht="12.75"/>
    <row r="49" spans="1:9" ht="12.75">
      <c r="A49" t="s">
        <v>13</v>
      </c>
      <c r="B49" s="1">
        <v>63010.94</v>
      </c>
      <c r="C49" s="1"/>
      <c r="D49" s="1"/>
      <c r="E49" s="1">
        <f>+B49/F49</f>
        <v>34988.58348603476</v>
      </c>
      <c r="F49" s="2">
        <v>1.8009</v>
      </c>
      <c r="G49" s="1">
        <f>E49*F49</f>
        <v>63010.939999999995</v>
      </c>
      <c r="H49" s="1">
        <f>B49-G49</f>
        <v>0</v>
      </c>
      <c r="I49" s="1"/>
    </row>
    <row r="50" spans="2:10" s="7" customFormat="1" ht="12.75">
      <c r="B50" s="8"/>
      <c r="C50" s="8"/>
      <c r="D50" s="8"/>
      <c r="E50" s="8"/>
      <c r="F50" s="9">
        <v>1.8009</v>
      </c>
      <c r="G50" s="8">
        <f>E50*F50</f>
        <v>0</v>
      </c>
      <c r="H50" s="8">
        <f>B50-G50</f>
        <v>0</v>
      </c>
      <c r="I50" s="8"/>
      <c r="J50" s="8"/>
    </row>
    <row r="51" spans="2:10" s="15" customFormat="1" ht="13.5" thickBot="1">
      <c r="B51" s="16">
        <f>SUM(B49:B50)</f>
        <v>63010.94</v>
      </c>
      <c r="C51" s="16"/>
      <c r="D51" s="16"/>
      <c r="E51" s="16">
        <f>SUM(E49:E50)</f>
        <v>34988.58348603476</v>
      </c>
      <c r="G51" s="16">
        <f>SUM(G49:G50)</f>
        <v>63010.939999999995</v>
      </c>
      <c r="H51" s="16">
        <f>SUM(H49:H50)</f>
        <v>0</v>
      </c>
      <c r="I51" s="16">
        <f>I47+B51</f>
        <v>659307.74</v>
      </c>
      <c r="J51" s="16"/>
    </row>
    <row r="52" ht="12.75"/>
    <row r="53" spans="1:9" ht="12.75">
      <c r="A53" t="s">
        <v>14</v>
      </c>
      <c r="B53" s="1">
        <v>31612.44</v>
      </c>
      <c r="C53" s="1"/>
      <c r="D53" s="1"/>
      <c r="E53" s="1">
        <f>+B53/F53</f>
        <v>17553.68982175579</v>
      </c>
      <c r="F53" s="2">
        <v>1.8009</v>
      </c>
      <c r="G53" s="1">
        <f>E53*F53</f>
        <v>31612.440000000002</v>
      </c>
      <c r="H53" s="1">
        <f>B53-G53</f>
        <v>0</v>
      </c>
      <c r="I53" s="1"/>
    </row>
    <row r="54" spans="2:10" s="7" customFormat="1" ht="12.75">
      <c r="B54" s="8"/>
      <c r="C54" s="8"/>
      <c r="D54" s="8"/>
      <c r="E54" s="8"/>
      <c r="F54" s="9">
        <v>1.8009</v>
      </c>
      <c r="G54" s="8">
        <f>E54*F54</f>
        <v>0</v>
      </c>
      <c r="H54" s="8">
        <f>B54-G54</f>
        <v>0</v>
      </c>
      <c r="I54" s="8"/>
      <c r="J54" s="8"/>
    </row>
    <row r="55" spans="2:11" s="15" customFormat="1" ht="13.5" thickBot="1">
      <c r="B55" s="16">
        <f>SUM(B53:B54)</f>
        <v>31612.44</v>
      </c>
      <c r="C55" s="16"/>
      <c r="D55" s="16"/>
      <c r="E55" s="16">
        <f>SUM(E53:E54)</f>
        <v>17553.68982175579</v>
      </c>
      <c r="G55" s="16">
        <f>SUM(G53:G54)</f>
        <v>31612.440000000002</v>
      </c>
      <c r="H55" s="16">
        <f>SUM(H53:H54)</f>
        <v>0</v>
      </c>
      <c r="I55" s="16">
        <f>I51+B55</f>
        <v>690920.1799999999</v>
      </c>
      <c r="J55" s="16">
        <v>690920.18</v>
      </c>
      <c r="K55" s="18">
        <f>+I55-J55</f>
        <v>0</v>
      </c>
    </row>
    <row r="56" ht="12.75">
      <c r="B56" s="78"/>
    </row>
    <row r="57" spans="2:10" ht="13.5" thickBot="1">
      <c r="B57" s="78"/>
      <c r="E57" s="14">
        <f>+E8+E12+E18+E22+E26+E31+E35+E39+E43+E47+E51+E55</f>
        <v>397951.28902659786</v>
      </c>
      <c r="I57" s="1"/>
      <c r="J57" s="232" t="s">
        <v>221</v>
      </c>
    </row>
    <row r="58" spans="2:9" ht="12.75">
      <c r="B58" s="78"/>
      <c r="I58" s="3"/>
    </row>
    <row r="59" ht="12.75">
      <c r="B59" s="78"/>
    </row>
    <row r="60" ht="12.75">
      <c r="B60" s="78"/>
    </row>
    <row r="61" ht="12.75">
      <c r="B61" s="78"/>
    </row>
    <row r="62" ht="12.75">
      <c r="I62" s="3"/>
    </row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spans="1:9" ht="12.75">
      <c r="A75" t="s">
        <v>74</v>
      </c>
      <c r="B75" s="1"/>
      <c r="C75" s="1"/>
      <c r="D75" s="1"/>
      <c r="E75" s="1"/>
      <c r="F75" s="2"/>
      <c r="G75" s="1"/>
      <c r="H75" s="1"/>
      <c r="I75" s="1"/>
    </row>
    <row r="76" spans="1:9" ht="12.75">
      <c r="A76" t="s">
        <v>73</v>
      </c>
      <c r="B76" s="1"/>
      <c r="C76" s="1"/>
      <c r="D76" s="1"/>
      <c r="E76" s="1"/>
      <c r="F76" s="2"/>
      <c r="G76" s="1"/>
      <c r="H76" s="1"/>
      <c r="I76" s="1"/>
    </row>
    <row r="77" spans="1:9" ht="12.75">
      <c r="A77" t="s">
        <v>75</v>
      </c>
      <c r="B77" s="1"/>
      <c r="C77" s="1"/>
      <c r="D77" s="1"/>
      <c r="E77" s="1"/>
      <c r="F77" s="2"/>
      <c r="G77" s="1"/>
      <c r="H77" s="1"/>
      <c r="I77" s="1"/>
    </row>
    <row r="78" spans="2:9" ht="12.75">
      <c r="B78" s="1"/>
      <c r="C78" s="1"/>
      <c r="D78" s="1"/>
      <c r="E78" s="1"/>
      <c r="F78" s="2"/>
      <c r="G78" s="1"/>
      <c r="H78" s="1"/>
      <c r="I78" s="1"/>
    </row>
    <row r="79" spans="2:10" s="4" customFormat="1" ht="25.5">
      <c r="B79" s="5" t="s">
        <v>15</v>
      </c>
      <c r="C79" s="5" t="s">
        <v>16</v>
      </c>
      <c r="D79" s="5" t="s">
        <v>25</v>
      </c>
      <c r="E79" s="5" t="s">
        <v>24</v>
      </c>
      <c r="F79" s="6" t="s">
        <v>17</v>
      </c>
      <c r="G79" s="5" t="s">
        <v>18</v>
      </c>
      <c r="H79" s="5" t="s">
        <v>19</v>
      </c>
      <c r="I79" s="5" t="s">
        <v>20</v>
      </c>
      <c r="J79" s="5"/>
    </row>
    <row r="80" spans="2:10" s="4" customFormat="1" ht="12.75">
      <c r="B80" s="5"/>
      <c r="C80" s="5"/>
      <c r="D80" s="5"/>
      <c r="E80" s="5"/>
      <c r="F80" s="6"/>
      <c r="G80" s="5"/>
      <c r="H80" s="5"/>
      <c r="I80" s="5"/>
      <c r="J80" s="5"/>
    </row>
    <row r="81" spans="1:9" ht="12.75">
      <c r="A81" t="s">
        <v>3</v>
      </c>
      <c r="B81" s="1">
        <f>'[6]LU'!$K$26</f>
        <v>88288.32</v>
      </c>
      <c r="C81" s="1">
        <f>'[6]LU'!$AE$26</f>
        <v>16903395.63</v>
      </c>
      <c r="D81" s="1">
        <f>'[6]LU'!$AE$20</f>
        <v>75126.19</v>
      </c>
      <c r="E81" s="1"/>
      <c r="F81" s="2">
        <v>0.0052</v>
      </c>
      <c r="G81" s="1">
        <f>(C81+D81)*F81</f>
        <v>88288.31346399999</v>
      </c>
      <c r="H81" s="1">
        <f>B81-G81</f>
        <v>0.006536000015330501</v>
      </c>
      <c r="I81" s="1"/>
    </row>
    <row r="82" spans="2:9" ht="12.75">
      <c r="B82" s="1"/>
      <c r="C82" s="1"/>
      <c r="D82" s="1"/>
      <c r="E82" s="1"/>
      <c r="F82" s="2">
        <v>0.0052</v>
      </c>
      <c r="G82" s="1">
        <f>(C82+D82)*F82</f>
        <v>0</v>
      </c>
      <c r="H82" s="1">
        <f>B82-G82</f>
        <v>0</v>
      </c>
      <c r="I82" s="1"/>
    </row>
    <row r="83" spans="2:9" ht="12.75">
      <c r="B83" s="1"/>
      <c r="C83" s="1"/>
      <c r="D83" s="1"/>
      <c r="E83" s="1"/>
      <c r="F83" s="2">
        <f>F81</f>
        <v>0.0052</v>
      </c>
      <c r="G83" s="1">
        <f>(C83+D83)*F83</f>
        <v>0</v>
      </c>
      <c r="H83" s="1">
        <f>B83-G83</f>
        <v>0</v>
      </c>
      <c r="I83" s="1"/>
    </row>
    <row r="84" spans="2:10" s="7" customFormat="1" ht="12.75">
      <c r="B84" s="8"/>
      <c r="C84" s="8"/>
      <c r="D84" s="8"/>
      <c r="E84" s="8"/>
      <c r="F84" s="9">
        <f>F82</f>
        <v>0.0052</v>
      </c>
      <c r="G84" s="8">
        <f>(C84+D84)*F84</f>
        <v>0</v>
      </c>
      <c r="H84" s="8">
        <f>B84-G84</f>
        <v>0</v>
      </c>
      <c r="I84" s="8"/>
      <c r="J84" s="8"/>
    </row>
    <row r="85" spans="2:9" s="16" customFormat="1" ht="13.5" thickBot="1">
      <c r="B85" s="16">
        <f>SUM(B81:B84)</f>
        <v>88288.32</v>
      </c>
      <c r="C85" s="16">
        <f>SUM(C81:C84)</f>
        <v>16903395.63</v>
      </c>
      <c r="D85" s="16">
        <f>SUM(D81:D84)</f>
        <v>75126.19</v>
      </c>
      <c r="E85" s="16">
        <f>SUM(E81:E84)</f>
        <v>0</v>
      </c>
      <c r="G85" s="16">
        <f>SUM(G81:G84)</f>
        <v>88288.31346399999</v>
      </c>
      <c r="H85" s="16">
        <f>SUM(H81:H84)</f>
        <v>0.006536000015330501</v>
      </c>
      <c r="I85" s="16">
        <f>B85</f>
        <v>88288.32</v>
      </c>
    </row>
    <row r="86" spans="2:9" ht="12.75">
      <c r="B86" s="1"/>
      <c r="C86" s="1"/>
      <c r="D86" s="1"/>
      <c r="E86" s="1"/>
      <c r="G86" s="1"/>
      <c r="H86" s="1"/>
      <c r="I86" s="1"/>
    </row>
    <row r="87" spans="1:9" ht="12.75">
      <c r="A87" t="s">
        <v>4</v>
      </c>
      <c r="B87" s="1">
        <f>'[3]LU'!$K$25</f>
        <v>97907.75000000001</v>
      </c>
      <c r="C87" s="1">
        <f>'[3]LU'!$AE$19</f>
        <v>18637720.2</v>
      </c>
      <c r="D87" s="1">
        <f>'[3]LU'!$AE$25</f>
        <v>190695.63999999998</v>
      </c>
      <c r="E87" s="1"/>
      <c r="F87" s="2">
        <v>0.0052</v>
      </c>
      <c r="G87" s="1">
        <f>(C87+D87)*F87</f>
        <v>97907.762368</v>
      </c>
      <c r="H87" s="1">
        <f>B87-G87</f>
        <v>-0.012367999981506728</v>
      </c>
      <c r="I87" s="1"/>
    </row>
    <row r="88" spans="2:9" ht="12.75">
      <c r="B88" s="1"/>
      <c r="C88" s="1"/>
      <c r="D88" s="1"/>
      <c r="E88" s="1"/>
      <c r="F88" s="2">
        <v>0.0052</v>
      </c>
      <c r="G88" s="1">
        <f>(C88+D88)*F88</f>
        <v>0</v>
      </c>
      <c r="H88" s="1">
        <f>B88-G88</f>
        <v>0</v>
      </c>
      <c r="I88" s="1"/>
    </row>
    <row r="89" spans="2:9" ht="12.75">
      <c r="B89" s="1"/>
      <c r="C89" s="1"/>
      <c r="D89" s="1"/>
      <c r="E89" s="1"/>
      <c r="F89" s="2">
        <f>F87</f>
        <v>0.0052</v>
      </c>
      <c r="G89" s="1">
        <f>(C89+D89)*F89</f>
        <v>0</v>
      </c>
      <c r="H89" s="1">
        <f>B89-G89</f>
        <v>0</v>
      </c>
      <c r="I89" s="1"/>
    </row>
    <row r="90" spans="2:10" s="7" customFormat="1" ht="12.75">
      <c r="B90" s="8"/>
      <c r="C90" s="8"/>
      <c r="D90" s="8"/>
      <c r="E90" s="8"/>
      <c r="F90" s="9">
        <f>F88</f>
        <v>0.0052</v>
      </c>
      <c r="G90" s="8">
        <f>(C90+D90)*F90</f>
        <v>0</v>
      </c>
      <c r="H90" s="8">
        <f>B90-G90</f>
        <v>0</v>
      </c>
      <c r="I90" s="8"/>
      <c r="J90" s="8"/>
    </row>
    <row r="91" spans="2:9" s="16" customFormat="1" ht="13.5" thickBot="1">
      <c r="B91" s="16">
        <f>SUM(B87:B90)</f>
        <v>97907.75000000001</v>
      </c>
      <c r="C91" s="16">
        <f>SUM(C87:C90)</f>
        <v>18637720.2</v>
      </c>
      <c r="D91" s="16">
        <f>SUM(D87:D90)</f>
        <v>190695.63999999998</v>
      </c>
      <c r="E91" s="16">
        <f>SUM(E87:E90)</f>
        <v>0</v>
      </c>
      <c r="G91" s="16">
        <f>SUM(G87:G90)</f>
        <v>97907.762368</v>
      </c>
      <c r="H91" s="16">
        <f>SUM(H87:H90)</f>
        <v>-0.012367999981506728</v>
      </c>
      <c r="I91" s="16">
        <f>I85+B91</f>
        <v>186196.07</v>
      </c>
    </row>
    <row r="92" spans="2:9" ht="12.75">
      <c r="B92" s="1"/>
      <c r="C92" s="1"/>
      <c r="D92" s="1"/>
      <c r="E92" s="1"/>
      <c r="G92" s="1"/>
      <c r="H92" s="1"/>
      <c r="I92" s="1"/>
    </row>
    <row r="93" spans="1:9" ht="12.75">
      <c r="A93" t="s">
        <v>5</v>
      </c>
      <c r="B93" s="1">
        <f>'[7]jfg0303'!$K$11143</f>
        <v>91262.18</v>
      </c>
      <c r="C93" s="1">
        <f>'[7]jfg0303'!$AE$11143</f>
        <v>17378046.18</v>
      </c>
      <c r="D93" s="1">
        <f>'[7]jfg0303'!$AE$11137</f>
        <v>172373.11</v>
      </c>
      <c r="E93" s="1"/>
      <c r="F93" s="2">
        <v>0.0052</v>
      </c>
      <c r="G93" s="1">
        <f>(C93+D93)*F93</f>
        <v>91262.180308</v>
      </c>
      <c r="H93" s="1">
        <f>B93-G93</f>
        <v>-0.0003080000024056062</v>
      </c>
      <c r="I93" s="1"/>
    </row>
    <row r="94" spans="2:9" ht="12.75">
      <c r="B94" s="1"/>
      <c r="C94" s="1"/>
      <c r="D94" s="1"/>
      <c r="E94" s="1"/>
      <c r="F94" s="2">
        <v>0.0052</v>
      </c>
      <c r="G94" s="1">
        <f>(C94+D94)*F94</f>
        <v>0</v>
      </c>
      <c r="H94" s="1">
        <f>B94-G94</f>
        <v>0</v>
      </c>
      <c r="I94" s="1"/>
    </row>
    <row r="95" spans="2:9" ht="12.75">
      <c r="B95" s="1"/>
      <c r="C95" s="1"/>
      <c r="D95" s="1"/>
      <c r="E95" s="1"/>
      <c r="F95" s="2">
        <f>F93</f>
        <v>0.0052</v>
      </c>
      <c r="G95" s="1">
        <f>(C95+D95)*F95</f>
        <v>0</v>
      </c>
      <c r="H95" s="1">
        <f>B95-G95</f>
        <v>0</v>
      </c>
      <c r="I95" s="1"/>
    </row>
    <row r="96" spans="2:10" s="7" customFormat="1" ht="12.75">
      <c r="B96" s="8"/>
      <c r="C96" s="8"/>
      <c r="D96" s="8"/>
      <c r="E96" s="8"/>
      <c r="F96" s="9">
        <f>F94</f>
        <v>0.0052</v>
      </c>
      <c r="G96" s="8">
        <f>(C96+D96)*F96</f>
        <v>0</v>
      </c>
      <c r="H96" s="8">
        <f>B96-G96</f>
        <v>0</v>
      </c>
      <c r="I96" s="8"/>
      <c r="J96" s="8"/>
    </row>
    <row r="97" spans="2:9" s="16" customFormat="1" ht="13.5" thickBot="1">
      <c r="B97" s="16">
        <f>SUM(B93:B96)</f>
        <v>91262.18</v>
      </c>
      <c r="C97" s="16">
        <f>SUM(C93:C96)</f>
        <v>17378046.18</v>
      </c>
      <c r="D97" s="16">
        <f>SUM(D93:D96)</f>
        <v>172373.11</v>
      </c>
      <c r="E97" s="16">
        <f>SUM(E93:E96)</f>
        <v>0</v>
      </c>
      <c r="G97" s="16">
        <f>SUM(G93:G96)</f>
        <v>91262.180308</v>
      </c>
      <c r="H97" s="16">
        <f>SUM(H93:H96)</f>
        <v>-0.0003080000024056062</v>
      </c>
      <c r="I97" s="16">
        <f>I91+B97</f>
        <v>277458.25</v>
      </c>
    </row>
    <row r="98" spans="2:9" ht="12.75">
      <c r="B98" s="1"/>
      <c r="C98" s="1"/>
      <c r="D98" s="1"/>
      <c r="E98" s="1"/>
      <c r="G98" s="1"/>
      <c r="H98" s="1"/>
      <c r="I98" s="1"/>
    </row>
    <row r="99" spans="1:9" ht="12.75">
      <c r="A99" t="s">
        <v>6</v>
      </c>
      <c r="B99" s="1">
        <f>'[10]LU'!$K$31</f>
        <v>136599.41</v>
      </c>
      <c r="C99" s="1">
        <f>'[10]LU'!$AE$31</f>
        <v>26045353.619999997</v>
      </c>
      <c r="D99" s="1">
        <f>'[10]LU'!$AE$24</f>
        <v>223763.94999999998</v>
      </c>
      <c r="E99" s="1"/>
      <c r="F99" s="2">
        <v>0.0052</v>
      </c>
      <c r="G99" s="1">
        <f>(C99+D99)*F99</f>
        <v>136599.41136399997</v>
      </c>
      <c r="H99" s="1">
        <f>B99-G99</f>
        <v>-0.0013639999669976532</v>
      </c>
      <c r="I99" s="1"/>
    </row>
    <row r="100" spans="2:9" ht="12.75">
      <c r="B100" s="1"/>
      <c r="C100" s="1"/>
      <c r="D100" s="1"/>
      <c r="E100" s="1"/>
      <c r="F100" s="2">
        <v>0.0052</v>
      </c>
      <c r="G100" s="1">
        <f>(C100+D100)*F100</f>
        <v>0</v>
      </c>
      <c r="H100" s="1">
        <f>B100-G100</f>
        <v>0</v>
      </c>
      <c r="I100" s="1"/>
    </row>
    <row r="101" spans="2:9" ht="12.75">
      <c r="B101" s="1"/>
      <c r="C101" s="1"/>
      <c r="D101" s="1"/>
      <c r="E101" s="1"/>
      <c r="F101" s="2">
        <f>F99</f>
        <v>0.0052</v>
      </c>
      <c r="G101" s="1">
        <f>(C101+D101)*F101</f>
        <v>0</v>
      </c>
      <c r="H101" s="1">
        <f>B101-G101</f>
        <v>0</v>
      </c>
      <c r="I101" s="1"/>
    </row>
    <row r="102" spans="2:10" s="7" customFormat="1" ht="12.75">
      <c r="B102" s="8"/>
      <c r="C102" s="8"/>
      <c r="D102" s="8"/>
      <c r="E102" s="8"/>
      <c r="F102" s="9">
        <f>F100</f>
        <v>0.0052</v>
      </c>
      <c r="G102" s="8">
        <f>(C102+D102)*F102</f>
        <v>0</v>
      </c>
      <c r="H102" s="8">
        <f>B102-G102</f>
        <v>0</v>
      </c>
      <c r="I102" s="8"/>
      <c r="J102" s="8"/>
    </row>
    <row r="103" spans="2:9" s="16" customFormat="1" ht="13.5" thickBot="1">
      <c r="B103" s="16">
        <f>SUM(B99:B102)</f>
        <v>136599.41</v>
      </c>
      <c r="C103" s="16">
        <f>SUM(C99:C102)</f>
        <v>26045353.619999997</v>
      </c>
      <c r="D103" s="16">
        <f>SUM(D99:D102)</f>
        <v>223763.94999999998</v>
      </c>
      <c r="E103" s="16">
        <f>SUM(E99:E102)</f>
        <v>0</v>
      </c>
      <c r="G103" s="16">
        <f>SUM(G99:G102)</f>
        <v>136599.41136399997</v>
      </c>
      <c r="H103" s="16">
        <f>SUM(H99:H102)</f>
        <v>-0.0013639999669976532</v>
      </c>
      <c r="I103" s="16">
        <f>I97+B103</f>
        <v>414057.66000000003</v>
      </c>
    </row>
    <row r="104" spans="2:9" ht="12.75">
      <c r="B104" s="1"/>
      <c r="C104" s="1"/>
      <c r="D104" s="1"/>
      <c r="E104" s="1"/>
      <c r="F104" s="2"/>
      <c r="G104" s="1"/>
      <c r="H104" s="1"/>
      <c r="I104" s="1"/>
    </row>
    <row r="105" spans="1:9" ht="12.75">
      <c r="A105" t="s">
        <v>7</v>
      </c>
      <c r="B105" s="1">
        <f>'[13]LU'!$K$34</f>
        <v>94553.72</v>
      </c>
      <c r="C105" s="1">
        <f>'[13]LU'!$AE$34</f>
        <v>17998177.229999997</v>
      </c>
      <c r="D105" s="1">
        <f>'[13]LU'!$AE$28</f>
        <v>185230.33000000002</v>
      </c>
      <c r="E105" s="1"/>
      <c r="F105" s="2">
        <v>0.0052</v>
      </c>
      <c r="G105" s="1">
        <f>(C105+D105)*F105</f>
        <v>94553.71931199997</v>
      </c>
      <c r="H105" s="1">
        <f>B105-G105</f>
        <v>0.0006880000291857868</v>
      </c>
      <c r="I105" s="1"/>
    </row>
    <row r="106" spans="2:9" ht="12.75">
      <c r="B106" s="1"/>
      <c r="C106" s="1"/>
      <c r="D106" s="1"/>
      <c r="E106" s="1"/>
      <c r="F106" s="2">
        <v>0.0052</v>
      </c>
      <c r="G106" s="1">
        <f>(C106+D106)*F106</f>
        <v>0</v>
      </c>
      <c r="H106" s="1">
        <f>B106-G106</f>
        <v>0</v>
      </c>
      <c r="I106" s="1"/>
    </row>
    <row r="107" spans="2:9" ht="12.75">
      <c r="B107" s="1"/>
      <c r="C107" s="1"/>
      <c r="D107" s="1"/>
      <c r="E107" s="1"/>
      <c r="F107" s="2">
        <f>F105</f>
        <v>0.0052</v>
      </c>
      <c r="G107" s="1">
        <f>(C107+D107)*F107</f>
        <v>0</v>
      </c>
      <c r="H107" s="1">
        <f>B107-G107</f>
        <v>0</v>
      </c>
      <c r="I107" s="1"/>
    </row>
    <row r="108" spans="2:10" s="7" customFormat="1" ht="12.75">
      <c r="B108" s="8"/>
      <c r="C108" s="8"/>
      <c r="D108" s="8"/>
      <c r="E108" s="8"/>
      <c r="F108" s="9">
        <f>F106</f>
        <v>0.0052</v>
      </c>
      <c r="G108" s="8">
        <f>(C108+D108)*F108</f>
        <v>0</v>
      </c>
      <c r="H108" s="8">
        <f>B108-G108</f>
        <v>0</v>
      </c>
      <c r="I108" s="8"/>
      <c r="J108" s="8"/>
    </row>
    <row r="109" spans="2:9" s="16" customFormat="1" ht="13.5" thickBot="1">
      <c r="B109" s="16">
        <f>SUM(B105:B108)</f>
        <v>94553.72</v>
      </c>
      <c r="C109" s="16">
        <f>SUM(C105:C108)</f>
        <v>17998177.229999997</v>
      </c>
      <c r="D109" s="16">
        <f>SUM(D105:D108)</f>
        <v>185230.33000000002</v>
      </c>
      <c r="E109" s="16">
        <f>SUM(E105:E108)</f>
        <v>0</v>
      </c>
      <c r="G109" s="16">
        <f>SUM(G105:G108)</f>
        <v>94553.71931199997</v>
      </c>
      <c r="H109" s="16">
        <f>SUM(H105:H108)</f>
        <v>0.0006880000291857868</v>
      </c>
      <c r="I109" s="16">
        <f>B109</f>
        <v>94553.72</v>
      </c>
    </row>
    <row r="110" spans="2:9" ht="12.75">
      <c r="B110" s="1"/>
      <c r="C110" s="1"/>
      <c r="D110" s="1"/>
      <c r="E110" s="1"/>
      <c r="G110" s="1"/>
      <c r="H110" s="1"/>
      <c r="I110" s="1"/>
    </row>
    <row r="111" spans="1:9" ht="12.75">
      <c r="A111" t="s">
        <v>8</v>
      </c>
      <c r="B111" s="1">
        <f>'[15]LU'!$K$461</f>
        <v>81190.37</v>
      </c>
      <c r="C111" s="1">
        <f>'[15]LU'!$AE$461</f>
        <v>15389681.669999998</v>
      </c>
      <c r="D111" s="1">
        <f>'[15]LU'!$AE$455</f>
        <v>223849.91</v>
      </c>
      <c r="E111" s="1"/>
      <c r="F111" s="2">
        <v>0.0052</v>
      </c>
      <c r="G111" s="1">
        <f>(C111+D111)*F111</f>
        <v>81190.36421599999</v>
      </c>
      <c r="H111" s="1">
        <f>B111-G111</f>
        <v>0.005784000008134171</v>
      </c>
      <c r="I111" s="1"/>
    </row>
    <row r="112" spans="2:9" ht="12.75">
      <c r="B112" s="1">
        <f>'[15]LU'!$J$487</f>
        <v>-23344.449999999997</v>
      </c>
      <c r="C112" s="1">
        <f>'[15]LU'!$K$484</f>
        <v>-4424953.5</v>
      </c>
      <c r="D112" s="1">
        <f>'[15]LU'!$K$485</f>
        <v>-64362.96</v>
      </c>
      <c r="E112" s="1"/>
      <c r="F112" s="2">
        <v>0.0052</v>
      </c>
      <c r="G112" s="1">
        <f>(C112+D112)*F112</f>
        <v>-23344.445592</v>
      </c>
      <c r="H112" s="1">
        <f>B112-G112</f>
        <v>-0.004407999997056322</v>
      </c>
      <c r="I112" s="1"/>
    </row>
    <row r="113" spans="2:9" ht="12.75">
      <c r="B113" s="1"/>
      <c r="C113" s="65"/>
      <c r="D113" s="65"/>
      <c r="E113" s="1"/>
      <c r="F113" s="2">
        <f>F111</f>
        <v>0.0052</v>
      </c>
      <c r="G113" s="1">
        <f>(C113+D113)*F113</f>
        <v>0</v>
      </c>
      <c r="H113" s="1">
        <f>B113-G113</f>
        <v>0</v>
      </c>
      <c r="I113" s="1"/>
    </row>
    <row r="114" spans="2:10" s="7" customFormat="1" ht="12.75">
      <c r="B114" s="8"/>
      <c r="C114" s="8"/>
      <c r="D114" s="8"/>
      <c r="E114" s="8"/>
      <c r="F114" s="9">
        <f>F112</f>
        <v>0.0052</v>
      </c>
      <c r="G114" s="8">
        <f>(C114+D114)*F114</f>
        <v>0</v>
      </c>
      <c r="H114" s="8">
        <f>B114-G114</f>
        <v>0</v>
      </c>
      <c r="I114" s="8"/>
      <c r="J114" s="8"/>
    </row>
    <row r="115" spans="2:9" s="16" customFormat="1" ht="13.5" thickBot="1">
      <c r="B115" s="16">
        <f>SUM(B111:B114)</f>
        <v>57845.92</v>
      </c>
      <c r="C115" s="16">
        <f>SUM(C111:C114)</f>
        <v>10964728.169999998</v>
      </c>
      <c r="D115" s="16">
        <f>SUM(D111:D114)</f>
        <v>159486.95</v>
      </c>
      <c r="E115" s="16">
        <f>SUM(E111:E114)</f>
        <v>0</v>
      </c>
      <c r="G115" s="16">
        <f>SUM(G111:G114)</f>
        <v>57845.91862399998</v>
      </c>
      <c r="H115" s="16">
        <f>SUM(H111:H114)</f>
        <v>0.0013760000110778492</v>
      </c>
      <c r="I115" s="16">
        <f>I109+B115</f>
        <v>152399.64</v>
      </c>
    </row>
    <row r="116" spans="2:9" ht="12.75">
      <c r="B116" s="1"/>
      <c r="C116" s="1"/>
      <c r="D116" s="1"/>
      <c r="E116" s="1"/>
      <c r="G116" s="1"/>
      <c r="H116" s="1"/>
      <c r="I116" s="1"/>
    </row>
    <row r="117" spans="1:9" ht="12.75">
      <c r="A117" t="s">
        <v>9</v>
      </c>
      <c r="B117" s="1">
        <v>98912.7</v>
      </c>
      <c r="C117" s="1">
        <v>18825088.59</v>
      </c>
      <c r="D117" s="1">
        <v>196584.96</v>
      </c>
      <c r="E117" s="1"/>
      <c r="F117" s="2">
        <v>0.0052</v>
      </c>
      <c r="G117" s="1">
        <f>(C117+D117)*F117</f>
        <v>98912.70246</v>
      </c>
      <c r="H117" s="1">
        <f>B117-G117</f>
        <v>-0.0024600000033387914</v>
      </c>
      <c r="I117" s="1"/>
    </row>
    <row r="118" spans="2:9" ht="12.75">
      <c r="B118" s="1"/>
      <c r="C118" s="1"/>
      <c r="D118" s="1"/>
      <c r="E118" s="1"/>
      <c r="F118" s="2">
        <v>0.0052</v>
      </c>
      <c r="G118" s="1">
        <f>(C118+D118)*F118</f>
        <v>0</v>
      </c>
      <c r="H118" s="1">
        <f>B118-G118</f>
        <v>0</v>
      </c>
      <c r="I118" s="1"/>
    </row>
    <row r="119" spans="2:9" ht="12.75">
      <c r="B119" s="1"/>
      <c r="C119" s="1"/>
      <c r="D119" s="1"/>
      <c r="E119" s="1"/>
      <c r="F119" s="2">
        <f>F117</f>
        <v>0.0052</v>
      </c>
      <c r="G119" s="1">
        <f>(C119+D119)*F119</f>
        <v>0</v>
      </c>
      <c r="H119" s="1">
        <f>B119-G119</f>
        <v>0</v>
      </c>
      <c r="I119" s="1"/>
    </row>
    <row r="120" spans="2:10" s="7" customFormat="1" ht="12.75">
      <c r="B120" s="8"/>
      <c r="C120" s="8"/>
      <c r="D120" s="8"/>
      <c r="E120" s="8"/>
      <c r="F120" s="9">
        <f>F118</f>
        <v>0.0052</v>
      </c>
      <c r="G120" s="8">
        <f>(C120+D120)*F120</f>
        <v>0</v>
      </c>
      <c r="H120" s="8">
        <f>B120-G120</f>
        <v>0</v>
      </c>
      <c r="I120" s="8"/>
      <c r="J120" s="8"/>
    </row>
    <row r="121" spans="2:9" s="16" customFormat="1" ht="13.5" thickBot="1">
      <c r="B121" s="16">
        <f>SUM(B117:B120)</f>
        <v>98912.7</v>
      </c>
      <c r="C121" s="16">
        <f>SUM(C117:C120)</f>
        <v>18825088.59</v>
      </c>
      <c r="D121" s="16">
        <f>SUM(D117:D120)</f>
        <v>196584.96</v>
      </c>
      <c r="E121" s="16">
        <f>SUM(E117:E120)</f>
        <v>0</v>
      </c>
      <c r="G121" s="16">
        <f>SUM(G117:G120)</f>
        <v>98912.70246</v>
      </c>
      <c r="H121" s="16">
        <f>SUM(H117:H120)</f>
        <v>-0.0024600000033387914</v>
      </c>
      <c r="I121" s="16">
        <f>I115+B121</f>
        <v>251312.34000000003</v>
      </c>
    </row>
    <row r="122" spans="2:9" ht="12.75">
      <c r="B122" s="1"/>
      <c r="C122" s="1"/>
      <c r="D122" s="1"/>
      <c r="E122" s="1"/>
      <c r="G122" s="1"/>
      <c r="H122" s="1"/>
      <c r="I122" s="1"/>
    </row>
    <row r="123" spans="1:9" ht="12.75">
      <c r="A123" t="s">
        <v>10</v>
      </c>
      <c r="B123" s="1"/>
      <c r="C123" s="1"/>
      <c r="D123" s="1"/>
      <c r="E123" s="1"/>
      <c r="F123" s="2">
        <v>0.0052</v>
      </c>
      <c r="G123" s="1">
        <f>(C123+D123)*F123</f>
        <v>0</v>
      </c>
      <c r="H123" s="1">
        <f>B123-G123</f>
        <v>0</v>
      </c>
      <c r="I123" s="1"/>
    </row>
    <row r="124" spans="2:9" ht="12.75">
      <c r="B124" s="1"/>
      <c r="C124" s="1"/>
      <c r="D124" s="1"/>
      <c r="E124" s="1"/>
      <c r="F124" s="2">
        <v>0.0052</v>
      </c>
      <c r="G124" s="1">
        <f>(C124+D124)*F124</f>
        <v>0</v>
      </c>
      <c r="H124" s="1">
        <f>B124-G124</f>
        <v>0</v>
      </c>
      <c r="I124" s="1"/>
    </row>
    <row r="125" spans="2:9" ht="12.75">
      <c r="B125" s="1"/>
      <c r="C125" s="1"/>
      <c r="D125" s="1"/>
      <c r="E125" s="1"/>
      <c r="F125" s="2">
        <f>F123</f>
        <v>0.0052</v>
      </c>
      <c r="G125" s="1">
        <f>(C125+D125)*F125</f>
        <v>0</v>
      </c>
      <c r="H125" s="1">
        <f>B125-G125</f>
        <v>0</v>
      </c>
      <c r="I125" s="1"/>
    </row>
    <row r="126" spans="2:10" s="7" customFormat="1" ht="12.75">
      <c r="B126" s="8"/>
      <c r="C126" s="8"/>
      <c r="D126" s="8"/>
      <c r="E126" s="8"/>
      <c r="F126" s="9">
        <f>F124</f>
        <v>0.0052</v>
      </c>
      <c r="G126" s="8">
        <f>(C126+D126)*F126</f>
        <v>0</v>
      </c>
      <c r="H126" s="8">
        <f>B126-G126</f>
        <v>0</v>
      </c>
      <c r="I126" s="8"/>
      <c r="J126" s="8"/>
    </row>
    <row r="127" spans="2:9" s="16" customFormat="1" ht="13.5" thickBot="1">
      <c r="B127" s="16">
        <f>SUM(B123:B126)</f>
        <v>0</v>
      </c>
      <c r="C127" s="16">
        <f>SUM(C123:C126)</f>
        <v>0</v>
      </c>
      <c r="D127" s="16">
        <f>SUM(D123:D126)</f>
        <v>0</v>
      </c>
      <c r="E127" s="16">
        <f>SUM(E123:E126)</f>
        <v>0</v>
      </c>
      <c r="G127" s="16">
        <f>SUM(G123:G126)</f>
        <v>0</v>
      </c>
      <c r="H127" s="16">
        <f>SUM(H123:H126)</f>
        <v>0</v>
      </c>
      <c r="I127" s="16">
        <f>I121+B127</f>
        <v>251312.34000000003</v>
      </c>
    </row>
    <row r="129" spans="1:9" ht="12.75">
      <c r="A129" t="s">
        <v>11</v>
      </c>
      <c r="B129" s="1"/>
      <c r="C129" s="1"/>
      <c r="D129" s="1"/>
      <c r="E129" s="1"/>
      <c r="F129" s="2">
        <v>0.0052</v>
      </c>
      <c r="G129" s="1">
        <f>(C129+D129)*F129</f>
        <v>0</v>
      </c>
      <c r="H129" s="1">
        <f>B129-G129</f>
        <v>0</v>
      </c>
      <c r="I129" s="1"/>
    </row>
    <row r="130" spans="2:9" ht="12.75">
      <c r="B130" s="1"/>
      <c r="C130" s="1"/>
      <c r="D130" s="1"/>
      <c r="E130" s="1"/>
      <c r="F130" s="2">
        <v>0.0052</v>
      </c>
      <c r="G130" s="1">
        <f>(C130+D130)*F130</f>
        <v>0</v>
      </c>
      <c r="H130" s="1">
        <f>B130-G130</f>
        <v>0</v>
      </c>
      <c r="I130" s="1"/>
    </row>
    <row r="131" spans="2:9" ht="12.75">
      <c r="B131" s="1"/>
      <c r="C131" s="1"/>
      <c r="D131" s="1"/>
      <c r="E131" s="1"/>
      <c r="F131" s="2">
        <f>F129</f>
        <v>0.0052</v>
      </c>
      <c r="G131" s="1">
        <f>(C131+D131)*F131</f>
        <v>0</v>
      </c>
      <c r="H131" s="1">
        <f>B131-G131</f>
        <v>0</v>
      </c>
      <c r="I131" s="1"/>
    </row>
    <row r="132" spans="2:10" s="7" customFormat="1" ht="12.75">
      <c r="B132" s="8"/>
      <c r="C132" s="8"/>
      <c r="D132" s="8"/>
      <c r="E132" s="8"/>
      <c r="F132" s="9">
        <f>F130</f>
        <v>0.0052</v>
      </c>
      <c r="G132" s="8">
        <f>(C132+D132)*F132</f>
        <v>0</v>
      </c>
      <c r="H132" s="8">
        <f>B132-G132</f>
        <v>0</v>
      </c>
      <c r="I132" s="8"/>
      <c r="J132" s="8"/>
    </row>
    <row r="133" spans="2:9" s="16" customFormat="1" ht="13.5" thickBot="1">
      <c r="B133" s="16">
        <f>SUM(B129:B132)</f>
        <v>0</v>
      </c>
      <c r="C133" s="16">
        <f>SUM(C129:C132)</f>
        <v>0</v>
      </c>
      <c r="D133" s="16">
        <f>SUM(D129:D132)</f>
        <v>0</v>
      </c>
      <c r="E133" s="16">
        <f>SUM(E129:E132)</f>
        <v>0</v>
      </c>
      <c r="G133" s="16">
        <f>SUM(G129:G132)</f>
        <v>0</v>
      </c>
      <c r="H133" s="16">
        <f>SUM(H129:H132)</f>
        <v>0</v>
      </c>
      <c r="I133" s="16">
        <f>I127+B133</f>
        <v>251312.34000000003</v>
      </c>
    </row>
    <row r="135" spans="1:9" ht="12.75">
      <c r="A135" t="s">
        <v>12</v>
      </c>
      <c r="B135" s="1"/>
      <c r="C135" s="1"/>
      <c r="D135" s="1"/>
      <c r="E135" s="1"/>
      <c r="F135" s="2">
        <v>0.0052</v>
      </c>
      <c r="G135" s="1">
        <f>(C135+D135)*F135</f>
        <v>0</v>
      </c>
      <c r="H135" s="1">
        <f>B135-G135</f>
        <v>0</v>
      </c>
      <c r="I135" s="1"/>
    </row>
    <row r="136" spans="2:9" ht="12.75">
      <c r="B136" s="1"/>
      <c r="C136" s="1"/>
      <c r="D136" s="1"/>
      <c r="E136" s="1"/>
      <c r="F136" s="2">
        <v>0.0052</v>
      </c>
      <c r="G136" s="1">
        <f>(C136+D136)*F136</f>
        <v>0</v>
      </c>
      <c r="H136" s="1">
        <f>B136-G136</f>
        <v>0</v>
      </c>
      <c r="I136" s="1"/>
    </row>
    <row r="137" spans="2:9" ht="12.75">
      <c r="B137" s="1"/>
      <c r="C137" s="1"/>
      <c r="D137" s="1"/>
      <c r="E137" s="1"/>
      <c r="F137" s="2">
        <f>F135</f>
        <v>0.0052</v>
      </c>
      <c r="G137" s="1">
        <f>(C137+D137)*F137</f>
        <v>0</v>
      </c>
      <c r="H137" s="1">
        <f>B137-G137</f>
        <v>0</v>
      </c>
      <c r="I137" s="1"/>
    </row>
    <row r="138" spans="2:10" s="7" customFormat="1" ht="12.75">
      <c r="B138" s="8"/>
      <c r="C138" s="8"/>
      <c r="D138" s="8"/>
      <c r="E138" s="8"/>
      <c r="F138" s="9">
        <f>F136</f>
        <v>0.0052</v>
      </c>
      <c r="G138" s="8">
        <f>(C138+D138)*F138</f>
        <v>0</v>
      </c>
      <c r="H138" s="8">
        <f>B138-G138</f>
        <v>0</v>
      </c>
      <c r="I138" s="8"/>
      <c r="J138" s="8"/>
    </row>
    <row r="139" spans="2:9" s="16" customFormat="1" ht="13.5" thickBot="1">
      <c r="B139" s="16">
        <f>SUM(B135:B138)</f>
        <v>0</v>
      </c>
      <c r="C139" s="16">
        <f>SUM(C135:C138)</f>
        <v>0</v>
      </c>
      <c r="D139" s="16">
        <f>SUM(D135:D138)</f>
        <v>0</v>
      </c>
      <c r="E139" s="16">
        <f>SUM(E135:E138)</f>
        <v>0</v>
      </c>
      <c r="G139" s="16">
        <f>SUM(G135:G138)</f>
        <v>0</v>
      </c>
      <c r="H139" s="16">
        <f>SUM(H135:H138)</f>
        <v>0</v>
      </c>
      <c r="I139" s="16">
        <f>I133+B139</f>
        <v>251312.34000000003</v>
      </c>
    </row>
    <row r="141" spans="1:9" ht="12.75">
      <c r="A141" t="s">
        <v>13</v>
      </c>
      <c r="B141" s="1"/>
      <c r="C141" s="1"/>
      <c r="D141" s="1"/>
      <c r="E141" s="1"/>
      <c r="F141" s="2">
        <v>0.0052</v>
      </c>
      <c r="G141" s="1">
        <f>(C141+D141)*F141</f>
        <v>0</v>
      </c>
      <c r="H141" s="1">
        <f>B141-G141</f>
        <v>0</v>
      </c>
      <c r="I141" s="1"/>
    </row>
    <row r="142" spans="2:9" ht="12.75">
      <c r="B142" s="1"/>
      <c r="C142" s="1"/>
      <c r="D142" s="1"/>
      <c r="E142" s="1"/>
      <c r="F142" s="2">
        <v>0.0052</v>
      </c>
      <c r="G142" s="1">
        <f>(C142+D142)*F142</f>
        <v>0</v>
      </c>
      <c r="H142" s="1">
        <f>B142-G142</f>
        <v>0</v>
      </c>
      <c r="I142" s="1"/>
    </row>
    <row r="143" spans="2:9" ht="12.75">
      <c r="B143" s="1"/>
      <c r="C143" s="1"/>
      <c r="D143" s="1"/>
      <c r="E143" s="1"/>
      <c r="F143" s="2">
        <f>F141</f>
        <v>0.0052</v>
      </c>
      <c r="G143" s="1">
        <f>(C143+D143)*F143</f>
        <v>0</v>
      </c>
      <c r="H143" s="1">
        <f>B143-G143</f>
        <v>0</v>
      </c>
      <c r="I143" s="1"/>
    </row>
    <row r="144" spans="2:10" s="7" customFormat="1" ht="12.75">
      <c r="B144" s="8"/>
      <c r="C144" s="8"/>
      <c r="D144" s="8"/>
      <c r="E144" s="8"/>
      <c r="F144" s="9">
        <f>F142</f>
        <v>0.0052</v>
      </c>
      <c r="G144" s="8">
        <f>(C144+D144)*F144</f>
        <v>0</v>
      </c>
      <c r="H144" s="8">
        <f>B144-G144</f>
        <v>0</v>
      </c>
      <c r="I144" s="8"/>
      <c r="J144" s="8"/>
    </row>
    <row r="145" spans="2:9" s="16" customFormat="1" ht="13.5" thickBot="1">
      <c r="B145" s="16">
        <f>SUM(B141:B144)</f>
        <v>0</v>
      </c>
      <c r="C145" s="16">
        <f>SUM(C141:C144)</f>
        <v>0</v>
      </c>
      <c r="D145" s="16">
        <f>SUM(D141:D144)</f>
        <v>0</v>
      </c>
      <c r="E145" s="16">
        <f>SUM(E141:E144)</f>
        <v>0</v>
      </c>
      <c r="G145" s="16">
        <f>SUM(G141:G144)</f>
        <v>0</v>
      </c>
      <c r="H145" s="16">
        <f>SUM(H141:H144)</f>
        <v>0</v>
      </c>
      <c r="I145" s="16">
        <f>I139+B145</f>
        <v>251312.34000000003</v>
      </c>
    </row>
    <row r="147" spans="1:9" ht="12.75">
      <c r="A147" t="s">
        <v>14</v>
      </c>
      <c r="B147" s="1"/>
      <c r="C147" s="1"/>
      <c r="D147" s="1"/>
      <c r="E147" s="1"/>
      <c r="F147" s="2">
        <v>0.0052</v>
      </c>
      <c r="G147" s="1">
        <f>(C147+D147)*F147</f>
        <v>0</v>
      </c>
      <c r="H147" s="1">
        <f>B147-G147</f>
        <v>0</v>
      </c>
      <c r="I147" s="1"/>
    </row>
    <row r="148" spans="2:9" ht="12.75">
      <c r="B148" s="1"/>
      <c r="C148" s="1"/>
      <c r="D148" s="1"/>
      <c r="E148" s="1"/>
      <c r="F148" s="2">
        <v>0.0052</v>
      </c>
      <c r="G148" s="1">
        <f>(C148+D148)*F148</f>
        <v>0</v>
      </c>
      <c r="H148" s="1">
        <f>B148-G148</f>
        <v>0</v>
      </c>
      <c r="I148" s="1"/>
    </row>
    <row r="149" spans="2:9" ht="12.75">
      <c r="B149" s="1"/>
      <c r="C149" s="1"/>
      <c r="D149" s="1"/>
      <c r="E149" s="1"/>
      <c r="F149" s="2">
        <f>F147</f>
        <v>0.0052</v>
      </c>
      <c r="G149" s="1">
        <f>(C149+D149)*F149</f>
        <v>0</v>
      </c>
      <c r="H149" s="1">
        <f>B149-G149</f>
        <v>0</v>
      </c>
      <c r="I149" s="1"/>
    </row>
    <row r="150" spans="2:10" s="7" customFormat="1" ht="12.75">
      <c r="B150" s="8"/>
      <c r="C150" s="8"/>
      <c r="D150" s="8"/>
      <c r="E150" s="8"/>
      <c r="F150" s="9">
        <f>F148</f>
        <v>0.0052</v>
      </c>
      <c r="G150" s="8">
        <f>(C150+D150)*F150</f>
        <v>0</v>
      </c>
      <c r="H150" s="8">
        <f>B150-G150</f>
        <v>0</v>
      </c>
      <c r="I150" s="8"/>
      <c r="J150" s="8"/>
    </row>
    <row r="151" spans="2:9" s="16" customFormat="1" ht="13.5" thickBot="1">
      <c r="B151" s="16">
        <f>SUM(B147:B150)</f>
        <v>0</v>
      </c>
      <c r="C151" s="16">
        <f>SUM(C147:C150)</f>
        <v>0</v>
      </c>
      <c r="D151" s="16">
        <f>SUM(D147:D150)</f>
        <v>0</v>
      </c>
      <c r="E151" s="16">
        <f>SUM(E147:E150)</f>
        <v>0</v>
      </c>
      <c r="G151" s="16">
        <f>SUM(G147:G150)</f>
        <v>0</v>
      </c>
      <c r="H151" s="16">
        <f>SUM(H147:H150)</f>
        <v>0</v>
      </c>
      <c r="I151" s="16">
        <f>I145+B151</f>
        <v>251312.34000000003</v>
      </c>
    </row>
    <row r="153" spans="3:9" ht="12.75">
      <c r="C153" s="3">
        <f>C85+C91+C97+C103+C109+C115+C121+C127+C133+C139+C145+C151</f>
        <v>126752509.61999999</v>
      </c>
      <c r="D153" s="3">
        <f>D85+D91+D97+D103+D109+D115+D121+D127+D133+D139+D145+D151</f>
        <v>1203261.13</v>
      </c>
      <c r="I153" s="1">
        <v>714847.89</v>
      </c>
    </row>
    <row r="154" spans="4:9" ht="12.75">
      <c r="D154" s="78"/>
      <c r="I154" s="1">
        <f>I151-I153</f>
        <v>-463535.55</v>
      </c>
    </row>
    <row r="155" ht="12.75">
      <c r="D155" s="78"/>
    </row>
    <row r="156" ht="12.75">
      <c r="D156" s="78"/>
    </row>
    <row r="157" ht="12.75">
      <c r="D157" s="78"/>
    </row>
    <row r="158" spans="1:9" ht="12.75">
      <c r="A158" t="s">
        <v>43</v>
      </c>
      <c r="B158" s="1"/>
      <c r="C158" s="1"/>
      <c r="D158" s="78"/>
      <c r="E158" s="1"/>
      <c r="F158" s="2"/>
      <c r="G158" s="1"/>
      <c r="H158" s="1"/>
      <c r="I158" s="1"/>
    </row>
    <row r="159" spans="1:9" ht="12.75">
      <c r="A159" t="s">
        <v>44</v>
      </c>
      <c r="B159" s="1"/>
      <c r="C159" s="1"/>
      <c r="D159" s="78"/>
      <c r="E159" s="1"/>
      <c r="F159" s="2"/>
      <c r="G159" s="1"/>
      <c r="H159" s="1"/>
      <c r="I159" s="1"/>
    </row>
    <row r="160" spans="1:9" ht="12.75">
      <c r="A160" t="s">
        <v>45</v>
      </c>
      <c r="B160" s="1"/>
      <c r="C160" s="1"/>
      <c r="D160" s="1"/>
      <c r="E160" s="1"/>
      <c r="F160" s="2"/>
      <c r="G160" s="1"/>
      <c r="H160" s="1"/>
      <c r="I160" s="1"/>
    </row>
    <row r="161" spans="2:9" ht="12.75">
      <c r="B161" s="1"/>
      <c r="C161" s="1"/>
      <c r="D161" s="1"/>
      <c r="E161" s="1"/>
      <c r="F161" s="2"/>
      <c r="G161" s="1"/>
      <c r="H161" s="1"/>
      <c r="I161" s="1"/>
    </row>
    <row r="162" spans="2:10" s="4" customFormat="1" ht="25.5">
      <c r="B162" s="5" t="s">
        <v>15</v>
      </c>
      <c r="C162" s="5" t="s">
        <v>16</v>
      </c>
      <c r="D162" s="5" t="s">
        <v>25</v>
      </c>
      <c r="E162" s="5" t="s">
        <v>24</v>
      </c>
      <c r="F162" s="6" t="s">
        <v>17</v>
      </c>
      <c r="G162" s="5" t="s">
        <v>18</v>
      </c>
      <c r="H162" s="5" t="s">
        <v>19</v>
      </c>
      <c r="I162" s="5" t="s">
        <v>20</v>
      </c>
      <c r="J162" s="5"/>
    </row>
    <row r="163" spans="2:9" ht="12.75">
      <c r="B163" s="1"/>
      <c r="C163" s="1"/>
      <c r="D163" s="1"/>
      <c r="E163" s="1"/>
      <c r="F163" s="2"/>
      <c r="G163" s="1"/>
      <c r="H163" s="1"/>
      <c r="I163" s="1"/>
    </row>
    <row r="164" spans="1:9" ht="12.75">
      <c r="A164" t="s">
        <v>3</v>
      </c>
      <c r="B164" s="1">
        <f>'[6]LU'!$K$35</f>
        <v>-18563.68</v>
      </c>
      <c r="C164" s="1"/>
      <c r="D164" s="1"/>
      <c r="E164" s="1">
        <f>'[6]LU'!$AH$35</f>
        <v>30939.48</v>
      </c>
      <c r="F164" s="2">
        <v>-0.6</v>
      </c>
      <c r="G164" s="1">
        <f>E164*F164</f>
        <v>-18563.688</v>
      </c>
      <c r="H164" s="1">
        <f>B164-G164</f>
        <v>0.007999999997991836</v>
      </c>
      <c r="I164" s="1"/>
    </row>
    <row r="165" spans="2:9" ht="12.75">
      <c r="B165" s="1"/>
      <c r="C165" s="1"/>
      <c r="D165" s="1"/>
      <c r="E165" s="1"/>
      <c r="F165" s="2">
        <v>-0.6</v>
      </c>
      <c r="G165" s="1">
        <f>E165*F165</f>
        <v>0</v>
      </c>
      <c r="H165" s="1">
        <f>B165-G165</f>
        <v>0</v>
      </c>
      <c r="I165" s="1"/>
    </row>
    <row r="166" spans="2:10" s="7" customFormat="1" ht="12.75">
      <c r="B166" s="8"/>
      <c r="C166" s="8"/>
      <c r="D166" s="8"/>
      <c r="E166" s="8"/>
      <c r="F166" s="9">
        <v>-1.56</v>
      </c>
      <c r="G166" s="8">
        <f>E166*F166</f>
        <v>0</v>
      </c>
      <c r="H166" s="8">
        <f>B166-G166</f>
        <v>0</v>
      </c>
      <c r="I166" s="8"/>
      <c r="J166" s="8"/>
    </row>
    <row r="167" spans="2:9" s="16" customFormat="1" ht="13.5" thickBot="1">
      <c r="B167" s="16">
        <f>SUM(B164:B166)</f>
        <v>-18563.68</v>
      </c>
      <c r="C167" s="16">
        <f>SUM(C164:C166)</f>
        <v>0</v>
      </c>
      <c r="D167" s="16">
        <f>SUM(D164:D166)</f>
        <v>0</v>
      </c>
      <c r="E167" s="16">
        <f>SUM(E164:E166)</f>
        <v>30939.48</v>
      </c>
      <c r="G167" s="16">
        <f>SUM(G164:G166)</f>
        <v>-18563.688</v>
      </c>
      <c r="H167" s="16">
        <f>SUM(H164:H166)</f>
        <v>0.007999999997991836</v>
      </c>
      <c r="I167" s="16">
        <f>B167</f>
        <v>-18563.68</v>
      </c>
    </row>
    <row r="168" spans="2:9" ht="12.75">
      <c r="B168" s="1"/>
      <c r="C168" s="1"/>
      <c r="D168" s="1"/>
      <c r="E168" s="1"/>
      <c r="F168" s="2"/>
      <c r="G168" s="1"/>
      <c r="H168" s="1"/>
      <c r="I168" s="1"/>
    </row>
    <row r="169" spans="1:9" ht="12.75">
      <c r="A169" t="s">
        <v>4</v>
      </c>
      <c r="B169" s="1">
        <f>18563.68-37255.67</f>
        <v>-18691.989999999998</v>
      </c>
      <c r="C169" s="1"/>
      <c r="D169" s="1"/>
      <c r="E169" s="1">
        <f>'[3]LU'!$AH$33</f>
        <v>31153.32</v>
      </c>
      <c r="F169" s="2">
        <v>-0.6</v>
      </c>
      <c r="G169" s="1">
        <f>E169*F169</f>
        <v>-18691.992</v>
      </c>
      <c r="H169" s="1">
        <f>B169-G169</f>
        <v>0.0020000000004074536</v>
      </c>
      <c r="I169" s="1"/>
    </row>
    <row r="170" spans="2:9" ht="12.75">
      <c r="B170" s="1"/>
      <c r="C170" s="1"/>
      <c r="D170" s="1"/>
      <c r="E170" s="1"/>
      <c r="F170" s="2">
        <v>-0.6</v>
      </c>
      <c r="G170" s="1">
        <f>E170*F170</f>
        <v>0</v>
      </c>
      <c r="H170" s="1">
        <f>B170-G170</f>
        <v>0</v>
      </c>
      <c r="I170" s="1"/>
    </row>
    <row r="171" spans="2:10" s="7" customFormat="1" ht="12.75">
      <c r="B171" s="8"/>
      <c r="C171" s="8"/>
      <c r="D171" s="8"/>
      <c r="E171" s="8"/>
      <c r="F171" s="9"/>
      <c r="G171" s="8">
        <f>E171*F171</f>
        <v>0</v>
      </c>
      <c r="H171" s="8">
        <f>B171-G171</f>
        <v>0</v>
      </c>
      <c r="I171" s="8"/>
      <c r="J171" s="8"/>
    </row>
    <row r="172" spans="2:9" s="16" customFormat="1" ht="13.5" thickBot="1">
      <c r="B172" s="16">
        <f>SUM(B169:B171)</f>
        <v>-18691.989999999998</v>
      </c>
      <c r="C172" s="16">
        <f>SUM(C169:C171)</f>
        <v>0</v>
      </c>
      <c r="D172" s="16">
        <f>SUM(D169:D171)</f>
        <v>0</v>
      </c>
      <c r="E172" s="16">
        <f>SUM(E169:E171)</f>
        <v>31153.32</v>
      </c>
      <c r="G172" s="16">
        <f>SUM(G169:G171)</f>
        <v>-18691.992</v>
      </c>
      <c r="H172" s="16">
        <f>SUM(H169:H171)</f>
        <v>0.0020000000004074536</v>
      </c>
      <c r="I172" s="16">
        <f>I167+B172</f>
        <v>-37255.67</v>
      </c>
    </row>
    <row r="173" spans="2:9" ht="12.75">
      <c r="B173" s="1"/>
      <c r="C173" s="1"/>
      <c r="D173" s="1"/>
      <c r="E173" s="1"/>
      <c r="G173" s="1"/>
      <c r="H173" s="1"/>
      <c r="I173" s="1"/>
    </row>
    <row r="174" spans="1:9" ht="12.75">
      <c r="A174" t="s">
        <v>5</v>
      </c>
      <c r="B174" s="1">
        <f>37255.67-47253.88</f>
        <v>-9998.21</v>
      </c>
      <c r="C174" s="1"/>
      <c r="D174" s="1"/>
      <c r="E174" s="1"/>
      <c r="F174" s="2">
        <v>-0.6</v>
      </c>
      <c r="G174" s="1">
        <f>E174*F174</f>
        <v>0</v>
      </c>
      <c r="H174" s="1">
        <f>B174-G174</f>
        <v>-9998.21</v>
      </c>
      <c r="I174" s="1"/>
    </row>
    <row r="175" spans="2:9" ht="12.75">
      <c r="B175" s="1"/>
      <c r="C175" s="1"/>
      <c r="D175" s="1"/>
      <c r="E175" s="1"/>
      <c r="F175" s="2">
        <v>-0.6</v>
      </c>
      <c r="G175" s="1">
        <f>E175*F175</f>
        <v>0</v>
      </c>
      <c r="H175" s="1">
        <f>B175-G175</f>
        <v>0</v>
      </c>
      <c r="I175" s="1"/>
    </row>
    <row r="176" spans="2:10" s="7" customFormat="1" ht="12.75">
      <c r="B176" s="8"/>
      <c r="C176" s="8"/>
      <c r="D176" s="8"/>
      <c r="E176" s="8"/>
      <c r="F176" s="9"/>
      <c r="G176" s="8">
        <f>E176*F176</f>
        <v>0</v>
      </c>
      <c r="H176" s="8">
        <f>B176-G176</f>
        <v>0</v>
      </c>
      <c r="I176" s="8"/>
      <c r="J176" s="8"/>
    </row>
    <row r="177" spans="2:9" s="16" customFormat="1" ht="13.5" thickBot="1">
      <c r="B177" s="16">
        <f>SUM(B174:B176)</f>
        <v>-9998.21</v>
      </c>
      <c r="C177" s="16">
        <f>SUM(C174:C176)</f>
        <v>0</v>
      </c>
      <c r="D177" s="16">
        <f>SUM(D174:D176)</f>
        <v>0</v>
      </c>
      <c r="E177" s="16">
        <f>SUM(E174:E176)</f>
        <v>0</v>
      </c>
      <c r="G177" s="16">
        <f>SUM(G174:G176)</f>
        <v>0</v>
      </c>
      <c r="H177" s="16">
        <f>SUM(H174:H176)</f>
        <v>-9998.21</v>
      </c>
      <c r="I177" s="16">
        <f>I172+B177</f>
        <v>-47253.88</v>
      </c>
    </row>
    <row r="178" spans="2:9" ht="12.75">
      <c r="B178" s="1"/>
      <c r="C178" s="1"/>
      <c r="D178" s="1"/>
      <c r="E178" s="1"/>
      <c r="G178" s="1"/>
      <c r="H178" s="1"/>
      <c r="I178" s="1"/>
    </row>
    <row r="179" spans="1:9" ht="12.75">
      <c r="A179" t="s">
        <v>6</v>
      </c>
      <c r="B179" s="1">
        <f>47253.88-74044.47</f>
        <v>-26790.590000000004</v>
      </c>
      <c r="C179" s="1"/>
      <c r="D179" s="1"/>
      <c r="E179" s="1"/>
      <c r="F179" s="2">
        <v>-0.6</v>
      </c>
      <c r="G179" s="1">
        <f>E179*F179</f>
        <v>0</v>
      </c>
      <c r="H179" s="1">
        <f>B179-G179</f>
        <v>-26790.590000000004</v>
      </c>
      <c r="I179" s="1"/>
    </row>
    <row r="180" spans="2:10" s="7" customFormat="1" ht="12.75">
      <c r="B180" s="8"/>
      <c r="C180" s="8"/>
      <c r="D180" s="8"/>
      <c r="E180" s="8"/>
      <c r="F180" s="9"/>
      <c r="G180" s="8">
        <f>E180*F180</f>
        <v>0</v>
      </c>
      <c r="H180" s="8">
        <f>B180-G180</f>
        <v>0</v>
      </c>
      <c r="I180" s="8"/>
      <c r="J180" s="8"/>
    </row>
    <row r="181" spans="2:9" s="16" customFormat="1" ht="13.5" thickBot="1">
      <c r="B181" s="16">
        <f>SUM(B179:B180)</f>
        <v>-26790.590000000004</v>
      </c>
      <c r="C181" s="16">
        <f>SUM(C179:C180)</f>
        <v>0</v>
      </c>
      <c r="D181" s="16">
        <f>SUM(D179:D180)</f>
        <v>0</v>
      </c>
      <c r="E181" s="16">
        <f>SUM(E179:E180)</f>
        <v>0</v>
      </c>
      <c r="G181" s="16">
        <f>SUM(G179:G180)</f>
        <v>0</v>
      </c>
      <c r="H181" s="16">
        <f>SUM(H179:H180)</f>
        <v>-26790.590000000004</v>
      </c>
      <c r="I181" s="16">
        <f>I177+B181</f>
        <v>-74044.47</v>
      </c>
    </row>
    <row r="182" spans="2:9" ht="12.75">
      <c r="B182" s="1"/>
      <c r="C182" s="1"/>
      <c r="D182" s="1"/>
      <c r="E182" s="1"/>
      <c r="G182" s="1"/>
      <c r="H182" s="1"/>
      <c r="I182" s="1"/>
    </row>
    <row r="183" spans="1:9" ht="12.75">
      <c r="A183" t="s">
        <v>7</v>
      </c>
      <c r="B183" s="1">
        <f>74044.47-128551.98</f>
        <v>-54507.509999999995</v>
      </c>
      <c r="C183" s="1"/>
      <c r="D183" s="1"/>
      <c r="E183" s="1"/>
      <c r="F183" s="2">
        <v>-0.6</v>
      </c>
      <c r="G183" s="1">
        <f>E183*F183</f>
        <v>0</v>
      </c>
      <c r="H183" s="1">
        <f>B183-G183</f>
        <v>-54507.509999999995</v>
      </c>
      <c r="I183" s="1"/>
    </row>
    <row r="184" spans="2:9" ht="12.75">
      <c r="B184" s="1"/>
      <c r="C184" s="1"/>
      <c r="D184" s="1"/>
      <c r="E184" s="1"/>
      <c r="F184" s="2">
        <v>-0.6</v>
      </c>
      <c r="G184" s="1">
        <f>E184*F184</f>
        <v>0</v>
      </c>
      <c r="H184" s="1">
        <f>B184-G184</f>
        <v>0</v>
      </c>
      <c r="I184" s="1"/>
    </row>
    <row r="185" spans="2:10" s="7" customFormat="1" ht="12.75">
      <c r="B185" s="8"/>
      <c r="C185" s="8"/>
      <c r="D185" s="8"/>
      <c r="E185" s="8"/>
      <c r="F185" s="9"/>
      <c r="G185" s="8">
        <f>E185*F185</f>
        <v>0</v>
      </c>
      <c r="H185" s="8">
        <f>B185-G185</f>
        <v>0</v>
      </c>
      <c r="I185" s="8"/>
      <c r="J185" s="8"/>
    </row>
    <row r="186" spans="2:9" s="16" customFormat="1" ht="13.5" thickBot="1">
      <c r="B186" s="16">
        <f>SUM(B183:B185)</f>
        <v>-54507.509999999995</v>
      </c>
      <c r="C186" s="16">
        <f>SUM(C183:C185)</f>
        <v>0</v>
      </c>
      <c r="D186" s="16">
        <f>SUM(D183:D185)</f>
        <v>0</v>
      </c>
      <c r="E186" s="16">
        <f>SUM(E183:E185)</f>
        <v>0</v>
      </c>
      <c r="G186" s="16">
        <f>SUM(G183:G185)</f>
        <v>0</v>
      </c>
      <c r="H186" s="16">
        <f>SUM(H183:H185)</f>
        <v>-54507.509999999995</v>
      </c>
      <c r="I186" s="16">
        <f>I181+B186</f>
        <v>-128551.98</v>
      </c>
    </row>
    <row r="187" spans="2:9" ht="12.75">
      <c r="B187" s="1"/>
      <c r="C187" s="1"/>
      <c r="D187" s="1"/>
      <c r="E187" s="1"/>
      <c r="G187" s="1"/>
      <c r="H187" s="1"/>
      <c r="I187" s="1"/>
    </row>
    <row r="188" spans="1:9" ht="12.75">
      <c r="A188" t="s">
        <v>8</v>
      </c>
      <c r="B188" s="1">
        <f>128551.98-112372.9</f>
        <v>16179.080000000002</v>
      </c>
      <c r="C188" s="1"/>
      <c r="D188" s="1"/>
      <c r="E188" s="1"/>
      <c r="F188" s="2">
        <v>-0.6</v>
      </c>
      <c r="G188" s="1">
        <f>E188*F188</f>
        <v>0</v>
      </c>
      <c r="H188" s="1">
        <f>B188-G188</f>
        <v>16179.080000000002</v>
      </c>
      <c r="I188" s="1"/>
    </row>
    <row r="189" spans="2:10" s="7" customFormat="1" ht="12.75">
      <c r="B189" s="8"/>
      <c r="C189" s="8"/>
      <c r="D189" s="8"/>
      <c r="E189" s="8"/>
      <c r="F189" s="9">
        <v>-0.6</v>
      </c>
      <c r="G189" s="8">
        <f>E189*F189</f>
        <v>0</v>
      </c>
      <c r="H189" s="8">
        <f>B189-G189</f>
        <v>0</v>
      </c>
      <c r="I189" s="8"/>
      <c r="J189" s="8"/>
    </row>
    <row r="190" spans="2:9" s="16" customFormat="1" ht="13.5" thickBot="1">
      <c r="B190" s="16">
        <f>SUM(B188:B189)</f>
        <v>16179.080000000002</v>
      </c>
      <c r="C190" s="16">
        <f>SUM(C188:C189)</f>
        <v>0</v>
      </c>
      <c r="D190" s="16">
        <f>SUM(D188:D189)</f>
        <v>0</v>
      </c>
      <c r="E190" s="16">
        <f>SUM(E188:E189)</f>
        <v>0</v>
      </c>
      <c r="G190" s="16">
        <f>SUM(G188:G189)</f>
        <v>0</v>
      </c>
      <c r="H190" s="16">
        <f>SUM(H188:H189)</f>
        <v>16179.080000000002</v>
      </c>
      <c r="I190" s="16">
        <f>I186+B190</f>
        <v>-112372.9</v>
      </c>
    </row>
    <row r="191" spans="2:9" ht="12.75">
      <c r="B191" s="1"/>
      <c r="C191" s="1"/>
      <c r="D191" s="1"/>
      <c r="E191" s="1"/>
      <c r="G191" s="1"/>
      <c r="H191" s="1"/>
      <c r="I191" s="1"/>
    </row>
    <row r="192" spans="1:9" ht="12.75">
      <c r="A192" t="s">
        <v>9</v>
      </c>
      <c r="B192" s="1">
        <f>112372.9-123609.6</f>
        <v>-11236.700000000012</v>
      </c>
      <c r="C192" s="1"/>
      <c r="D192" s="1"/>
      <c r="E192" s="1">
        <v>33026.4</v>
      </c>
      <c r="F192" s="2">
        <v>-0.6</v>
      </c>
      <c r="G192" s="1">
        <f>E192*F192</f>
        <v>-19815.84</v>
      </c>
      <c r="H192" s="1">
        <f>B192-G192</f>
        <v>8579.139999999989</v>
      </c>
      <c r="I192" s="1"/>
    </row>
    <row r="193" spans="2:10" s="7" customFormat="1" ht="12.75">
      <c r="B193" s="8"/>
      <c r="C193" s="8"/>
      <c r="D193" s="8"/>
      <c r="E193" s="8"/>
      <c r="F193" s="9">
        <v>-0.6</v>
      </c>
      <c r="G193" s="8">
        <f>E193*F193</f>
        <v>0</v>
      </c>
      <c r="H193" s="8">
        <f>B193-G193</f>
        <v>0</v>
      </c>
      <c r="I193" s="8"/>
      <c r="J193" s="8"/>
    </row>
    <row r="194" spans="2:9" s="16" customFormat="1" ht="13.5" thickBot="1">
      <c r="B194" s="16">
        <f>SUM(B192:B193)</f>
        <v>-11236.700000000012</v>
      </c>
      <c r="C194" s="16">
        <f>SUM(C192:C193)</f>
        <v>0</v>
      </c>
      <c r="D194" s="16">
        <f>SUM(D192:D193)</f>
        <v>0</v>
      </c>
      <c r="E194" s="16">
        <f>SUM(E192:E193)</f>
        <v>33026.4</v>
      </c>
      <c r="G194" s="16">
        <f>SUM(G192:G193)</f>
        <v>-19815.84</v>
      </c>
      <c r="H194" s="16">
        <f>SUM(H192:H193)</f>
        <v>8579.139999999989</v>
      </c>
      <c r="I194" s="16">
        <f>I190+B194</f>
        <v>-123609.6</v>
      </c>
    </row>
    <row r="195" spans="2:9" ht="12.75">
      <c r="B195" s="1"/>
      <c r="C195" s="1"/>
      <c r="D195" s="1"/>
      <c r="E195" s="1"/>
      <c r="G195" s="1"/>
      <c r="H195" s="1"/>
      <c r="I195" s="1"/>
    </row>
    <row r="196" spans="1:9" ht="12.75">
      <c r="A196" t="s">
        <v>10</v>
      </c>
      <c r="B196" s="1">
        <v>-10595.18</v>
      </c>
      <c r="C196" s="1"/>
      <c r="D196" s="1"/>
      <c r="E196" s="1"/>
      <c r="F196" s="2">
        <v>-0.6</v>
      </c>
      <c r="G196" s="1">
        <f>E196*F196</f>
        <v>0</v>
      </c>
      <c r="H196" s="1">
        <f>B196-G196</f>
        <v>-10595.18</v>
      </c>
      <c r="I196" s="1"/>
    </row>
    <row r="197" spans="2:10" s="7" customFormat="1" ht="12.75">
      <c r="B197" s="8"/>
      <c r="C197" s="8"/>
      <c r="D197" s="8"/>
      <c r="E197" s="8"/>
      <c r="F197" s="9">
        <v>-0.6</v>
      </c>
      <c r="G197" s="8">
        <f>E197*F197</f>
        <v>0</v>
      </c>
      <c r="H197" s="8">
        <f>B197-G197</f>
        <v>0</v>
      </c>
      <c r="I197" s="8"/>
      <c r="J197" s="8"/>
    </row>
    <row r="198" spans="2:9" s="16" customFormat="1" ht="13.5" thickBot="1">
      <c r="B198" s="16">
        <f>SUM(B196:B197)</f>
        <v>-10595.18</v>
      </c>
      <c r="C198" s="16">
        <f>SUM(C196:C197)</f>
        <v>0</v>
      </c>
      <c r="D198" s="16">
        <f>SUM(D196:D197)</f>
        <v>0</v>
      </c>
      <c r="E198" s="16">
        <f>SUM(E196:E197)</f>
        <v>0</v>
      </c>
      <c r="G198" s="16">
        <f>SUM(G196:G197)</f>
        <v>0</v>
      </c>
      <c r="H198" s="16">
        <f>SUM(H196:H197)</f>
        <v>-10595.18</v>
      </c>
      <c r="I198" s="16">
        <f>I194+B198</f>
        <v>-134204.78</v>
      </c>
    </row>
    <row r="199" spans="2:9" ht="12.75">
      <c r="B199" s="1"/>
      <c r="C199" s="1"/>
      <c r="D199" s="1"/>
      <c r="E199" s="1"/>
      <c r="G199" s="1"/>
      <c r="H199" s="1"/>
      <c r="I199" s="1"/>
    </row>
    <row r="200" spans="1:9" ht="12.75">
      <c r="A200" t="s">
        <v>11</v>
      </c>
      <c r="B200" s="1"/>
      <c r="C200" s="1"/>
      <c r="D200" s="1"/>
      <c r="E200" s="1"/>
      <c r="F200" s="2">
        <v>-0.6</v>
      </c>
      <c r="G200" s="1">
        <f>E200*F200</f>
        <v>0</v>
      </c>
      <c r="H200" s="1">
        <f>B200-G200</f>
        <v>0</v>
      </c>
      <c r="I200" s="1"/>
    </row>
    <row r="201" spans="2:10" s="7" customFormat="1" ht="12.75">
      <c r="B201" s="8">
        <v>0</v>
      </c>
      <c r="C201" s="8"/>
      <c r="D201" s="8"/>
      <c r="E201" s="8"/>
      <c r="F201" s="9">
        <v>-0.6</v>
      </c>
      <c r="G201" s="8">
        <f>E201*F201</f>
        <v>0</v>
      </c>
      <c r="H201" s="8">
        <f>B201-G201</f>
        <v>0</v>
      </c>
      <c r="I201" s="8"/>
      <c r="J201" s="8"/>
    </row>
    <row r="202" spans="2:9" s="16" customFormat="1" ht="13.5" thickBot="1">
      <c r="B202" s="16">
        <f>SUM(B200:B201)</f>
        <v>0</v>
      </c>
      <c r="C202" s="16">
        <f>SUM(C200:C201)</f>
        <v>0</v>
      </c>
      <c r="D202" s="16">
        <f>SUM(D200:D201)</f>
        <v>0</v>
      </c>
      <c r="E202" s="16">
        <f>SUM(E200:E201)</f>
        <v>0</v>
      </c>
      <c r="G202" s="16">
        <f>SUM(G200:G201)</f>
        <v>0</v>
      </c>
      <c r="H202" s="16">
        <f>SUM(H200:H201)</f>
        <v>0</v>
      </c>
      <c r="I202" s="16">
        <f>I198+B202</f>
        <v>-134204.78</v>
      </c>
    </row>
    <row r="203" spans="2:9" ht="12.75">
      <c r="B203" s="1"/>
      <c r="C203" s="1"/>
      <c r="D203" s="1"/>
      <c r="E203" s="1"/>
      <c r="G203" s="1"/>
      <c r="H203" s="1"/>
      <c r="I203" s="1"/>
    </row>
    <row r="204" spans="1:9" ht="12.75">
      <c r="A204" t="s">
        <v>12</v>
      </c>
      <c r="B204" s="1"/>
      <c r="C204" s="1"/>
      <c r="D204" s="1"/>
      <c r="E204" s="1"/>
      <c r="F204" s="2">
        <v>-0.6</v>
      </c>
      <c r="G204" s="1">
        <f>E204*F204</f>
        <v>0</v>
      </c>
      <c r="H204" s="1">
        <f>B204-G204</f>
        <v>0</v>
      </c>
      <c r="I204" s="1"/>
    </row>
    <row r="205" spans="2:10" s="7" customFormat="1" ht="12.75">
      <c r="B205" s="8">
        <v>0</v>
      </c>
      <c r="C205" s="8"/>
      <c r="D205" s="8"/>
      <c r="E205" s="8"/>
      <c r="F205" s="9">
        <v>-0.6</v>
      </c>
      <c r="G205" s="8">
        <f>E205*F205</f>
        <v>0</v>
      </c>
      <c r="H205" s="8">
        <f>B205-G205</f>
        <v>0</v>
      </c>
      <c r="I205" s="8"/>
      <c r="J205" s="8"/>
    </row>
    <row r="206" spans="2:9" s="16" customFormat="1" ht="13.5" thickBot="1">
      <c r="B206" s="16">
        <f>SUM(B204:B205)</f>
        <v>0</v>
      </c>
      <c r="C206" s="16">
        <f>SUM(C204:C205)</f>
        <v>0</v>
      </c>
      <c r="D206" s="16">
        <f>SUM(D204:D205)</f>
        <v>0</v>
      </c>
      <c r="E206" s="16">
        <f>SUM(E204:E205)</f>
        <v>0</v>
      </c>
      <c r="G206" s="16">
        <f>SUM(G204:G205)</f>
        <v>0</v>
      </c>
      <c r="H206" s="16">
        <f>SUM(H204:H205)</f>
        <v>0</v>
      </c>
      <c r="I206" s="16">
        <f>I202+B206</f>
        <v>-134204.78</v>
      </c>
    </row>
    <row r="207" spans="2:9" ht="12.75">
      <c r="B207" s="1"/>
      <c r="C207" s="1"/>
      <c r="D207" s="1"/>
      <c r="E207" s="1"/>
      <c r="G207" s="1"/>
      <c r="H207" s="1"/>
      <c r="I207" s="1"/>
    </row>
    <row r="208" spans="1:9" ht="12.75">
      <c r="A208" t="s">
        <v>13</v>
      </c>
      <c r="B208" s="1"/>
      <c r="C208" s="1"/>
      <c r="D208" s="1"/>
      <c r="E208" s="1"/>
      <c r="F208" s="2">
        <v>-0.6</v>
      </c>
      <c r="G208" s="1">
        <f>E208*F208</f>
        <v>0</v>
      </c>
      <c r="H208" s="1">
        <f>B208-G208</f>
        <v>0</v>
      </c>
      <c r="I208" s="1"/>
    </row>
    <row r="209" spans="2:10" s="7" customFormat="1" ht="12.75">
      <c r="B209" s="8">
        <v>0</v>
      </c>
      <c r="C209" s="8"/>
      <c r="D209" s="8"/>
      <c r="E209" s="8"/>
      <c r="F209" s="9">
        <v>-0.6</v>
      </c>
      <c r="G209" s="8">
        <f>E209*F209</f>
        <v>0</v>
      </c>
      <c r="H209" s="8">
        <f>B209-G209</f>
        <v>0</v>
      </c>
      <c r="I209" s="8"/>
      <c r="J209" s="8"/>
    </row>
    <row r="210" spans="2:9" s="16" customFormat="1" ht="13.5" thickBot="1">
      <c r="B210" s="16">
        <f>SUM(B208:B209)</f>
        <v>0</v>
      </c>
      <c r="C210" s="16">
        <f>SUM(C208:C209)</f>
        <v>0</v>
      </c>
      <c r="D210" s="16">
        <f>SUM(D208:D209)</f>
        <v>0</v>
      </c>
      <c r="E210" s="16">
        <f>SUM(E208:E209)</f>
        <v>0</v>
      </c>
      <c r="G210" s="16">
        <f>SUM(G208:G209)</f>
        <v>0</v>
      </c>
      <c r="H210" s="16">
        <f>SUM(H208:H209)</f>
        <v>0</v>
      </c>
      <c r="I210" s="16">
        <f>I206+B210</f>
        <v>-134204.78</v>
      </c>
    </row>
    <row r="211" spans="2:9" ht="12.75">
      <c r="B211" s="1"/>
      <c r="C211" s="1"/>
      <c r="D211" s="1"/>
      <c r="E211" s="1"/>
      <c r="G211" s="1"/>
      <c r="H211" s="1"/>
      <c r="I211" s="1"/>
    </row>
    <row r="212" spans="1:9" ht="12.75">
      <c r="A212" t="s">
        <v>14</v>
      </c>
      <c r="B212" s="1"/>
      <c r="C212" s="1"/>
      <c r="D212" s="1"/>
      <c r="E212" s="1"/>
      <c r="F212" s="2">
        <v>-0.6</v>
      </c>
      <c r="G212" s="1">
        <f>E212*F212</f>
        <v>0</v>
      </c>
      <c r="H212" s="1">
        <f>B212-G212</f>
        <v>0</v>
      </c>
      <c r="I212" s="1"/>
    </row>
    <row r="213" spans="2:10" s="7" customFormat="1" ht="12.75">
      <c r="B213" s="8">
        <v>0</v>
      </c>
      <c r="C213" s="8"/>
      <c r="D213" s="8"/>
      <c r="E213" s="8"/>
      <c r="F213" s="9">
        <v>-0.6</v>
      </c>
      <c r="G213" s="8">
        <f>E213*F213</f>
        <v>0</v>
      </c>
      <c r="H213" s="8">
        <f>B213-G213</f>
        <v>0</v>
      </c>
      <c r="I213" s="8"/>
      <c r="J213" s="8"/>
    </row>
    <row r="214" spans="2:9" s="16" customFormat="1" ht="13.5" thickBot="1">
      <c r="B214" s="16">
        <f>SUM(B212:B213)</f>
        <v>0</v>
      </c>
      <c r="C214" s="16">
        <f>SUM(C212:C213)</f>
        <v>0</v>
      </c>
      <c r="D214" s="16">
        <f>SUM(D212:D213)</f>
        <v>0</v>
      </c>
      <c r="E214" s="16">
        <f>SUM(E212:E213)</f>
        <v>0</v>
      </c>
      <c r="G214" s="16">
        <f>SUM(G212:G213)</f>
        <v>0</v>
      </c>
      <c r="H214" s="16">
        <f>SUM(H212:H213)</f>
        <v>0</v>
      </c>
      <c r="I214" s="16">
        <f>I210+B214</f>
        <v>-134204.78</v>
      </c>
    </row>
    <row r="215" spans="2:9" ht="12.75">
      <c r="B215" s="1"/>
      <c r="C215" s="1"/>
      <c r="D215" s="1"/>
      <c r="E215" s="1"/>
      <c r="G215" s="1"/>
      <c r="H215" s="1"/>
      <c r="I215" s="1"/>
    </row>
    <row r="216" spans="2:9" ht="12.75">
      <c r="B216" s="1">
        <f>B167+B172+B177+B181+B186+B190+B194+B198+B202+B206+B210+B214</f>
        <v>-134204.78</v>
      </c>
      <c r="C216" s="1">
        <f>-B216/0.6</f>
        <v>223674.63333333333</v>
      </c>
      <c r="D216" s="1">
        <f>C216/7</f>
        <v>31953.519047619047</v>
      </c>
      <c r="E216" s="1"/>
      <c r="G216" s="1"/>
      <c r="H216" s="1"/>
      <c r="I216" s="1">
        <v>-229268.99</v>
      </c>
    </row>
    <row r="217" spans="2:9" ht="12.75">
      <c r="B217" s="1">
        <f>-D217*0.6</f>
        <v>-19200</v>
      </c>
      <c r="C217" s="1"/>
      <c r="D217" s="1">
        <v>32000</v>
      </c>
      <c r="E217" s="1"/>
      <c r="G217" s="1"/>
      <c r="H217" s="1"/>
      <c r="I217" s="1">
        <f>I214-I216</f>
        <v>95064.20999999999</v>
      </c>
    </row>
    <row r="218" spans="2:4" ht="12.75">
      <c r="B218" s="1">
        <f>-D218*0.6</f>
        <v>-19200</v>
      </c>
      <c r="D218" s="1">
        <v>32000</v>
      </c>
    </row>
    <row r="219" spans="2:4" ht="12.75">
      <c r="B219" s="1">
        <f>-D219*0.6</f>
        <v>-19200</v>
      </c>
      <c r="D219" s="1">
        <v>32000</v>
      </c>
    </row>
    <row r="220" spans="2:4" ht="12.75">
      <c r="B220" s="1">
        <f>-D220*0.6</f>
        <v>-19200</v>
      </c>
      <c r="D220" s="1">
        <v>32000</v>
      </c>
    </row>
    <row r="221" spans="2:4" ht="12.75">
      <c r="B221" s="1">
        <f>-D221*0.6</f>
        <v>-19200</v>
      </c>
      <c r="D221" s="1">
        <v>32000</v>
      </c>
    </row>
    <row r="223" ht="12.75">
      <c r="B223" s="3">
        <f>ROUND(SUM(B216:B222),-3)</f>
        <v>-230000</v>
      </c>
    </row>
    <row r="225" ht="12.75">
      <c r="B225" s="3">
        <f>B223/0.6</f>
        <v>-383333.3333333334</v>
      </c>
    </row>
    <row r="226" ht="12.75">
      <c r="B226" s="3">
        <f>B225*1.02</f>
        <v>-391000.00000000006</v>
      </c>
    </row>
  </sheetData>
  <sheetProtection/>
  <printOptions/>
  <pageMargins left="0.75" right="0.75" top="1" bottom="1" header="0.5" footer="0.5"/>
  <pageSetup fitToHeight="0" fitToWidth="1" horizontalDpi="300" verticalDpi="300" orientation="portrait" scale="65" r:id="rId4"/>
  <headerFooter alignWithMargins="0">
    <oddHeader>&amp;RDRAFT</oddHeader>
    <oddFooter>&amp;LI:\JD\YE Dec 31 03\GHESI\Stats\&amp;F&amp;A&amp;D&amp;T</oddFooter>
  </headerFooter>
  <rowBreaks count="1" manualBreakCount="1">
    <brk id="74" max="255" man="1"/>
  </rowBreaks>
  <colBreaks count="1" manualBreakCount="1">
    <brk id="9" max="65535" man="1"/>
  </colBreaks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J48"/>
  <sheetViews>
    <sheetView zoomScalePageLayoutView="0" workbookViewId="0" topLeftCell="A34">
      <selection activeCell="C22" sqref="C22:D27"/>
    </sheetView>
  </sheetViews>
  <sheetFormatPr defaultColWidth="9.140625" defaultRowHeight="12.75"/>
  <cols>
    <col min="1" max="1" width="14.140625" style="0" bestFit="1" customWidth="1"/>
    <col min="2" max="2" width="12.421875" style="27" bestFit="1" customWidth="1"/>
    <col min="3" max="3" width="12.00390625" style="1" bestFit="1" customWidth="1"/>
    <col min="4" max="4" width="14.8515625" style="1" bestFit="1" customWidth="1"/>
    <col min="5" max="5" width="14.8515625" style="1" customWidth="1"/>
    <col min="6" max="6" width="11.57421875" style="0" bestFit="1" customWidth="1"/>
    <col min="7" max="8" width="11.28125" style="0" customWidth="1"/>
    <col min="9" max="9" width="11.28125" style="1" bestFit="1" customWidth="1"/>
    <col min="10" max="10" width="11.8515625" style="1" customWidth="1"/>
  </cols>
  <sheetData>
    <row r="1" spans="1:3" ht="12.75">
      <c r="A1" s="33" t="s">
        <v>164</v>
      </c>
      <c r="C1" s="193" t="s">
        <v>205</v>
      </c>
    </row>
    <row r="3" ht="12.75">
      <c r="J3" s="80" t="s">
        <v>222</v>
      </c>
    </row>
    <row r="4" spans="1:10" s="4" customFormat="1" ht="38.25">
      <c r="A4" s="32" t="s">
        <v>59</v>
      </c>
      <c r="B4" s="26" t="s">
        <v>58</v>
      </c>
      <c r="C4" s="5" t="s">
        <v>180</v>
      </c>
      <c r="D4" s="5" t="s">
        <v>176</v>
      </c>
      <c r="E4" s="5" t="s">
        <v>179</v>
      </c>
      <c r="F4" s="4" t="s">
        <v>60</v>
      </c>
      <c r="G4" s="4" t="s">
        <v>61</v>
      </c>
      <c r="I4" s="5" t="s">
        <v>62</v>
      </c>
      <c r="J4" s="5" t="s">
        <v>183</v>
      </c>
    </row>
    <row r="6" spans="1:10" ht="12.75">
      <c r="A6" s="34" t="s">
        <v>64</v>
      </c>
      <c r="F6">
        <v>0.16</v>
      </c>
      <c r="G6">
        <v>1.0137</v>
      </c>
      <c r="I6" s="1">
        <f>ROUND(B6*F6,2)</f>
        <v>0</v>
      </c>
      <c r="J6" s="1">
        <f>ROUND(C7*G6,2)</f>
        <v>0</v>
      </c>
    </row>
    <row r="7" spans="9:10" ht="12.75">
      <c r="I7" s="1">
        <f>ROUND(B7*F7,2)</f>
        <v>0</v>
      </c>
      <c r="J7" s="1">
        <f>ROUND(C8*G7,2)</f>
        <v>0</v>
      </c>
    </row>
    <row r="8" spans="1:10" ht="12.75">
      <c r="A8" t="s">
        <v>3</v>
      </c>
      <c r="B8" s="27">
        <f>'[6]St Lgt'!$K$2</f>
        <v>10737</v>
      </c>
      <c r="C8" s="1">
        <f>'[6]St Lgt'!$AH$4</f>
        <v>1846.59</v>
      </c>
      <c r="D8" s="1">
        <f>'[6]St Lgt'!$AE$6</f>
        <v>701243.79</v>
      </c>
      <c r="F8">
        <v>0.16</v>
      </c>
      <c r="G8">
        <v>1.0137</v>
      </c>
      <c r="I8" s="1">
        <f>ROUND(B8*F8,2)</f>
        <v>1717.92</v>
      </c>
      <c r="J8" s="1">
        <f>ROUND(C8*G8,2)</f>
        <v>1871.89</v>
      </c>
    </row>
    <row r="9" spans="1:10" ht="12.75">
      <c r="A9" t="s">
        <v>4</v>
      </c>
      <c r="B9" s="27">
        <v>10755</v>
      </c>
      <c r="C9" s="1">
        <f>'[3]ST LGT'!$AH$3</f>
        <v>1849.05</v>
      </c>
      <c r="D9" s="1">
        <f>'[3]ST LGT'!$AE$5</f>
        <v>859810.34</v>
      </c>
      <c r="F9">
        <v>0.16</v>
      </c>
      <c r="G9">
        <v>1.0137</v>
      </c>
      <c r="I9" s="1">
        <f>ROUND(B9*F9,2)</f>
        <v>1720.8</v>
      </c>
      <c r="J9" s="1">
        <f aca="true" t="shared" si="0" ref="J9:J14">ROUND(C9*G9,2)</f>
        <v>1874.38</v>
      </c>
    </row>
    <row r="10" spans="1:10" ht="12.75">
      <c r="A10" t="s">
        <v>5</v>
      </c>
      <c r="B10" s="27">
        <f aca="true" t="shared" si="1" ref="B10:B19">+I10/F10</f>
        <v>10792</v>
      </c>
      <c r="C10" s="1">
        <f>'[7]jfg0303'!$AH$1</f>
        <v>1854.82</v>
      </c>
      <c r="D10" s="1">
        <f>'[7]jfg0303'!$AE$4058</f>
        <v>779024.63</v>
      </c>
      <c r="F10">
        <v>0.16</v>
      </c>
      <c r="G10">
        <v>1.0137</v>
      </c>
      <c r="I10" s="1">
        <v>1726.72</v>
      </c>
      <c r="J10" s="1">
        <f t="shared" si="0"/>
        <v>1880.23</v>
      </c>
    </row>
    <row r="11" spans="1:10" ht="12.75">
      <c r="A11" t="s">
        <v>6</v>
      </c>
      <c r="B11" s="27">
        <f t="shared" si="1"/>
        <v>10794</v>
      </c>
      <c r="C11" s="1">
        <f>'[10]St Lght'!$AH$3</f>
        <v>1855.08</v>
      </c>
      <c r="D11" s="1">
        <f>'[10]St Lght'!$AE$5</f>
        <v>862613.22</v>
      </c>
      <c r="F11">
        <v>0.16</v>
      </c>
      <c r="G11">
        <v>1.0137</v>
      </c>
      <c r="I11" s="1">
        <v>1727.04</v>
      </c>
      <c r="J11" s="1">
        <f t="shared" si="0"/>
        <v>1880.49</v>
      </c>
    </row>
    <row r="12" spans="1:10" s="37" customFormat="1" ht="12.75">
      <c r="A12" s="37" t="s">
        <v>7</v>
      </c>
      <c r="B12" s="27">
        <f t="shared" si="1"/>
        <v>10794</v>
      </c>
      <c r="C12" s="38">
        <f>'[13]ST'!$AH$3</f>
        <v>1855.08</v>
      </c>
      <c r="D12" s="38">
        <f>'[13]ST'!$AE$5</f>
        <v>626090.31</v>
      </c>
      <c r="E12" s="38"/>
      <c r="F12">
        <v>0.16</v>
      </c>
      <c r="G12">
        <v>1.0137</v>
      </c>
      <c r="H12" s="39"/>
      <c r="I12" s="1">
        <v>1727.04</v>
      </c>
      <c r="J12" s="1">
        <f t="shared" si="0"/>
        <v>1880.49</v>
      </c>
    </row>
    <row r="13" spans="1:10" ht="12.75">
      <c r="A13" t="s">
        <v>8</v>
      </c>
      <c r="B13" s="27">
        <f t="shared" si="1"/>
        <v>10794</v>
      </c>
      <c r="C13" s="1">
        <f>'[15]St Lgt'!$AH$3</f>
        <v>1855.08</v>
      </c>
      <c r="D13" s="1">
        <f>'[15]St Lgt'!$AE$5</f>
        <v>646959.99</v>
      </c>
      <c r="F13">
        <v>0.16</v>
      </c>
      <c r="G13">
        <v>1.0137</v>
      </c>
      <c r="I13" s="1">
        <v>1727.04</v>
      </c>
      <c r="J13" s="1">
        <f t="shared" si="0"/>
        <v>1880.49</v>
      </c>
    </row>
    <row r="14" spans="1:10" ht="12.75">
      <c r="A14" t="s">
        <v>9</v>
      </c>
      <c r="B14" s="27">
        <f t="shared" si="1"/>
        <v>10794</v>
      </c>
      <c r="C14" s="35">
        <v>1855.08</v>
      </c>
      <c r="D14" s="35">
        <v>626090.31</v>
      </c>
      <c r="E14" s="35">
        <v>19972.28</v>
      </c>
      <c r="F14" s="36">
        <v>0.16</v>
      </c>
      <c r="G14" s="36">
        <v>1.0137</v>
      </c>
      <c r="H14" s="36"/>
      <c r="I14" s="52">
        <v>1727.04</v>
      </c>
      <c r="J14" s="35">
        <f t="shared" si="0"/>
        <v>1880.49</v>
      </c>
    </row>
    <row r="15" spans="1:10" ht="12.75">
      <c r="A15" t="s">
        <v>10</v>
      </c>
      <c r="B15" s="27">
        <f t="shared" si="1"/>
        <v>10794</v>
      </c>
      <c r="C15" s="1">
        <f>+J15/G15</f>
        <v>1855.0754661142348</v>
      </c>
      <c r="F15">
        <v>0.16</v>
      </c>
      <c r="G15">
        <v>1.0137</v>
      </c>
      <c r="I15" s="52">
        <v>1727.04</v>
      </c>
      <c r="J15" s="1">
        <v>1880.49</v>
      </c>
    </row>
    <row r="16" spans="1:10" ht="12.75">
      <c r="A16" t="s">
        <v>11</v>
      </c>
      <c r="B16" s="27">
        <f t="shared" si="1"/>
        <v>10794</v>
      </c>
      <c r="C16" s="1">
        <f>+J16/G16</f>
        <v>1855.0754661142348</v>
      </c>
      <c r="F16">
        <v>0.16</v>
      </c>
      <c r="G16">
        <v>1.0137</v>
      </c>
      <c r="I16" s="52">
        <v>1727.04</v>
      </c>
      <c r="J16" s="35">
        <v>1880.49</v>
      </c>
    </row>
    <row r="17" spans="1:10" ht="12.75">
      <c r="A17" t="s">
        <v>12</v>
      </c>
      <c r="B17" s="27">
        <f t="shared" si="1"/>
        <v>10824</v>
      </c>
      <c r="C17" s="1">
        <f>+J17/G17</f>
        <v>1858.9819473216928</v>
      </c>
      <c r="F17">
        <v>0.16</v>
      </c>
      <c r="G17">
        <v>1.0137</v>
      </c>
      <c r="I17" s="52">
        <v>1731.84</v>
      </c>
      <c r="J17" s="1">
        <v>1884.45</v>
      </c>
    </row>
    <row r="18" spans="1:10" ht="12.75">
      <c r="A18" t="s">
        <v>13</v>
      </c>
      <c r="B18" s="27">
        <f t="shared" si="1"/>
        <v>10824</v>
      </c>
      <c r="C18" s="1">
        <f>+J18/G18</f>
        <v>1858.9819473216928</v>
      </c>
      <c r="F18">
        <v>0.16</v>
      </c>
      <c r="G18">
        <v>1.0137</v>
      </c>
      <c r="I18" s="52">
        <v>1731.84</v>
      </c>
      <c r="J18" s="1">
        <v>1884.45</v>
      </c>
    </row>
    <row r="19" spans="1:10" ht="12.75">
      <c r="A19" t="s">
        <v>14</v>
      </c>
      <c r="B19" s="27">
        <f t="shared" si="1"/>
        <v>10876</v>
      </c>
      <c r="C19" s="1">
        <f>+J19/G19</f>
        <v>1867.2388280556377</v>
      </c>
      <c r="F19">
        <v>0.16</v>
      </c>
      <c r="G19">
        <v>1.0137</v>
      </c>
      <c r="I19" s="52">
        <v>1740.16</v>
      </c>
      <c r="J19" s="1">
        <v>1892.82</v>
      </c>
    </row>
    <row r="21" spans="2:10" ht="12.75">
      <c r="B21" s="27">
        <f>SUM(B8:B19)</f>
        <v>129572</v>
      </c>
      <c r="C21" s="1">
        <f>SUM(C8:C19)</f>
        <v>22266.13365492749</v>
      </c>
      <c r="D21" s="1">
        <f>SUM(D8:D19)</f>
        <v>5101832.59</v>
      </c>
      <c r="F21" s="1"/>
      <c r="G21" s="1"/>
      <c r="H21" s="1"/>
      <c r="I21" s="1">
        <f>SUM(I8:I19)</f>
        <v>20731.520000000004</v>
      </c>
      <c r="J21" s="1">
        <f>SUM(J8:J19)</f>
        <v>22571.16</v>
      </c>
    </row>
    <row r="22" spans="3:10" ht="12.75">
      <c r="C22" s="78"/>
      <c r="J22" s="232" t="s">
        <v>221</v>
      </c>
    </row>
    <row r="23" spans="3:8" ht="12.75">
      <c r="C23" s="78"/>
      <c r="F23" s="1"/>
      <c r="G23" s="1"/>
      <c r="H23" s="1"/>
    </row>
    <row r="24" ht="12.75">
      <c r="C24" s="78"/>
    </row>
    <row r="25" spans="3:10" ht="12.75">
      <c r="C25" s="78"/>
      <c r="I25" s="1">
        <v>18591.953</v>
      </c>
      <c r="J25" s="1">
        <v>18847.58</v>
      </c>
    </row>
    <row r="26" spans="3:10" ht="12.75">
      <c r="C26" s="78"/>
      <c r="I26" s="1">
        <f>I21-I25</f>
        <v>2139.5670000000027</v>
      </c>
      <c r="J26" s="1">
        <f>J21-J25</f>
        <v>3723.579999999998</v>
      </c>
    </row>
    <row r="27" ht="12.75">
      <c r="C27" s="78"/>
    </row>
    <row r="28" spans="3:10" ht="12.75">
      <c r="C28" s="78"/>
      <c r="D28" s="1">
        <f>SUM(D7:D18)</f>
        <v>5101832.59</v>
      </c>
      <c r="I28" s="1">
        <f>SUM(I6:I18)</f>
        <v>18991.360000000004</v>
      </c>
      <c r="J28" s="1">
        <f>SUM(J6:J18)</f>
        <v>20678.34</v>
      </c>
    </row>
    <row r="29" ht="12.75">
      <c r="J29" s="90"/>
    </row>
    <row r="30" ht="12.75">
      <c r="J30" s="90"/>
    </row>
    <row r="32" ht="12.75">
      <c r="A32" s="33" t="s">
        <v>63</v>
      </c>
    </row>
    <row r="35" spans="1:10" s="4" customFormat="1" ht="38.25">
      <c r="A35" s="32" t="s">
        <v>59</v>
      </c>
      <c r="B35" s="26" t="s">
        <v>58</v>
      </c>
      <c r="C35" s="5" t="s">
        <v>24</v>
      </c>
      <c r="D35" s="5" t="s">
        <v>16</v>
      </c>
      <c r="E35" s="5"/>
      <c r="F35" s="4" t="s">
        <v>60</v>
      </c>
      <c r="G35" s="4" t="s">
        <v>61</v>
      </c>
      <c r="I35" s="5" t="s">
        <v>62</v>
      </c>
      <c r="J35" s="5" t="s">
        <v>49</v>
      </c>
    </row>
    <row r="37" spans="1:10" ht="12.75">
      <c r="A37" t="s">
        <v>3</v>
      </c>
      <c r="B37" s="27">
        <v>10698</v>
      </c>
      <c r="C37" s="1">
        <v>1862.42</v>
      </c>
      <c r="F37">
        <v>0.15</v>
      </c>
      <c r="G37">
        <v>0.5501</v>
      </c>
      <c r="I37" s="1">
        <f>ROUND(B37*F37,2)</f>
        <v>1604.7</v>
      </c>
      <c r="J37" s="1">
        <f>ROUND(C37*G37,2)</f>
        <v>1024.52</v>
      </c>
    </row>
    <row r="38" spans="1:10" ht="12.75">
      <c r="A38" t="s">
        <v>4</v>
      </c>
      <c r="B38" s="27">
        <v>10698</v>
      </c>
      <c r="C38" s="1">
        <v>1862.3</v>
      </c>
      <c r="F38">
        <v>0.15</v>
      </c>
      <c r="G38">
        <v>0.5501</v>
      </c>
      <c r="I38" s="1">
        <f aca="true" t="shared" si="2" ref="I38:I48">ROUND(B38*F38,2)</f>
        <v>1604.7</v>
      </c>
      <c r="J38" s="1">
        <f aca="true" t="shared" si="3" ref="J38:J48">ROUND(C38*G38,2)</f>
        <v>1024.45</v>
      </c>
    </row>
    <row r="39" spans="1:10" ht="12.75">
      <c r="A39" t="s">
        <v>5</v>
      </c>
      <c r="B39" s="27">
        <v>10698</v>
      </c>
      <c r="C39" s="1">
        <v>1862.3</v>
      </c>
      <c r="F39">
        <v>0.15</v>
      </c>
      <c r="G39">
        <v>0.5501</v>
      </c>
      <c r="I39" s="1">
        <f t="shared" si="2"/>
        <v>1604.7</v>
      </c>
      <c r="J39" s="1">
        <f t="shared" si="3"/>
        <v>1024.45</v>
      </c>
    </row>
    <row r="40" spans="1:10" ht="12.75">
      <c r="A40" t="s">
        <v>6</v>
      </c>
      <c r="B40" s="27">
        <v>10726</v>
      </c>
      <c r="C40" s="1">
        <v>1865.94</v>
      </c>
      <c r="F40">
        <v>0.15</v>
      </c>
      <c r="G40">
        <v>0.5501</v>
      </c>
      <c r="I40" s="1">
        <f t="shared" si="2"/>
        <v>1608.9</v>
      </c>
      <c r="J40" s="1">
        <f t="shared" si="3"/>
        <v>1026.45</v>
      </c>
    </row>
    <row r="41" spans="1:10" ht="12.75">
      <c r="A41" t="s">
        <v>7</v>
      </c>
      <c r="B41" s="27">
        <v>10726</v>
      </c>
      <c r="C41" s="1">
        <v>1865.94</v>
      </c>
      <c r="F41">
        <v>0.15</v>
      </c>
      <c r="G41">
        <v>0.5501</v>
      </c>
      <c r="I41" s="1">
        <f t="shared" si="2"/>
        <v>1608.9</v>
      </c>
      <c r="J41" s="1">
        <f t="shared" si="3"/>
        <v>1026.45</v>
      </c>
    </row>
    <row r="42" spans="1:10" ht="12.75">
      <c r="A42" t="s">
        <v>8</v>
      </c>
      <c r="B42" s="27">
        <f>1699.52/0.16</f>
        <v>10622</v>
      </c>
      <c r="C42" s="1">
        <v>1885.35</v>
      </c>
      <c r="F42">
        <v>0.15</v>
      </c>
      <c r="G42">
        <v>0.5501</v>
      </c>
      <c r="I42" s="1">
        <f t="shared" si="2"/>
        <v>1593.3</v>
      </c>
      <c r="J42" s="1">
        <f t="shared" si="3"/>
        <v>1037.13</v>
      </c>
    </row>
    <row r="43" spans="1:10" ht="12.75">
      <c r="A43" t="s">
        <v>9</v>
      </c>
      <c r="F43">
        <v>0.15</v>
      </c>
      <c r="G43">
        <v>0.5501</v>
      </c>
      <c r="I43" s="1">
        <f t="shared" si="2"/>
        <v>0</v>
      </c>
      <c r="J43" s="1">
        <f t="shared" si="3"/>
        <v>0</v>
      </c>
    </row>
    <row r="44" spans="1:10" ht="12.75">
      <c r="A44" t="s">
        <v>10</v>
      </c>
      <c r="C44" s="1">
        <v>1884.07</v>
      </c>
      <c r="F44">
        <v>0.15</v>
      </c>
      <c r="G44">
        <v>0.5501</v>
      </c>
      <c r="I44" s="1">
        <f t="shared" si="2"/>
        <v>0</v>
      </c>
      <c r="J44" s="1">
        <f t="shared" si="3"/>
        <v>1036.43</v>
      </c>
    </row>
    <row r="45" spans="1:10" ht="12.75">
      <c r="A45" t="s">
        <v>11</v>
      </c>
      <c r="C45" s="1">
        <v>1884.07</v>
      </c>
      <c r="F45">
        <v>0.15</v>
      </c>
      <c r="G45">
        <v>0.5501</v>
      </c>
      <c r="I45" s="1">
        <f t="shared" si="2"/>
        <v>0</v>
      </c>
      <c r="J45" s="1">
        <f t="shared" si="3"/>
        <v>1036.43</v>
      </c>
    </row>
    <row r="46" spans="1:10" ht="12.75">
      <c r="A46" t="s">
        <v>12</v>
      </c>
      <c r="F46">
        <v>0.15</v>
      </c>
      <c r="G46">
        <v>0.5501</v>
      </c>
      <c r="I46" s="1">
        <f t="shared" si="2"/>
        <v>0</v>
      </c>
      <c r="J46" s="1">
        <f t="shared" si="3"/>
        <v>0</v>
      </c>
    </row>
    <row r="47" spans="1:10" ht="12.75">
      <c r="A47" t="s">
        <v>13</v>
      </c>
      <c r="F47">
        <v>0.15</v>
      </c>
      <c r="G47">
        <v>0.5501</v>
      </c>
      <c r="I47" s="1">
        <f t="shared" si="2"/>
        <v>0</v>
      </c>
      <c r="J47" s="1">
        <f t="shared" si="3"/>
        <v>0</v>
      </c>
    </row>
    <row r="48" spans="1:10" ht="12.75">
      <c r="A48" t="s">
        <v>14</v>
      </c>
      <c r="F48">
        <v>0.15</v>
      </c>
      <c r="G48">
        <v>0.5501</v>
      </c>
      <c r="I48" s="1">
        <f t="shared" si="2"/>
        <v>0</v>
      </c>
      <c r="J48" s="1">
        <f t="shared" si="3"/>
        <v>0</v>
      </c>
    </row>
  </sheetData>
  <sheetProtection/>
  <printOptions/>
  <pageMargins left="0.24" right="0.22" top="1" bottom="1" header="0.5" footer="0.5"/>
  <pageSetup horizontalDpi="300" verticalDpi="300" orientation="landscape" scale="79" r:id="rId1"/>
  <headerFooter alignWithMargins="0">
    <oddHeader>&amp;RDRAFT</oddHeader>
    <oddFooter>&amp;LI:\JD\YE Dec 31 03\GHESI\Stats\&amp;F&amp;A&amp;D&amp;T</oddFooter>
  </headerFooter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Guelph Hydro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 Fallis</dc:creator>
  <cp:keywords/>
  <dc:description/>
  <cp:lastModifiedBy>Cristina</cp:lastModifiedBy>
  <cp:lastPrinted>2004-05-20T16:29:24Z</cp:lastPrinted>
  <dcterms:created xsi:type="dcterms:W3CDTF">2002-09-30T17:11:44Z</dcterms:created>
  <dcterms:modified xsi:type="dcterms:W3CDTF">2011-10-11T15:47:25Z</dcterms:modified>
  <cp:category/>
  <cp:version/>
  <cp:contentType/>
  <cp:contentStatus/>
</cp:coreProperties>
</file>