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10" yWindow="1155" windowWidth="7185" windowHeight="5370" tabRatio="938" firstSheet="6" activeTab="13"/>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'!$A$1:$H$49</definedName>
    <definedName name="_xlnm.Print_Area" localSheetId="12">'12. Current Rates'!$A$1:$D$94</definedName>
    <definedName name="_xlnm.Print_Area" localSheetId="13">'13. Bill Impact'!$A$1:$N$414</definedName>
    <definedName name="_xlnm.Print_Area" localSheetId="2">'2. Adding Final 3rd MARR'!$A$1:$G$231</definedName>
    <definedName name="_xlnm.Print_Area" localSheetId="3">'3. 2005 Base Rate Schedule'!$A$1:$D$90</definedName>
    <definedName name="_xlnm.Print_Area" localSheetId="5">'5. 2005 Rate Sch. with PILs'!$A$1:$D$95</definedName>
    <definedName name="_xlnm.Print_Area" localSheetId="6">'6. Dec. 31, 2003 Reg. Assets'!$A$1:$G$95</definedName>
    <definedName name="_xlnm.Print_Area" localSheetId="7">'7. 2003 Data &amp; add RSVA'!$A$1:$G$189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'!$A$1:$H$49</definedName>
    <definedName name="Z_477CBB84_252C_49CD_9E74_12C31D6E2152_.wvu.PrintArea" localSheetId="12" hidden="1">'12. Current Rates'!$A$1:$D$94</definedName>
    <definedName name="Z_477CBB84_252C_49CD_9E74_12C31D6E2152_.wvu.PrintArea" localSheetId="13" hidden="1">'13. Bill Impact'!$A$1:$N$414</definedName>
    <definedName name="Z_477CBB84_252C_49CD_9E74_12C31D6E2152_.wvu.PrintArea" localSheetId="2" hidden="1">'2. Adding Final 3rd MARR'!$A$1:$G$231</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Assets'!$A$1:$D$90</definedName>
    <definedName name="Z_477CBB84_252C_49CD_9E74_12C31D6E2152_.wvu.PrintArea" localSheetId="7" hidden="1">'7. 2003 Data &amp; add RSVA'!$A$1:$G$189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comments7.xml><?xml version="1.0" encoding="utf-8"?>
<comments xmlns="http://schemas.openxmlformats.org/spreadsheetml/2006/main">
  <authors>
    <author>Your User Name</author>
  </authors>
  <commentList>
    <comment ref="G19" authorId="0">
      <text>
        <r>
          <rPr>
            <b/>
            <sz val="8"/>
            <rFont val="Tahoma"/>
            <family val="0"/>
          </rPr>
          <t>Your User Name:</t>
        </r>
        <r>
          <rPr>
            <sz val="8"/>
            <rFont val="Tahoma"/>
            <family val="0"/>
          </rPr>
          <t xml:space="preserve">
Includes HON LV related amounts (1508, 1525) plus HON 1586 as per Dec 9 decision section 9.0.8  Page 85
</t>
        </r>
      </text>
    </comment>
  </commentList>
</comments>
</file>

<file path=xl/sharedStrings.xml><?xml version="1.0" encoding="utf-8"?>
<sst xmlns="http://schemas.openxmlformats.org/spreadsheetml/2006/main" count="1569" uniqueCount="242">
  <si>
    <t>LARGE USE</t>
  </si>
  <si>
    <t>DISTRIBUTION KWH RATE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</si>
  <si>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</si>
  <si>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</si>
  <si>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</si>
  <si>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</si>
  <si>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</si>
  <si>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</si>
  <si>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</si>
  <si>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</si>
  <si>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</si>
  <si>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</si>
  <si>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</si>
  <si>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</si>
  <si>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</si>
  <si>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</si>
  <si>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</si>
  <si>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</si>
  <si>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</si>
  <si>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</si>
  <si>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</si>
  <si>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</si>
  <si>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</si>
  <si>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</si>
  <si>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</si>
  <si>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</si>
  <si>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</si>
  <si>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GENERAL SERVICE &gt; 50 KW (Non Time of Use)</t>
  </si>
  <si>
    <t>(per kW)</t>
  </si>
  <si>
    <t>SENTINEL LIGHTS (Non Time of Use)</t>
  </si>
  <si>
    <t>STREET LIGHTING (Non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</si>
  <si>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</si>
  <si>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</si>
  <si>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</si>
  <si>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</si>
  <si>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</si>
  <si>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</si>
  <si>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</si>
  <si>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</si>
  <si>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</si>
  <si>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</si>
  <si>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</si>
  <si>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</si>
  <si>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</si>
  <si>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</si>
  <si>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</si>
  <si>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</si>
  <si>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</si>
  <si>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</si>
  <si>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</si>
  <si>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</si>
  <si>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</si>
  <si>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</si>
  <si>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</si>
  <si>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</si>
  <si>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</si>
  <si>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</si>
  <si>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</si>
  <si>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</si>
  <si>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</si>
  <si>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</si>
  <si>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</si>
  <si>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</si>
  <si>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</si>
  <si>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</si>
  <si>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</si>
  <si>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</si>
  <si>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</si>
  <si>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</si>
  <si>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</si>
  <si>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</si>
  <si>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</si>
  <si>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</si>
  <si>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</si>
  <si>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</si>
  <si>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</si>
  <si>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</si>
  <si>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</si>
  <si>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</si>
  <si>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</si>
  <si>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</si>
  <si>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</si>
  <si>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</si>
  <si>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</si>
  <si>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</si>
  <si>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</si>
  <si>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</si>
  <si>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</si>
  <si>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</si>
  <si>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</si>
  <si>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</si>
  <si>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</si>
  <si>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</si>
  <si>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</si>
  <si>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</si>
  <si>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</si>
  <si>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</si>
  <si>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</si>
  <si>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</si>
  <si>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</si>
  <si>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</si>
  <si>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</si>
  <si>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</si>
  <si>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</si>
  <si>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</si>
  <si>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</si>
  <si>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</si>
  <si>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</si>
  <si>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</si>
  <si>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</si>
  <si>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</si>
  <si>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</si>
  <si>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</si>
  <si>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</si>
  <si>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</si>
  <si>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</si>
  <si>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</si>
  <si>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</si>
  <si>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</si>
  <si>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</si>
  <si>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</si>
  <si>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</si>
  <si>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</si>
  <si>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</si>
  <si>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</si>
  <si>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</si>
  <si>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</si>
  <si>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</si>
  <si>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</si>
  <si>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</si>
  <si>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</si>
  <si>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</si>
  <si>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</si>
  <si>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</si>
  <si>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</si>
  <si>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</si>
  <si>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</si>
  <si>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</si>
  <si>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</si>
  <si>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</si>
  <si>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</si>
  <si>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</si>
  <si>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</si>
  <si>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</si>
  <si>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</si>
  <si>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</si>
  <si>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</si>
  <si>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</si>
  <si>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</si>
  <si>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</si>
  <si>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</si>
  <si>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</si>
  <si>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</si>
  <si>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</si>
  <si>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</si>
  <si>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</si>
  <si>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</si>
  <si>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</si>
  <si>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</si>
  <si>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</si>
  <si>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</si>
  <si>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</si>
  <si>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</si>
  <si>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</si>
  <si>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</si>
  <si>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</si>
  <si>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</si>
  <si>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</si>
  <si>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</si>
  <si>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</si>
  <si>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</si>
  <si>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</si>
  <si>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</si>
  <si>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</si>
  <si>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</si>
  <si>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</si>
  <si>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</si>
  <si>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</si>
  <si>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</si>
  <si>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</si>
  <si>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</si>
  <si>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</si>
  <si>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</si>
  <si>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</si>
  <si>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</si>
  <si>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</si>
  <si>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</si>
  <si>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</si>
  <si>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</si>
  <si>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</si>
  <si>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</si>
  <si>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</si>
  <si>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</si>
  <si>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</si>
  <si>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</si>
  <si>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</si>
  <si>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</si>
  <si>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</si>
  <si>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</si>
  <si>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</si>
  <si>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</si>
  <si>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</si>
  <si>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</si>
  <si>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</si>
  <si>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</si>
  <si>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</si>
  <si>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</si>
  <si>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</si>
  <si>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</si>
  <si>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</si>
  <si>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</si>
  <si>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</si>
  <si>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</si>
  <si>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</si>
  <si>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</si>
  <si>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</si>
  <si>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</si>
  <si>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</si>
  <si>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</si>
  <si>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</si>
  <si>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</si>
  <si>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</si>
  <si>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PENINSULA WEST UTILITIES LIMITED</t>
  </si>
  <si>
    <t>ED-2002-0555</t>
  </si>
  <si>
    <t>KAREN BUBISH</t>
  </si>
  <si>
    <t>karen@penwest.on.ca</t>
  </si>
  <si>
    <t>905-563-5550</t>
  </si>
  <si>
    <t>RESIDENTIAL URBAN</t>
  </si>
  <si>
    <t>RESIDENTIAL SUBURBAN</t>
  </si>
  <si>
    <t>Residential Class URBAN</t>
  </si>
  <si>
    <t>Residential Class SUBURBAN</t>
  </si>
  <si>
    <t>Residential Class  URBAN</t>
  </si>
  <si>
    <t>RESIDENTIAL CLASS  URBAN+A91</t>
  </si>
  <si>
    <t>RESIDENTIAL CLASS  SUBURBAN</t>
  </si>
  <si>
    <t>RP-2005-0013</t>
  </si>
  <si>
    <t>EB-2005-0066</t>
  </si>
  <si>
    <t>Dec 31/03 Balance</t>
  </si>
  <si>
    <t>Total HON Charges to Embedded LDC</t>
  </si>
  <si>
    <t xml:space="preserve">Jan 10/05 approved </t>
  </si>
  <si>
    <t xml:space="preserve">HON Charges to Emb </t>
  </si>
  <si>
    <t>LDC</t>
  </si>
  <si>
    <t>JANUARY 14, 2005</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</si>
</sst>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
    <numFmt numFmtId="178" formatCode="&quot;$&quot;#,##0.00000"/>
    <numFmt numFmtId="179" formatCode="&quot;$&quot;#,##0.000000"/>
    <numFmt numFmtId="180" formatCode="_(* #,##0_);_(* \(#,##0\);_(* &quot;-&quot;??_);_(@_)"/>
    <numFmt numFmtId="181" formatCode="&quot;$&quot;#,##0.000000_);\(&quot;$&quot;#,##0.000000\)"/>
    <numFmt numFmtId="182" formatCode="#,##0.0000_);\(#,##0.0000\)"/>
    <numFmt numFmtId="183" formatCode="#,##0.0000"/>
    <numFmt numFmtId="184" formatCode="0.0%"/>
    <numFmt numFmtId="185" formatCode="_(&quot;$&quot;* #,##0.0000_);_(&quot;$&quot;* \(#,##0.0000\);_(&quot;$&quot;* &quot;-&quot;??_);_(@_)"/>
    <numFmt numFmtId="186" formatCode="#,##0.00000_);\(#,##0.00000\)"/>
    <numFmt numFmtId="187" formatCode="&quot;$&quot;#,##0"/>
    <numFmt numFmtId="188" formatCode="#,##0_ ;\-#,##0\ "/>
    <numFmt numFmtId="189" formatCode="&quot;$&quot;#,##0.000000;\-&quot;$&quot;#,##0.000000"/>
    <numFmt numFmtId="190" formatCode="_-&quot;$&quot;* #,##0.000_-;\-&quot;$&quot;* #,##0.000_-;_-&quot;$&quot;* &quot;-&quot;??_-;_-@_-"/>
    <numFmt numFmtId="191" formatCode="_-&quot;$&quot;* #,##0.0_-;\-&quot;$&quot;* #,##0.0_-;_-&quot;$&quot;* &quot;-&quot;??_-;_-@_-"/>
    <numFmt numFmtId="192" formatCode="_-&quot;$&quot;* #,##0_-;\-&quot;$&quot;* #,##0_-;_-&quot;$&quot;* &quot;-&quot;??_-;_-@_-"/>
    <numFmt numFmtId="193" formatCode="_-* #,##0.000_-;\-* #,##0.000_-;_-* &quot;-&quot;???_-;_-@_-"/>
    <numFmt numFmtId="194" formatCode="_-* #,##0.0_-;\-* #,##0.0_-;_-* &quot;-&quot;??_-;_-@_-"/>
    <numFmt numFmtId="195" formatCode="_-* #,##0_-;\-* #,##0_-;_-* &quot;-&quot;??_-;_-@_-"/>
    <numFmt numFmtId="196" formatCode="0.0"/>
    <numFmt numFmtId="197" formatCode="&quot;$&quot;#,##0.000"/>
    <numFmt numFmtId="198" formatCode="&quot;$&quot;#,##0.0"/>
    <numFmt numFmtId="199" formatCode="0.000%"/>
    <numFmt numFmtId="200" formatCode="0.0000%"/>
    <numFmt numFmtId="201" formatCode="mm/dd/yyyy"/>
    <numFmt numFmtId="202" formatCode="&quot;$&quot;#,##0.0000;\-&quot;$&quot;#,##0.0000"/>
    <numFmt numFmtId="203" formatCode="_-&quot;$&quot;* #,##0.0000_-;\-&quot;$&quot;* #,##0.0000_-;_-&quot;$&quot;* &quot;-&quot;????_-;_-@_-"/>
  </numFmts>
  <fonts count="57">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0"/>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0"/>
    </font>
    <font>
      <b/>
      <sz val="18"/>
      <name val="Arial"/>
      <family val="0"/>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sz val="8"/>
      <name val="Tahoma"/>
      <family val="0"/>
    </font>
  </fonts>
  <fills count="1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s>
  <borders count="64">
    <border>
      <left/>
      <right/>
      <top/>
      <bottom/>
      <diagonal/>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14" fillId="0" borderId="0" applyNumberFormat="0" applyFill="0" applyBorder="0" applyAlignment="0" applyProtection="0"/>
    <xf numFmtId="9" fontId="0" fillId="0" borderId="0" applyFont="0" applyFill="0" applyBorder="0" applyAlignment="0" applyProtection="0"/>
    <xf numFmtId="0" fontId="0" fillId="0" borderId="1" applyNumberFormat="0" applyFont="0" applyBorder="0" applyAlignment="0" applyProtection="0"/>
  </cellStyleXfs>
  <cellXfs count="606">
    <xf numFmtId="0" fontId="0" fillId="0" borderId="0" xfId="0" applyAlignment="1">
      <alignment/>
    </xf>
    <xf numFmtId="0" fontId="3" fillId="0" borderId="0" xfId="0" applyFont="1" applyAlignment="1">
      <alignment/>
    </xf>
    <xf numFmtId="0" fontId="0" fillId="0" borderId="0" xfId="0" applyAlignment="1" quotePrefix="1">
      <alignment/>
    </xf>
    <xf numFmtId="44" fontId="0" fillId="0" borderId="0" xfId="18" applyFill="1" applyAlignment="1">
      <alignment/>
    </xf>
    <xf numFmtId="44" fontId="0" fillId="0" borderId="0" xfId="18" applyAlignment="1">
      <alignment/>
    </xf>
    <xf numFmtId="0" fontId="11" fillId="0" borderId="0" xfId="0" applyFont="1" applyAlignment="1">
      <alignment/>
    </xf>
    <xf numFmtId="177" fontId="0" fillId="0" borderId="0" xfId="0" applyNumberFormat="1" applyFill="1" applyAlignment="1">
      <alignment/>
    </xf>
    <xf numFmtId="44" fontId="0" fillId="0" borderId="0" xfId="18" applyFill="1" applyBorder="1" applyAlignment="1">
      <alignment/>
    </xf>
    <xf numFmtId="0" fontId="1" fillId="2" borderId="0" xfId="0" applyFont="1" applyFill="1" applyAlignment="1">
      <alignment/>
    </xf>
    <xf numFmtId="0" fontId="0" fillId="2" borderId="0" xfId="0" applyFill="1" applyAlignment="1">
      <alignment/>
    </xf>
    <xf numFmtId="0" fontId="3" fillId="2" borderId="0" xfId="0" applyFont="1" applyFill="1" applyAlignment="1">
      <alignment horizontal="center"/>
    </xf>
    <xf numFmtId="0" fontId="11" fillId="2" borderId="0" xfId="0" applyFont="1" applyFill="1" applyAlignment="1">
      <alignment/>
    </xf>
    <xf numFmtId="0" fontId="3" fillId="2" borderId="0" xfId="0" applyFont="1" applyFill="1" applyAlignment="1">
      <alignment/>
    </xf>
    <xf numFmtId="0" fontId="4" fillId="2" borderId="0" xfId="0" applyFont="1" applyFill="1" applyAlignment="1">
      <alignment horizontal="center"/>
    </xf>
    <xf numFmtId="0" fontId="0" fillId="2" borderId="0" xfId="0" applyFill="1" applyAlignment="1">
      <alignment horizontal="right"/>
    </xf>
    <xf numFmtId="176" fontId="0" fillId="2" borderId="0" xfId="0" applyNumberFormat="1" applyFill="1" applyAlignment="1">
      <alignment/>
    </xf>
    <xf numFmtId="176" fontId="0" fillId="2" borderId="0" xfId="0" applyNumberFormat="1" applyFill="1" applyAlignment="1">
      <alignment horizontal="center"/>
    </xf>
    <xf numFmtId="176" fontId="11" fillId="2" borderId="0" xfId="0" applyNumberFormat="1" applyFont="1" applyFill="1" applyAlignment="1">
      <alignment/>
    </xf>
    <xf numFmtId="0" fontId="3" fillId="2" borderId="0" xfId="0" applyFont="1" applyFill="1" applyBorder="1" applyAlignment="1">
      <alignment horizontal="center"/>
    </xf>
    <xf numFmtId="176" fontId="0" fillId="2" borderId="2" xfId="0" applyNumberFormat="1" applyFill="1" applyBorder="1" applyAlignment="1">
      <alignment/>
    </xf>
    <xf numFmtId="176" fontId="0" fillId="2" borderId="0" xfId="0" applyNumberFormat="1" applyFill="1" applyBorder="1" applyAlignment="1">
      <alignment/>
    </xf>
    <xf numFmtId="176" fontId="11" fillId="2" borderId="0" xfId="0" applyNumberFormat="1" applyFont="1" applyFill="1" applyBorder="1" applyAlignment="1">
      <alignment/>
    </xf>
    <xf numFmtId="177" fontId="11" fillId="2" borderId="0" xfId="0" applyNumberFormat="1" applyFont="1" applyFill="1" applyBorder="1" applyAlignment="1">
      <alignment/>
    </xf>
    <xf numFmtId="176" fontId="0" fillId="2" borderId="3" xfId="0" applyNumberFormat="1" applyFill="1" applyBorder="1" applyAlignment="1">
      <alignment/>
    </xf>
    <xf numFmtId="176" fontId="3" fillId="2" borderId="0" xfId="0" applyNumberFormat="1" applyFont="1" applyFill="1" applyAlignment="1">
      <alignment horizontal="center"/>
    </xf>
    <xf numFmtId="177" fontId="0" fillId="2" borderId="0" xfId="0" applyNumberFormat="1" applyFill="1" applyAlignment="1">
      <alignment horizontal="center"/>
    </xf>
    <xf numFmtId="0" fontId="2" fillId="2" borderId="0" xfId="0" applyFont="1" applyFill="1" applyBorder="1" applyAlignment="1" applyProtection="1">
      <alignment/>
      <protection locked="0"/>
    </xf>
    <xf numFmtId="0" fontId="0" fillId="2" borderId="0" xfId="0" applyFill="1" applyBorder="1" applyAlignment="1">
      <alignment horizontal="left"/>
    </xf>
    <xf numFmtId="0" fontId="2" fillId="2" borderId="0" xfId="0" applyFont="1" applyFill="1" applyBorder="1" applyAlignment="1">
      <alignment/>
    </xf>
    <xf numFmtId="15" fontId="0" fillId="2" borderId="0" xfId="0" applyNumberFormat="1" applyFill="1" applyBorder="1" applyAlignment="1">
      <alignment horizontal="left"/>
    </xf>
    <xf numFmtId="0" fontId="0" fillId="2" borderId="0" xfId="0" applyFill="1" applyAlignment="1">
      <alignment horizontal="center"/>
    </xf>
    <xf numFmtId="0" fontId="0" fillId="2" borderId="0" xfId="0" applyFill="1" applyBorder="1" applyAlignment="1">
      <alignment/>
    </xf>
    <xf numFmtId="0" fontId="3" fillId="2" borderId="0" xfId="0" applyFont="1" applyFill="1" applyBorder="1" applyAlignment="1">
      <alignment/>
    </xf>
    <xf numFmtId="0" fontId="2" fillId="2" borderId="0" xfId="0" applyFont="1" applyFill="1" applyBorder="1" applyAlignment="1" applyProtection="1">
      <alignment horizontal="right"/>
      <protection locked="0"/>
    </xf>
    <xf numFmtId="0" fontId="0" fillId="2" borderId="3" xfId="0" applyFill="1" applyBorder="1" applyAlignment="1">
      <alignment/>
    </xf>
    <xf numFmtId="0" fontId="18" fillId="2" borderId="0" xfId="0" applyFont="1" applyFill="1" applyAlignment="1">
      <alignment/>
    </xf>
    <xf numFmtId="0" fontId="2" fillId="2" borderId="0" xfId="0" applyFont="1" applyFill="1" applyAlignment="1" applyProtection="1">
      <alignment/>
      <protection locked="0"/>
    </xf>
    <xf numFmtId="0" fontId="20" fillId="2" borderId="0" xfId="0" applyFont="1" applyFill="1" applyAlignment="1">
      <alignment/>
    </xf>
    <xf numFmtId="0" fontId="24" fillId="2" borderId="0" xfId="0" applyFont="1" applyFill="1" applyAlignment="1">
      <alignment/>
    </xf>
    <xf numFmtId="15" fontId="18" fillId="2" borderId="0" xfId="0" applyNumberFormat="1" applyFont="1" applyFill="1" applyAlignment="1">
      <alignment/>
    </xf>
    <xf numFmtId="0" fontId="21" fillId="2" borderId="0" xfId="0" applyFont="1" applyFill="1" applyAlignment="1">
      <alignment/>
    </xf>
    <xf numFmtId="0" fontId="19" fillId="2" borderId="3" xfId="0" applyFont="1" applyFill="1" applyBorder="1" applyAlignment="1">
      <alignment horizontal="right"/>
    </xf>
    <xf numFmtId="0" fontId="13" fillId="2" borderId="0" xfId="0" applyFont="1" applyFill="1" applyAlignment="1">
      <alignment/>
    </xf>
    <xf numFmtId="0" fontId="11" fillId="2" borderId="0" xfId="0" applyFont="1" applyFill="1" applyAlignment="1">
      <alignment wrapText="1"/>
    </xf>
    <xf numFmtId="177" fontId="11" fillId="2" borderId="0" xfId="0" applyNumberFormat="1" applyFont="1" applyFill="1" applyAlignment="1">
      <alignment/>
    </xf>
    <xf numFmtId="187" fontId="11" fillId="2" borderId="0" xfId="0" applyNumberFormat="1" applyFont="1" applyFill="1" applyAlignment="1">
      <alignment/>
    </xf>
    <xf numFmtId="0" fontId="11" fillId="2" borderId="0" xfId="0" applyNumberFormat="1" applyFont="1" applyFill="1" applyAlignment="1">
      <alignment/>
    </xf>
    <xf numFmtId="0" fontId="8" fillId="2" borderId="0" xfId="0" applyFont="1" applyFill="1" applyAlignment="1">
      <alignment/>
    </xf>
    <xf numFmtId="176" fontId="11" fillId="2" borderId="0" xfId="0" applyNumberFormat="1" applyFont="1" applyFill="1" applyAlignment="1">
      <alignment wrapText="1"/>
    </xf>
    <xf numFmtId="177" fontId="0" fillId="2" borderId="0" xfId="0" applyNumberFormat="1" applyFill="1" applyAlignment="1">
      <alignment/>
    </xf>
    <xf numFmtId="177" fontId="0" fillId="2" borderId="0" xfId="0" applyNumberFormat="1" applyFill="1" applyBorder="1" applyAlignment="1">
      <alignment/>
    </xf>
    <xf numFmtId="177" fontId="0" fillId="2" borderId="3" xfId="0" applyNumberFormat="1" applyFill="1" applyBorder="1" applyAlignment="1">
      <alignment/>
    </xf>
    <xf numFmtId="176" fontId="0" fillId="2" borderId="0" xfId="0" applyNumberFormat="1" applyFill="1" applyAlignment="1">
      <alignment wrapText="1"/>
    </xf>
    <xf numFmtId="0" fontId="0" fillId="2" borderId="0" xfId="0" applyFill="1" applyAlignment="1">
      <alignment wrapText="1"/>
    </xf>
    <xf numFmtId="0" fontId="6" fillId="2" borderId="0" xfId="0" applyFont="1" applyFill="1" applyAlignment="1">
      <alignment/>
    </xf>
    <xf numFmtId="0" fontId="10" fillId="2" borderId="0" xfId="0" applyFont="1" applyFill="1" applyAlignment="1">
      <alignment/>
    </xf>
    <xf numFmtId="44" fontId="0" fillId="2" borderId="0" xfId="18" applyFill="1" applyAlignment="1">
      <alignment/>
    </xf>
    <xf numFmtId="10" fontId="0" fillId="2" borderId="0" xfId="18" applyNumberFormat="1" applyFill="1" applyAlignment="1">
      <alignment/>
    </xf>
    <xf numFmtId="0" fontId="8" fillId="2" borderId="3" xfId="0" applyNumberFormat="1" applyFont="1" applyFill="1" applyBorder="1" applyAlignment="1">
      <alignment horizontal="center"/>
    </xf>
    <xf numFmtId="176" fontId="11" fillId="2" borderId="3" xfId="0" applyNumberFormat="1" applyFont="1" applyFill="1" applyBorder="1" applyAlignment="1">
      <alignment/>
    </xf>
    <xf numFmtId="0" fontId="8" fillId="2" borderId="4" xfId="0" applyNumberFormat="1" applyFont="1" applyFill="1" applyBorder="1" applyAlignment="1">
      <alignment horizontal="center"/>
    </xf>
    <xf numFmtId="176" fontId="11" fillId="2" borderId="4" xfId="0" applyNumberFormat="1" applyFont="1" applyFill="1" applyBorder="1" applyAlignment="1">
      <alignment/>
    </xf>
    <xf numFmtId="0" fontId="11" fillId="2" borderId="4" xfId="0" applyFont="1" applyFill="1" applyBorder="1" applyAlignment="1">
      <alignment wrapText="1"/>
    </xf>
    <xf numFmtId="176" fontId="11" fillId="2" borderId="4" xfId="0" applyNumberFormat="1" applyFont="1" applyFill="1" applyBorder="1" applyAlignment="1">
      <alignment horizontal="center"/>
    </xf>
    <xf numFmtId="0" fontId="8" fillId="3" borderId="0" xfId="0" applyFont="1" applyFill="1" applyAlignment="1">
      <alignment/>
    </xf>
    <xf numFmtId="0" fontId="11" fillId="3" borderId="0" xfId="0" applyNumberFormat="1" applyFont="1" applyFill="1" applyAlignment="1">
      <alignment/>
    </xf>
    <xf numFmtId="187" fontId="11" fillId="3" borderId="5" xfId="0" applyNumberFormat="1" applyFont="1" applyFill="1" applyBorder="1" applyAlignment="1">
      <alignment horizontal="right"/>
    </xf>
    <xf numFmtId="0" fontId="28" fillId="2" borderId="0" xfId="0" applyFont="1" applyFill="1" applyAlignment="1">
      <alignment/>
    </xf>
    <xf numFmtId="0" fontId="28" fillId="0" borderId="0" xfId="0" applyFont="1" applyFill="1" applyAlignment="1">
      <alignment/>
    </xf>
    <xf numFmtId="0" fontId="30" fillId="2" borderId="0" xfId="0" applyFont="1" applyFill="1" applyBorder="1" applyAlignment="1">
      <alignment/>
    </xf>
    <xf numFmtId="176" fontId="11" fillId="2" borderId="0" xfId="0" applyNumberFormat="1" applyFont="1" applyFill="1" applyBorder="1" applyAlignment="1">
      <alignment horizontal="center"/>
    </xf>
    <xf numFmtId="0" fontId="8" fillId="2" borderId="0" xfId="0" applyFont="1" applyFill="1" applyBorder="1" applyAlignment="1">
      <alignment horizontal="left"/>
    </xf>
    <xf numFmtId="0" fontId="8" fillId="2" borderId="3" xfId="0" applyFont="1" applyFill="1" applyBorder="1" applyAlignment="1">
      <alignment horizontal="left"/>
    </xf>
    <xf numFmtId="176" fontId="33" fillId="2" borderId="3" xfId="0" applyNumberFormat="1" applyFont="1" applyFill="1" applyBorder="1" applyAlignment="1">
      <alignment horizontal="center" vertical="center"/>
    </xf>
    <xf numFmtId="176" fontId="34" fillId="2" borderId="0" xfId="0" applyNumberFormat="1" applyFont="1" applyFill="1" applyBorder="1" applyAlignment="1">
      <alignment/>
    </xf>
    <xf numFmtId="176" fontId="34" fillId="2" borderId="3" xfId="0" applyNumberFormat="1" applyFont="1" applyFill="1" applyBorder="1" applyAlignment="1">
      <alignment/>
    </xf>
    <xf numFmtId="176" fontId="33" fillId="2" borderId="3" xfId="0" applyNumberFormat="1" applyFont="1" applyFill="1" applyBorder="1" applyAlignment="1">
      <alignment horizontal="center"/>
    </xf>
    <xf numFmtId="176" fontId="33" fillId="3" borderId="0" xfId="0" applyNumberFormat="1" applyFont="1" applyFill="1" applyAlignment="1">
      <alignment horizontal="center"/>
    </xf>
    <xf numFmtId="176" fontId="34" fillId="2" borderId="0" xfId="0" applyNumberFormat="1" applyFont="1" applyFill="1" applyAlignment="1">
      <alignment/>
    </xf>
    <xf numFmtId="176" fontId="34" fillId="2" borderId="0" xfId="0" applyNumberFormat="1" applyFont="1" applyFill="1" applyAlignment="1">
      <alignment horizontal="center"/>
    </xf>
    <xf numFmtId="177" fontId="0" fillId="2" borderId="2" xfId="0" applyNumberFormat="1" applyFill="1" applyBorder="1" applyAlignment="1">
      <alignment/>
    </xf>
    <xf numFmtId="0" fontId="10" fillId="2" borderId="0" xfId="0" applyFont="1" applyFill="1" applyBorder="1" applyAlignment="1">
      <alignment/>
    </xf>
    <xf numFmtId="0" fontId="31" fillId="2" borderId="6" xfId="0" applyFont="1" applyFill="1" applyBorder="1" applyAlignment="1">
      <alignment/>
    </xf>
    <xf numFmtId="176" fontId="18" fillId="2" borderId="7" xfId="0" applyNumberFormat="1" applyFont="1" applyFill="1" applyBorder="1" applyAlignment="1">
      <alignment/>
    </xf>
    <xf numFmtId="176" fontId="30" fillId="2" borderId="7" xfId="0" applyNumberFormat="1" applyFont="1" applyFill="1" applyBorder="1" applyAlignment="1">
      <alignment/>
    </xf>
    <xf numFmtId="187" fontId="11" fillId="2" borderId="8" xfId="0" applyNumberFormat="1" applyFont="1" applyFill="1" applyBorder="1" applyAlignment="1">
      <alignment/>
    </xf>
    <xf numFmtId="0" fontId="0" fillId="2" borderId="9" xfId="0" applyFill="1" applyBorder="1" applyAlignment="1">
      <alignment/>
    </xf>
    <xf numFmtId="187" fontId="11" fillId="2" borderId="10" xfId="0" applyNumberFormat="1" applyFont="1" applyFill="1" applyBorder="1" applyAlignment="1">
      <alignment/>
    </xf>
    <xf numFmtId="0" fontId="8" fillId="2" borderId="9" xfId="0" applyFont="1" applyFill="1" applyBorder="1" applyAlignment="1">
      <alignment/>
    </xf>
    <xf numFmtId="177" fontId="0" fillId="2" borderId="10" xfId="0" applyNumberFormat="1" applyFill="1" applyBorder="1" applyAlignment="1">
      <alignment/>
    </xf>
    <xf numFmtId="177" fontId="11" fillId="2" borderId="10" xfId="0" applyNumberFormat="1" applyFont="1" applyFill="1" applyBorder="1" applyAlignment="1">
      <alignment horizontal="center"/>
    </xf>
    <xf numFmtId="187" fontId="11" fillId="2" borderId="10" xfId="0" applyNumberFormat="1" applyFont="1" applyFill="1" applyBorder="1" applyAlignment="1">
      <alignment horizontal="center"/>
    </xf>
    <xf numFmtId="0" fontId="11" fillId="2" borderId="9" xfId="0" applyFont="1" applyFill="1" applyBorder="1" applyAlignment="1">
      <alignment/>
    </xf>
    <xf numFmtId="0" fontId="11" fillId="2" borderId="10" xfId="0" applyFont="1" applyFill="1" applyBorder="1" applyAlignment="1">
      <alignment horizontal="center"/>
    </xf>
    <xf numFmtId="0" fontId="0" fillId="2" borderId="11" xfId="0" applyFill="1" applyBorder="1" applyAlignment="1">
      <alignment/>
    </xf>
    <xf numFmtId="176" fontId="0" fillId="2" borderId="12" xfId="0" applyNumberFormat="1" applyFill="1" applyBorder="1" applyAlignment="1">
      <alignment/>
    </xf>
    <xf numFmtId="177" fontId="0" fillId="2" borderId="13" xfId="0" applyNumberFormat="1" applyFill="1" applyBorder="1" applyAlignment="1">
      <alignment/>
    </xf>
    <xf numFmtId="0" fontId="18" fillId="2" borderId="7" xfId="0" applyFont="1" applyFill="1" applyBorder="1" applyAlignment="1">
      <alignment/>
    </xf>
    <xf numFmtId="0" fontId="13" fillId="2" borderId="9" xfId="0" applyFont="1" applyFill="1" applyBorder="1" applyAlignment="1">
      <alignment/>
    </xf>
    <xf numFmtId="177" fontId="11" fillId="2" borderId="10" xfId="0" applyNumberFormat="1" applyFont="1" applyFill="1" applyBorder="1" applyAlignment="1">
      <alignment/>
    </xf>
    <xf numFmtId="0" fontId="0" fillId="2" borderId="10" xfId="0" applyFill="1" applyBorder="1" applyAlignment="1">
      <alignment/>
    </xf>
    <xf numFmtId="0" fontId="8" fillId="2" borderId="9" xfId="0" applyFont="1" applyFill="1" applyBorder="1" applyAlignment="1">
      <alignment horizontal="left"/>
    </xf>
    <xf numFmtId="187" fontId="11" fillId="3" borderId="14" xfId="0" applyNumberFormat="1" applyFont="1" applyFill="1" applyBorder="1" applyAlignment="1">
      <alignment horizontal="center" vertical="center"/>
    </xf>
    <xf numFmtId="187" fontId="11" fillId="3" borderId="14" xfId="0" applyNumberFormat="1" applyFont="1" applyFill="1" applyBorder="1" applyAlignment="1">
      <alignment horizontal="center"/>
    </xf>
    <xf numFmtId="187" fontId="8" fillId="3" borderId="15" xfId="0" applyNumberFormat="1" applyFont="1" applyFill="1" applyBorder="1" applyAlignment="1">
      <alignment horizontal="center"/>
    </xf>
    <xf numFmtId="44" fontId="0" fillId="2" borderId="0" xfId="18" applyFill="1" applyAlignment="1">
      <alignment/>
    </xf>
    <xf numFmtId="0" fontId="0" fillId="2" borderId="0" xfId="0" applyFill="1" applyAlignment="1" quotePrefix="1">
      <alignment/>
    </xf>
    <xf numFmtId="176" fontId="0" fillId="4" borderId="3" xfId="0" applyNumberFormat="1" applyFill="1" applyBorder="1" applyAlignment="1">
      <alignment/>
    </xf>
    <xf numFmtId="177" fontId="0" fillId="4" borderId="3" xfId="0" applyNumberFormat="1" applyFill="1" applyBorder="1" applyAlignment="1">
      <alignment/>
    </xf>
    <xf numFmtId="0" fontId="0" fillId="2" borderId="3" xfId="0" applyFont="1" applyFill="1" applyBorder="1" applyAlignment="1">
      <alignment/>
    </xf>
    <xf numFmtId="176" fontId="0" fillId="2" borderId="3" xfId="0" applyNumberFormat="1" applyFont="1" applyFill="1" applyBorder="1" applyAlignment="1">
      <alignment/>
    </xf>
    <xf numFmtId="176" fontId="0" fillId="4" borderId="3" xfId="0" applyNumberFormat="1" applyFont="1" applyFill="1" applyBorder="1" applyAlignment="1">
      <alignment/>
    </xf>
    <xf numFmtId="0" fontId="0" fillId="2" borderId="0" xfId="0" applyFont="1" applyFill="1" applyAlignment="1">
      <alignment/>
    </xf>
    <xf numFmtId="176" fontId="0" fillId="2" borderId="0" xfId="0" applyNumberFormat="1" applyFont="1" applyFill="1" applyAlignment="1">
      <alignment/>
    </xf>
    <xf numFmtId="177" fontId="0" fillId="4" borderId="3" xfId="0" applyNumberFormat="1" applyFont="1" applyFill="1" applyBorder="1" applyAlignment="1">
      <alignment/>
    </xf>
    <xf numFmtId="0" fontId="36" fillId="2" borderId="0" xfId="0" applyFont="1" applyFill="1" applyAlignment="1">
      <alignment/>
    </xf>
    <xf numFmtId="0" fontId="1" fillId="2" borderId="0" xfId="0" applyFont="1" applyFill="1" applyAlignment="1" applyProtection="1">
      <alignment/>
      <protection locked="0"/>
    </xf>
    <xf numFmtId="0" fontId="0" fillId="2" borderId="0" xfId="0" applyFont="1" applyFill="1" applyAlignment="1">
      <alignment horizontal="right"/>
    </xf>
    <xf numFmtId="0" fontId="2" fillId="5" borderId="0" xfId="0" applyFont="1" applyFill="1" applyAlignment="1">
      <alignment/>
    </xf>
    <xf numFmtId="44" fontId="0" fillId="2" borderId="0" xfId="18" applyFill="1" applyBorder="1" applyAlignment="1">
      <alignment/>
    </xf>
    <xf numFmtId="44" fontId="0" fillId="2" borderId="0" xfId="0" applyNumberFormat="1" applyFill="1" applyAlignment="1">
      <alignment/>
    </xf>
    <xf numFmtId="0" fontId="0" fillId="2" borderId="0" xfId="0" applyFill="1" applyAlignment="1">
      <alignment horizontal="center" vertical="top" wrapText="1"/>
    </xf>
    <xf numFmtId="0" fontId="0" fillId="2" borderId="0" xfId="0" applyFill="1" applyBorder="1" applyAlignment="1">
      <alignment horizontal="right"/>
    </xf>
    <xf numFmtId="3" fontId="0" fillId="2" borderId="0" xfId="0" applyNumberFormat="1" applyFill="1" applyBorder="1" applyAlignment="1">
      <alignment/>
    </xf>
    <xf numFmtId="37" fontId="0" fillId="2" borderId="0" xfId="18" applyNumberFormat="1" applyFont="1" applyFill="1" applyBorder="1" applyAlignment="1">
      <alignment horizontal="right"/>
    </xf>
    <xf numFmtId="7" fontId="0" fillId="2" borderId="0" xfId="18" applyNumberFormat="1" applyFill="1" applyAlignment="1">
      <alignment/>
    </xf>
    <xf numFmtId="37" fontId="0" fillId="2" borderId="0" xfId="18" applyNumberFormat="1" applyFont="1" applyFill="1" applyAlignment="1">
      <alignment horizontal="center"/>
    </xf>
    <xf numFmtId="7" fontId="0" fillId="2" borderId="0" xfId="18" applyNumberFormat="1" applyFill="1" applyBorder="1" applyAlignment="1">
      <alignment/>
    </xf>
    <xf numFmtId="173" fontId="0" fillId="2" borderId="0" xfId="15" applyNumberFormat="1" applyFill="1" applyBorder="1" applyAlignment="1">
      <alignment/>
    </xf>
    <xf numFmtId="43" fontId="0" fillId="2" borderId="0" xfId="15" applyFill="1" applyBorder="1" applyAlignment="1">
      <alignment/>
    </xf>
    <xf numFmtId="43" fontId="0" fillId="2" borderId="0" xfId="18" applyNumberFormat="1" applyFill="1" applyAlignment="1">
      <alignment/>
    </xf>
    <xf numFmtId="0" fontId="2" fillId="2" borderId="0" xfId="0" applyFont="1" applyFill="1" applyAlignment="1">
      <alignment/>
    </xf>
    <xf numFmtId="0" fontId="5" fillId="2" borderId="0" xfId="0" applyFont="1" applyFill="1" applyAlignment="1">
      <alignment/>
    </xf>
    <xf numFmtId="0" fontId="0" fillId="2" borderId="0" xfId="0" applyFill="1" applyAlignment="1">
      <alignment horizontal="center" wrapText="1"/>
    </xf>
    <xf numFmtId="175" fontId="0" fillId="2" borderId="0" xfId="18" applyNumberFormat="1" applyFill="1" applyAlignment="1">
      <alignment/>
    </xf>
    <xf numFmtId="3" fontId="0" fillId="4" borderId="0" xfId="0" applyNumberFormat="1" applyFill="1" applyBorder="1" applyAlignment="1">
      <alignment/>
    </xf>
    <xf numFmtId="3" fontId="0" fillId="4" borderId="3" xfId="0" applyNumberFormat="1" applyFill="1" applyBorder="1" applyAlignment="1">
      <alignment/>
    </xf>
    <xf numFmtId="0" fontId="34" fillId="2" borderId="0" xfId="0" applyFont="1" applyFill="1" applyAlignment="1">
      <alignment/>
    </xf>
    <xf numFmtId="0" fontId="37" fillId="2" borderId="0" xfId="0" applyFont="1" applyFill="1" applyAlignment="1">
      <alignment/>
    </xf>
    <xf numFmtId="44" fontId="0" fillId="2" borderId="3" xfId="18" applyFill="1" applyBorder="1" applyAlignment="1">
      <alignment/>
    </xf>
    <xf numFmtId="0" fontId="30" fillId="2" borderId="0" xfId="0" applyFont="1" applyFill="1" applyAlignment="1">
      <alignment/>
    </xf>
    <xf numFmtId="0" fontId="38" fillId="2" borderId="0" xfId="0" applyFont="1" applyFill="1" applyAlignment="1">
      <alignment/>
    </xf>
    <xf numFmtId="0" fontId="39" fillId="2" borderId="0" xfId="0" applyFont="1" applyFill="1" applyAlignment="1" quotePrefix="1">
      <alignment/>
    </xf>
    <xf numFmtId="44" fontId="39" fillId="2" borderId="0" xfId="18" applyFont="1" applyFill="1" applyAlignment="1">
      <alignment/>
    </xf>
    <xf numFmtId="0" fontId="39" fillId="2" borderId="0" xfId="0" applyFont="1" applyFill="1" applyAlignment="1">
      <alignment/>
    </xf>
    <xf numFmtId="184" fontId="0" fillId="2" borderId="0" xfId="18" applyNumberFormat="1" applyFill="1" applyBorder="1" applyAlignment="1">
      <alignment horizontal="right"/>
    </xf>
    <xf numFmtId="184" fontId="0" fillId="2" borderId="3" xfId="18" applyNumberFormat="1" applyFill="1" applyBorder="1" applyAlignment="1">
      <alignment horizontal="right"/>
    </xf>
    <xf numFmtId="44" fontId="0" fillId="2" borderId="0" xfId="18" applyFill="1" applyBorder="1" applyAlignment="1">
      <alignment horizontal="right"/>
    </xf>
    <xf numFmtId="0" fontId="3" fillId="2" borderId="9" xfId="0" applyFont="1" applyFill="1" applyBorder="1" applyAlignment="1">
      <alignment/>
    </xf>
    <xf numFmtId="0" fontId="0" fillId="2" borderId="12" xfId="0" applyFill="1" applyBorder="1" applyAlignment="1">
      <alignment/>
    </xf>
    <xf numFmtId="0" fontId="0" fillId="2" borderId="13" xfId="0" applyFill="1" applyBorder="1" applyAlignment="1">
      <alignment/>
    </xf>
    <xf numFmtId="0" fontId="2" fillId="2" borderId="16" xfId="0" applyFont="1" applyFill="1" applyBorder="1" applyAlignment="1">
      <alignment vertical="center"/>
    </xf>
    <xf numFmtId="0" fontId="3" fillId="2" borderId="17" xfId="0" applyFont="1" applyFill="1" applyBorder="1" applyAlignment="1">
      <alignment horizontal="right" vertical="center" wrapText="1"/>
    </xf>
    <xf numFmtId="0" fontId="3" fillId="2" borderId="18" xfId="0" applyFont="1" applyFill="1" applyBorder="1" applyAlignment="1">
      <alignment horizontal="right" vertical="center" wrapText="1"/>
    </xf>
    <xf numFmtId="3" fontId="3" fillId="2" borderId="0" xfId="15" applyNumberFormat="1" applyFont="1" applyFill="1" applyBorder="1" applyAlignment="1">
      <alignment/>
    </xf>
    <xf numFmtId="7" fontId="3" fillId="2" borderId="0" xfId="15" applyNumberFormat="1" applyFont="1" applyFill="1" applyBorder="1" applyAlignment="1">
      <alignment/>
    </xf>
    <xf numFmtId="43" fontId="3" fillId="2" borderId="0" xfId="15" applyNumberFormat="1" applyFont="1" applyFill="1" applyBorder="1" applyAlignment="1">
      <alignment horizontal="right"/>
    </xf>
    <xf numFmtId="10" fontId="0" fillId="2" borderId="0" xfId="0" applyNumberFormat="1" applyFill="1" applyAlignment="1">
      <alignment/>
    </xf>
    <xf numFmtId="0" fontId="0" fillId="6" borderId="0" xfId="0" applyFill="1" applyAlignment="1">
      <alignment/>
    </xf>
    <xf numFmtId="2" fontId="0" fillId="6" borderId="0" xfId="0" applyNumberFormat="1" applyFill="1" applyAlignment="1">
      <alignment/>
    </xf>
    <xf numFmtId="10" fontId="0" fillId="6" borderId="0" xfId="0" applyNumberFormat="1" applyFill="1" applyAlignment="1">
      <alignment/>
    </xf>
    <xf numFmtId="0" fontId="2" fillId="2" borderId="0" xfId="0" applyFont="1" applyFill="1" applyAlignment="1">
      <alignment horizontal="center"/>
    </xf>
    <xf numFmtId="2" fontId="0" fillId="2" borderId="0" xfId="0" applyNumberFormat="1" applyFill="1" applyAlignment="1">
      <alignment/>
    </xf>
    <xf numFmtId="0" fontId="4" fillId="2" borderId="0" xfId="0" applyFont="1" applyFill="1" applyBorder="1" applyAlignment="1">
      <alignment horizontal="center" vertical="center"/>
    </xf>
    <xf numFmtId="0" fontId="44" fillId="2" borderId="0" xfId="0" applyFont="1" applyFill="1" applyAlignment="1">
      <alignment/>
    </xf>
    <xf numFmtId="0" fontId="44" fillId="2" borderId="0" xfId="0" applyFont="1" applyFill="1" applyAlignment="1">
      <alignment horizontal="center"/>
    </xf>
    <xf numFmtId="2" fontId="30" fillId="2" borderId="0" xfId="0" applyNumberFormat="1" applyFont="1" applyFill="1" applyAlignment="1">
      <alignment/>
    </xf>
    <xf numFmtId="0" fontId="0" fillId="6" borderId="19" xfId="0" applyFill="1" applyBorder="1" applyAlignment="1">
      <alignment/>
    </xf>
    <xf numFmtId="0" fontId="0" fillId="6" borderId="20" xfId="0" applyFill="1" applyBorder="1" applyAlignment="1">
      <alignment/>
    </xf>
    <xf numFmtId="0" fontId="25" fillId="2" borderId="6" xfId="0" applyFont="1" applyFill="1" applyBorder="1" applyAlignment="1">
      <alignment wrapText="1"/>
    </xf>
    <xf numFmtId="0" fontId="3" fillId="2" borderId="7" xfId="0" applyFont="1" applyFill="1" applyBorder="1" applyAlignment="1">
      <alignment/>
    </xf>
    <xf numFmtId="0" fontId="0" fillId="2" borderId="7" xfId="0" applyFill="1" applyBorder="1" applyAlignment="1">
      <alignment/>
    </xf>
    <xf numFmtId="3" fontId="3" fillId="4" borderId="21" xfId="0" applyNumberFormat="1" applyFont="1" applyFill="1" applyBorder="1" applyAlignment="1">
      <alignment horizontal="center"/>
    </xf>
    <xf numFmtId="0" fontId="9" fillId="2" borderId="9" xfId="0" applyFont="1" applyFill="1" applyBorder="1" applyAlignment="1">
      <alignment/>
    </xf>
    <xf numFmtId="0" fontId="0" fillId="2" borderId="22" xfId="0" applyFont="1" applyFill="1" applyBorder="1" applyAlignment="1">
      <alignment horizontal="center" wrapText="1"/>
    </xf>
    <xf numFmtId="0" fontId="0" fillId="2" borderId="23" xfId="0" applyFill="1" applyBorder="1" applyAlignment="1">
      <alignment horizontal="right" vertical="center"/>
    </xf>
    <xf numFmtId="0" fontId="0" fillId="0" borderId="23" xfId="0" applyBorder="1" applyAlignment="1">
      <alignment horizontal="right" vertical="center"/>
    </xf>
    <xf numFmtId="44" fontId="3" fillId="2" borderId="24" xfId="20" applyFont="1" applyFill="1" applyBorder="1" applyAlignment="1">
      <alignment vertical="center"/>
    </xf>
    <xf numFmtId="0" fontId="0" fillId="2" borderId="25" xfId="0" applyFont="1" applyFill="1" applyBorder="1" applyAlignment="1">
      <alignment horizontal="center" wrapText="1"/>
    </xf>
    <xf numFmtId="0" fontId="0" fillId="2" borderId="23" xfId="0" applyFill="1" applyBorder="1" applyAlignment="1">
      <alignment horizontal="right"/>
    </xf>
    <xf numFmtId="44" fontId="0" fillId="2" borderId="0" xfId="20" applyFill="1" applyBorder="1" applyAlignment="1">
      <alignment/>
    </xf>
    <xf numFmtId="0" fontId="0" fillId="2" borderId="26" xfId="0" applyFont="1" applyFill="1" applyBorder="1" applyAlignment="1">
      <alignment horizontal="center" wrapText="1"/>
    </xf>
    <xf numFmtId="0" fontId="0" fillId="2" borderId="27" xfId="0" applyFill="1" applyBorder="1" applyAlignment="1">
      <alignment vertical="center"/>
    </xf>
    <xf numFmtId="176" fontId="3" fillId="2" borderId="28" xfId="0" applyNumberFormat="1" applyFont="1" applyFill="1" applyBorder="1" applyAlignment="1">
      <alignment vertical="center"/>
    </xf>
    <xf numFmtId="44" fontId="0" fillId="0" borderId="29" xfId="20" applyBorder="1" applyAlignment="1">
      <alignment vertical="center"/>
    </xf>
    <xf numFmtId="0" fontId="0" fillId="2" borderId="30" xfId="0" applyFont="1" applyFill="1" applyBorder="1" applyAlignment="1">
      <alignment horizontal="center" wrapText="1"/>
    </xf>
    <xf numFmtId="0" fontId="0" fillId="2" borderId="27" xfId="0" applyFill="1" applyBorder="1" applyAlignment="1">
      <alignment/>
    </xf>
    <xf numFmtId="44" fontId="0" fillId="2" borderId="31" xfId="20" applyFill="1" applyBorder="1" applyAlignment="1">
      <alignment/>
    </xf>
    <xf numFmtId="183" fontId="3" fillId="3" borderId="32" xfId="0" applyNumberFormat="1" applyFont="1" applyFill="1" applyBorder="1" applyAlignment="1">
      <alignment/>
    </xf>
    <xf numFmtId="44" fontId="3" fillId="3" borderId="33" xfId="20" applyFont="1" applyFill="1" applyBorder="1" applyAlignment="1">
      <alignment vertical="center"/>
    </xf>
    <xf numFmtId="44" fontId="3" fillId="3" borderId="34" xfId="20" applyFont="1" applyFill="1" applyBorder="1" applyAlignment="1">
      <alignment/>
    </xf>
    <xf numFmtId="44" fontId="3" fillId="3" borderId="16" xfId="20" applyFont="1" applyFill="1" applyBorder="1" applyAlignment="1">
      <alignment/>
    </xf>
    <xf numFmtId="10" fontId="3" fillId="3" borderId="34" xfId="0" applyNumberFormat="1" applyFont="1" applyFill="1" applyBorder="1" applyAlignment="1">
      <alignment/>
    </xf>
    <xf numFmtId="183" fontId="0" fillId="0" borderId="35" xfId="0" applyNumberFormat="1" applyFill="1" applyBorder="1" applyAlignment="1">
      <alignment vertical="center"/>
    </xf>
    <xf numFmtId="44" fontId="0" fillId="0" borderId="36" xfId="20" applyBorder="1" applyAlignment="1">
      <alignment vertical="center"/>
    </xf>
    <xf numFmtId="182" fontId="0" fillId="2" borderId="35" xfId="20" applyNumberFormat="1" applyFill="1" applyBorder="1" applyAlignment="1">
      <alignment/>
    </xf>
    <xf numFmtId="44" fontId="0" fillId="2" borderId="37" xfId="20" applyFill="1" applyBorder="1" applyAlignment="1">
      <alignment/>
    </xf>
    <xf numFmtId="0" fontId="0" fillId="2" borderId="38" xfId="0" applyFont="1" applyFill="1" applyBorder="1" applyAlignment="1">
      <alignment horizontal="center" wrapText="1"/>
    </xf>
    <xf numFmtId="183" fontId="0" fillId="0" borderId="28" xfId="0" applyNumberFormat="1" applyBorder="1" applyAlignment="1">
      <alignment vertical="center"/>
    </xf>
    <xf numFmtId="0" fontId="0" fillId="2" borderId="39" xfId="0" applyFont="1" applyFill="1" applyBorder="1" applyAlignment="1">
      <alignment horizontal="center" wrapText="1"/>
    </xf>
    <xf numFmtId="0" fontId="0" fillId="2" borderId="40" xfId="0" applyFill="1" applyBorder="1" applyAlignment="1">
      <alignment/>
    </xf>
    <xf numFmtId="182" fontId="0" fillId="2" borderId="40" xfId="20" applyNumberFormat="1" applyFill="1" applyBorder="1" applyAlignment="1">
      <alignment/>
    </xf>
    <xf numFmtId="44" fontId="0" fillId="2" borderId="41" xfId="20" applyFill="1" applyBorder="1" applyAlignment="1">
      <alignment/>
    </xf>
    <xf numFmtId="10" fontId="0" fillId="2" borderId="10" xfId="0" applyNumberFormat="1" applyFill="1" applyBorder="1" applyAlignment="1">
      <alignment/>
    </xf>
    <xf numFmtId="0" fontId="3" fillId="3" borderId="16" xfId="0" applyFont="1" applyFill="1" applyBorder="1" applyAlignment="1">
      <alignment/>
    </xf>
    <xf numFmtId="0" fontId="3" fillId="3" borderId="17" xfId="0" applyFont="1" applyFill="1" applyBorder="1" applyAlignment="1">
      <alignment/>
    </xf>
    <xf numFmtId="44" fontId="3" fillId="3" borderId="33" xfId="20" applyFont="1" applyFill="1" applyBorder="1" applyAlignment="1">
      <alignment/>
    </xf>
    <xf numFmtId="0" fontId="0" fillId="6" borderId="42" xfId="0" applyFill="1" applyBorder="1" applyAlignment="1">
      <alignment/>
    </xf>
    <xf numFmtId="44" fontId="0" fillId="2" borderId="12" xfId="20" applyFill="1" applyBorder="1" applyAlignment="1">
      <alignment/>
    </xf>
    <xf numFmtId="0" fontId="0" fillId="2" borderId="23" xfId="0" applyFill="1" applyBorder="1" applyAlignment="1">
      <alignment horizontal="center"/>
    </xf>
    <xf numFmtId="2" fontId="3" fillId="2" borderId="0" xfId="0" applyNumberFormat="1" applyFont="1" applyFill="1" applyAlignment="1">
      <alignment/>
    </xf>
    <xf numFmtId="2" fontId="3" fillId="2" borderId="0" xfId="0" applyNumberFormat="1" applyFont="1" applyFill="1" applyAlignment="1">
      <alignment horizontal="center"/>
    </xf>
    <xf numFmtId="10" fontId="3" fillId="2" borderId="0" xfId="0" applyNumberFormat="1" applyFont="1" applyFill="1" applyAlignment="1">
      <alignment/>
    </xf>
    <xf numFmtId="0" fontId="3" fillId="2" borderId="0" xfId="0" applyFont="1" applyFill="1" applyAlignment="1" quotePrefix="1">
      <alignment horizontal="center"/>
    </xf>
    <xf numFmtId="10" fontId="3" fillId="2" borderId="0" xfId="0" applyNumberFormat="1" applyFont="1" applyFill="1" applyAlignment="1">
      <alignment horizontal="center"/>
    </xf>
    <xf numFmtId="0" fontId="9" fillId="2" borderId="0" xfId="0" applyFont="1" applyFill="1" applyAlignment="1">
      <alignment/>
    </xf>
    <xf numFmtId="44" fontId="0" fillId="2" borderId="0" xfId="20" applyFont="1" applyFill="1" applyAlignment="1">
      <alignment/>
    </xf>
    <xf numFmtId="44" fontId="0" fillId="2" borderId="0" xfId="20" applyFill="1" applyAlignment="1">
      <alignment/>
    </xf>
    <xf numFmtId="44" fontId="3" fillId="2" borderId="0" xfId="20" applyFont="1" applyFill="1" applyBorder="1" applyAlignment="1">
      <alignment/>
    </xf>
    <xf numFmtId="0" fontId="3" fillId="2" borderId="0" xfId="0" applyFont="1" applyFill="1" applyBorder="1" applyAlignment="1">
      <alignment horizontal="left"/>
    </xf>
    <xf numFmtId="10" fontId="3" fillId="2" borderId="0" xfId="0" applyNumberFormat="1" applyFont="1" applyFill="1" applyBorder="1" applyAlignment="1">
      <alignment/>
    </xf>
    <xf numFmtId="0" fontId="43" fillId="2" borderId="0" xfId="0" applyFont="1" applyFill="1" applyAlignment="1">
      <alignment/>
    </xf>
    <xf numFmtId="182" fontId="0" fillId="2" borderId="0" xfId="20" applyNumberFormat="1" applyFill="1" applyAlignment="1">
      <alignment/>
    </xf>
    <xf numFmtId="0" fontId="45" fillId="2" borderId="0" xfId="0" applyFont="1" applyFill="1" applyAlignment="1">
      <alignment/>
    </xf>
    <xf numFmtId="0" fontId="39" fillId="2" borderId="0" xfId="0" applyFont="1" applyFill="1" applyBorder="1" applyAlignment="1">
      <alignment/>
    </xf>
    <xf numFmtId="44" fontId="39" fillId="2" borderId="0" xfId="20" applyFont="1" applyFill="1" applyAlignment="1">
      <alignment/>
    </xf>
    <xf numFmtId="182" fontId="39" fillId="2" borderId="0" xfId="20" applyNumberFormat="1" applyFont="1" applyFill="1" applyAlignment="1">
      <alignment/>
    </xf>
    <xf numFmtId="10" fontId="39" fillId="2" borderId="0" xfId="0" applyNumberFormat="1" applyFont="1" applyFill="1" applyAlignment="1">
      <alignment/>
    </xf>
    <xf numFmtId="44" fontId="3" fillId="2" borderId="43" xfId="20" applyFont="1" applyFill="1" applyBorder="1" applyAlignment="1">
      <alignment/>
    </xf>
    <xf numFmtId="182" fontId="3" fillId="2" borderId="28" xfId="20" applyNumberFormat="1" applyFont="1" applyFill="1" applyBorder="1" applyAlignment="1">
      <alignment/>
    </xf>
    <xf numFmtId="10" fontId="0" fillId="2" borderId="0" xfId="0" applyNumberFormat="1" applyFill="1" applyBorder="1" applyAlignment="1">
      <alignment/>
    </xf>
    <xf numFmtId="2" fontId="0" fillId="2" borderId="12" xfId="0" applyNumberFormat="1" applyFill="1" applyBorder="1" applyAlignment="1">
      <alignment/>
    </xf>
    <xf numFmtId="10" fontId="0" fillId="2" borderId="12" xfId="0" applyNumberFormat="1" applyFill="1" applyBorder="1" applyAlignment="1">
      <alignment/>
    </xf>
    <xf numFmtId="0" fontId="46" fillId="2" borderId="0" xfId="0" applyFont="1" applyFill="1" applyAlignment="1">
      <alignment/>
    </xf>
    <xf numFmtId="3" fontId="3" fillId="4" borderId="21" xfId="0" applyNumberFormat="1" applyFont="1" applyFill="1" applyBorder="1" applyAlignment="1">
      <alignment horizontal="center" vertical="center"/>
    </xf>
    <xf numFmtId="44" fontId="3" fillId="2" borderId="43" xfId="20" applyFont="1" applyFill="1" applyBorder="1" applyAlignment="1">
      <alignment vertical="center"/>
    </xf>
    <xf numFmtId="3" fontId="0" fillId="2" borderId="27" xfId="0" applyNumberFormat="1" applyFill="1" applyBorder="1" applyAlignment="1">
      <alignment vertical="center"/>
    </xf>
    <xf numFmtId="182" fontId="3" fillId="2" borderId="28" xfId="20" applyNumberFormat="1" applyFont="1" applyFill="1" applyBorder="1" applyAlignment="1">
      <alignment vertical="center"/>
    </xf>
    <xf numFmtId="44" fontId="0" fillId="2" borderId="31" xfId="20" applyFill="1" applyBorder="1" applyAlignment="1">
      <alignment vertical="center"/>
    </xf>
    <xf numFmtId="182" fontId="0" fillId="2" borderId="35" xfId="20" applyNumberFormat="1" applyFill="1" applyBorder="1" applyAlignment="1">
      <alignment vertical="center"/>
    </xf>
    <xf numFmtId="44" fontId="0" fillId="2" borderId="37" xfId="20" applyFill="1" applyBorder="1" applyAlignment="1">
      <alignment vertical="center"/>
    </xf>
    <xf numFmtId="44" fontId="3" fillId="5" borderId="6" xfId="20" applyFont="1" applyFill="1" applyBorder="1" applyAlignment="1">
      <alignment/>
    </xf>
    <xf numFmtId="3" fontId="0" fillId="2" borderId="40" xfId="0" applyNumberFormat="1" applyFill="1" applyBorder="1" applyAlignment="1">
      <alignment vertical="center"/>
    </xf>
    <xf numFmtId="182" fontId="0" fillId="2" borderId="40" xfId="20" applyNumberFormat="1" applyFill="1" applyBorder="1" applyAlignment="1">
      <alignment vertical="center"/>
    </xf>
    <xf numFmtId="44" fontId="0" fillId="2" borderId="41" xfId="20" applyFill="1" applyBorder="1" applyAlignment="1">
      <alignment vertical="center"/>
    </xf>
    <xf numFmtId="172" fontId="0" fillId="2" borderId="0" xfId="0" applyNumberFormat="1" applyFill="1" applyAlignment="1">
      <alignment/>
    </xf>
    <xf numFmtId="0" fontId="47" fillId="2" borderId="0" xfId="0" applyFont="1" applyFill="1" applyAlignment="1">
      <alignment/>
    </xf>
    <xf numFmtId="44" fontId="47" fillId="2" borderId="0" xfId="20" applyFont="1" applyFill="1" applyAlignment="1">
      <alignment/>
    </xf>
    <xf numFmtId="182" fontId="47" fillId="2" borderId="0" xfId="20" applyNumberFormat="1" applyFont="1" applyFill="1" applyAlignment="1">
      <alignment/>
    </xf>
    <xf numFmtId="10" fontId="47" fillId="2" borderId="0" xfId="0" applyNumberFormat="1" applyFont="1" applyFill="1" applyAlignment="1">
      <alignment/>
    </xf>
    <xf numFmtId="177" fontId="3" fillId="2" borderId="28" xfId="20" applyNumberFormat="1" applyFont="1" applyFill="1" applyBorder="1" applyAlignment="1">
      <alignment vertical="center"/>
    </xf>
    <xf numFmtId="0" fontId="0" fillId="2" borderId="12" xfId="0" applyFill="1" applyBorder="1" applyAlignment="1">
      <alignment wrapText="1"/>
    </xf>
    <xf numFmtId="172" fontId="0" fillId="2" borderId="12" xfId="0" applyNumberFormat="1" applyFill="1" applyBorder="1" applyAlignment="1">
      <alignment/>
    </xf>
    <xf numFmtId="182" fontId="0" fillId="2" borderId="12" xfId="20" applyNumberFormat="1" applyFill="1" applyBorder="1" applyAlignment="1">
      <alignment/>
    </xf>
    <xf numFmtId="0" fontId="0" fillId="2" borderId="0" xfId="0" applyFill="1" applyBorder="1" applyAlignment="1">
      <alignment wrapText="1"/>
    </xf>
    <xf numFmtId="183" fontId="0" fillId="2" borderId="0" xfId="0" applyNumberFormat="1" applyFill="1" applyBorder="1" applyAlignment="1">
      <alignment/>
    </xf>
    <xf numFmtId="172" fontId="0" fillId="2" borderId="0" xfId="0" applyNumberFormat="1" applyFill="1" applyBorder="1" applyAlignment="1">
      <alignment/>
    </xf>
    <xf numFmtId="182" fontId="0" fillId="2" borderId="0" xfId="20" applyNumberFormat="1" applyFill="1" applyBorder="1" applyAlignment="1">
      <alignment/>
    </xf>
    <xf numFmtId="0" fontId="8" fillId="2" borderId="0" xfId="0" applyFont="1" applyFill="1" applyBorder="1" applyAlignment="1">
      <alignment/>
    </xf>
    <xf numFmtId="2" fontId="0" fillId="2" borderId="0" xfId="0" applyNumberFormat="1" applyFill="1" applyBorder="1" applyAlignment="1">
      <alignment/>
    </xf>
    <xf numFmtId="10" fontId="3" fillId="5" borderId="8" xfId="0" applyNumberFormat="1" applyFont="1" applyFill="1" applyBorder="1" applyAlignment="1">
      <alignment/>
    </xf>
    <xf numFmtId="10" fontId="0" fillId="2" borderId="13" xfId="0" applyNumberFormat="1" applyFill="1" applyBorder="1" applyAlignment="1">
      <alignment/>
    </xf>
    <xf numFmtId="4" fontId="0" fillId="2" borderId="27" xfId="0" applyNumberFormat="1" applyFill="1" applyBorder="1" applyAlignment="1">
      <alignment vertical="center"/>
    </xf>
    <xf numFmtId="44" fontId="0" fillId="2" borderId="3" xfId="18" applyFill="1" applyBorder="1" applyAlignment="1">
      <alignment/>
    </xf>
    <xf numFmtId="44" fontId="0" fillId="4" borderId="3" xfId="18" applyFill="1" applyBorder="1" applyAlignment="1">
      <alignment/>
    </xf>
    <xf numFmtId="44" fontId="0" fillId="2" borderId="0" xfId="18" applyFill="1" applyBorder="1" applyAlignment="1">
      <alignment/>
    </xf>
    <xf numFmtId="37" fontId="0" fillId="4" borderId="0" xfId="18" applyNumberFormat="1" applyFont="1" applyFill="1" applyBorder="1" applyAlignment="1">
      <alignment horizontal="right"/>
    </xf>
    <xf numFmtId="184" fontId="0" fillId="2" borderId="0" xfId="18" applyNumberFormat="1" applyFill="1" applyBorder="1" applyAlignment="1">
      <alignment horizontal="right"/>
    </xf>
    <xf numFmtId="44" fontId="0" fillId="2" borderId="10" xfId="18" applyFill="1" applyBorder="1" applyAlignment="1">
      <alignment/>
    </xf>
    <xf numFmtId="7" fontId="0" fillId="2" borderId="0" xfId="18" applyNumberFormat="1" applyFill="1" applyAlignment="1">
      <alignment/>
    </xf>
    <xf numFmtId="37" fontId="0" fillId="4" borderId="0" xfId="18" applyNumberFormat="1" applyFill="1" applyBorder="1" applyAlignment="1">
      <alignment/>
    </xf>
    <xf numFmtId="37" fontId="0" fillId="2" borderId="0" xfId="18" applyNumberFormat="1" applyFont="1" applyFill="1" applyAlignment="1">
      <alignment horizontal="center"/>
    </xf>
    <xf numFmtId="7" fontId="0" fillId="2" borderId="0" xfId="18" applyNumberFormat="1" applyFill="1" applyBorder="1" applyAlignment="1">
      <alignment/>
    </xf>
    <xf numFmtId="37" fontId="0" fillId="4" borderId="3" xfId="18" applyNumberFormat="1" applyFill="1" applyBorder="1" applyAlignment="1">
      <alignment/>
    </xf>
    <xf numFmtId="37" fontId="0" fillId="4" borderId="3" xfId="18" applyNumberFormat="1" applyFont="1" applyFill="1" applyBorder="1" applyAlignment="1">
      <alignment horizontal="right"/>
    </xf>
    <xf numFmtId="184" fontId="0" fillId="2" borderId="3" xfId="18" applyNumberFormat="1" applyFill="1" applyBorder="1" applyAlignment="1">
      <alignment horizontal="right"/>
    </xf>
    <xf numFmtId="173" fontId="0" fillId="2" borderId="0" xfId="15" applyNumberFormat="1" applyFill="1" applyBorder="1" applyAlignment="1">
      <alignment/>
    </xf>
    <xf numFmtId="43" fontId="0" fillId="2" borderId="0" xfId="15" applyFill="1" applyBorder="1" applyAlignment="1">
      <alignment/>
    </xf>
    <xf numFmtId="44" fontId="0" fillId="2" borderId="0" xfId="18" applyFill="1" applyBorder="1" applyAlignment="1">
      <alignment horizontal="right"/>
    </xf>
    <xf numFmtId="43" fontId="0" fillId="2" borderId="0" xfId="18" applyNumberFormat="1" applyFill="1" applyAlignment="1">
      <alignment/>
    </xf>
    <xf numFmtId="175" fontId="0" fillId="2" borderId="0" xfId="18" applyNumberFormat="1" applyFill="1" applyAlignment="1">
      <alignment/>
    </xf>
    <xf numFmtId="0" fontId="3" fillId="2" borderId="0" xfId="0" applyFont="1" applyFill="1" applyBorder="1" applyAlignment="1">
      <alignment horizontal="right" vertical="center" wrapText="1"/>
    </xf>
    <xf numFmtId="10" fontId="0" fillId="2" borderId="0" xfId="18" applyNumberFormat="1" applyFill="1" applyBorder="1" applyAlignment="1">
      <alignment horizontal="right"/>
    </xf>
    <xf numFmtId="10" fontId="0" fillId="2" borderId="3" xfId="18" applyNumberFormat="1" applyFill="1" applyBorder="1" applyAlignment="1">
      <alignment horizontal="right"/>
    </xf>
    <xf numFmtId="0" fontId="3" fillId="2" borderId="12" xfId="0" applyFont="1" applyFill="1" applyBorder="1" applyAlignment="1">
      <alignment horizontal="center" wrapText="1"/>
    </xf>
    <xf numFmtId="0" fontId="0" fillId="2" borderId="0" xfId="0" applyFont="1" applyFill="1" applyAlignment="1">
      <alignment horizontal="center"/>
    </xf>
    <xf numFmtId="44" fontId="0" fillId="2" borderId="0" xfId="0" applyNumberFormat="1" applyFont="1" applyFill="1" applyAlignment="1">
      <alignment/>
    </xf>
    <xf numFmtId="9" fontId="0" fillId="2" borderId="0" xfId="0" applyNumberFormat="1" applyFont="1" applyFill="1" applyAlignment="1">
      <alignment horizontal="center"/>
    </xf>
    <xf numFmtId="166" fontId="0" fillId="2" borderId="0" xfId="0" applyNumberFormat="1" applyFont="1" applyFill="1" applyAlignment="1">
      <alignment horizontal="center" wrapText="1"/>
    </xf>
    <xf numFmtId="188" fontId="0" fillId="2" borderId="0" xfId="0" applyNumberFormat="1" applyFont="1" applyFill="1" applyAlignment="1">
      <alignment horizontal="center" wrapText="1"/>
    </xf>
    <xf numFmtId="189" fontId="0" fillId="2" borderId="0" xfId="0" applyNumberFormat="1" applyFont="1" applyFill="1" applyAlignment="1">
      <alignment horizontal="center" wrapText="1"/>
    </xf>
    <xf numFmtId="0" fontId="0" fillId="2" borderId="0" xfId="0" applyFont="1" applyFill="1" applyAlignment="1">
      <alignment horizontal="center" wrapText="1"/>
    </xf>
    <xf numFmtId="0" fontId="0" fillId="2" borderId="3" xfId="0" applyFont="1" applyFill="1" applyBorder="1" applyAlignment="1">
      <alignment horizontal="center"/>
    </xf>
    <xf numFmtId="9" fontId="0" fillId="2" borderId="3" xfId="0" applyNumberFormat="1" applyFont="1" applyFill="1" applyBorder="1" applyAlignment="1">
      <alignment horizontal="center"/>
    </xf>
    <xf numFmtId="166" fontId="0" fillId="2" borderId="3" xfId="0" applyNumberFormat="1" applyFont="1" applyFill="1" applyBorder="1" applyAlignment="1">
      <alignment horizontal="center" wrapText="1"/>
    </xf>
    <xf numFmtId="188" fontId="0" fillId="2" borderId="3" xfId="0" applyNumberFormat="1" applyFont="1" applyFill="1" applyBorder="1" applyAlignment="1">
      <alignment horizontal="center" wrapText="1"/>
    </xf>
    <xf numFmtId="0" fontId="0" fillId="2" borderId="3" xfId="0" applyFont="1" applyFill="1" applyBorder="1" applyAlignment="1">
      <alignment horizontal="center" wrapText="1"/>
    </xf>
    <xf numFmtId="44" fontId="0" fillId="2" borderId="3" xfId="18" applyFont="1" applyFill="1" applyBorder="1" applyAlignment="1">
      <alignment/>
    </xf>
    <xf numFmtId="0" fontId="0" fillId="2" borderId="0" xfId="0" applyFont="1" applyFill="1" applyBorder="1" applyAlignment="1">
      <alignment/>
    </xf>
    <xf numFmtId="44" fontId="0" fillId="2" borderId="0" xfId="18" applyFont="1" applyFill="1" applyBorder="1" applyAlignment="1">
      <alignment/>
    </xf>
    <xf numFmtId="179" fontId="0" fillId="2" borderId="0" xfId="18" applyNumberFormat="1" applyFont="1" applyFill="1" applyBorder="1" applyAlignment="1">
      <alignment/>
    </xf>
    <xf numFmtId="178" fontId="0" fillId="2" borderId="0" xfId="0" applyNumberFormat="1" applyFill="1" applyAlignment="1">
      <alignment/>
    </xf>
    <xf numFmtId="179" fontId="0" fillId="2" borderId="0" xfId="0" applyNumberFormat="1" applyFill="1" applyAlignment="1">
      <alignment/>
    </xf>
    <xf numFmtId="0" fontId="10" fillId="2" borderId="0" xfId="0" applyFont="1" applyFill="1" applyAlignment="1">
      <alignment/>
    </xf>
    <xf numFmtId="0" fontId="2" fillId="2" borderId="9" xfId="0" applyFont="1" applyFill="1" applyBorder="1" applyAlignment="1" applyProtection="1">
      <alignment/>
      <protection locked="0"/>
    </xf>
    <xf numFmtId="0" fontId="2" fillId="2" borderId="11" xfId="0" applyFont="1" applyFill="1" applyBorder="1" applyAlignment="1">
      <alignment/>
    </xf>
    <xf numFmtId="15" fontId="0" fillId="2" borderId="12" xfId="0" applyNumberFormat="1" applyFill="1" applyBorder="1" applyAlignment="1">
      <alignment horizontal="left"/>
    </xf>
    <xf numFmtId="0" fontId="6" fillId="2" borderId="0" xfId="0" applyFont="1" applyFill="1" applyAlignment="1">
      <alignment/>
    </xf>
    <xf numFmtId="176" fontId="5" fillId="2" borderId="0" xfId="0" applyNumberFormat="1" applyFont="1" applyFill="1" applyAlignment="1">
      <alignment/>
    </xf>
    <xf numFmtId="37" fontId="0" fillId="2" borderId="0" xfId="18" applyNumberFormat="1" applyFont="1" applyFill="1" applyBorder="1" applyAlignment="1">
      <alignment horizontal="right"/>
    </xf>
    <xf numFmtId="0" fontId="19" fillId="2" borderId="0" xfId="0" applyFont="1" applyFill="1" applyAlignment="1">
      <alignment/>
    </xf>
    <xf numFmtId="0" fontId="48" fillId="2" borderId="0" xfId="0" applyFont="1" applyFill="1" applyAlignment="1">
      <alignment horizontal="center"/>
    </xf>
    <xf numFmtId="0" fontId="50" fillId="2" borderId="0" xfId="0" applyFont="1" applyFill="1" applyAlignment="1">
      <alignment/>
    </xf>
    <xf numFmtId="0" fontId="25" fillId="2" borderId="0" xfId="0" applyFont="1" applyFill="1" applyAlignment="1">
      <alignment/>
    </xf>
    <xf numFmtId="0" fontId="51" fillId="2" borderId="3" xfId="0" applyFont="1" applyFill="1" applyBorder="1" applyAlignment="1">
      <alignment horizontal="left"/>
    </xf>
    <xf numFmtId="0" fontId="39" fillId="2" borderId="3" xfId="0" applyFont="1" applyFill="1" applyBorder="1" applyAlignment="1" quotePrefix="1">
      <alignment/>
    </xf>
    <xf numFmtId="44" fontId="39" fillId="2" borderId="3" xfId="18" applyFont="1" applyFill="1" applyBorder="1" applyAlignment="1">
      <alignment/>
    </xf>
    <xf numFmtId="0" fontId="39" fillId="2" borderId="3" xfId="0" applyFont="1" applyFill="1" applyBorder="1" applyAlignment="1">
      <alignment/>
    </xf>
    <xf numFmtId="44" fontId="3" fillId="4" borderId="3" xfId="18" applyFont="1" applyFill="1" applyBorder="1" applyAlignment="1">
      <alignment/>
    </xf>
    <xf numFmtId="0" fontId="3" fillId="6" borderId="16" xfId="0" applyFont="1" applyFill="1" applyBorder="1" applyAlignment="1">
      <alignment/>
    </xf>
    <xf numFmtId="3" fontId="3" fillId="6" borderId="17" xfId="15" applyNumberFormat="1" applyFont="1" applyFill="1" applyBorder="1" applyAlignment="1">
      <alignment/>
    </xf>
    <xf numFmtId="10" fontId="3" fillId="6" borderId="17" xfId="15" applyNumberFormat="1" applyFont="1" applyFill="1" applyBorder="1" applyAlignment="1">
      <alignment horizontal="right"/>
    </xf>
    <xf numFmtId="0" fontId="8" fillId="2" borderId="0" xfId="0" applyNumberFormat="1" applyFont="1" applyFill="1" applyBorder="1" applyAlignment="1">
      <alignment horizontal="center"/>
    </xf>
    <xf numFmtId="187" fontId="8" fillId="2" borderId="0" xfId="0" applyNumberFormat="1" applyFont="1" applyFill="1" applyBorder="1" applyAlignment="1">
      <alignment/>
    </xf>
    <xf numFmtId="0" fontId="11" fillId="2" borderId="44" xfId="0" applyFont="1" applyFill="1" applyBorder="1" applyAlignment="1">
      <alignment/>
    </xf>
    <xf numFmtId="0" fontId="8" fillId="2" borderId="45" xfId="0" applyNumberFormat="1" applyFont="1" applyFill="1" applyBorder="1" applyAlignment="1">
      <alignment horizontal="center"/>
    </xf>
    <xf numFmtId="176" fontId="11" fillId="2" borderId="45" xfId="0" applyNumberFormat="1" applyFont="1" applyFill="1" applyBorder="1" applyAlignment="1">
      <alignment/>
    </xf>
    <xf numFmtId="187" fontId="11" fillId="4" borderId="46" xfId="0" applyNumberFormat="1" applyFont="1" applyFill="1" applyBorder="1" applyAlignment="1">
      <alignment/>
    </xf>
    <xf numFmtId="0" fontId="11" fillId="2" borderId="47" xfId="0" applyFont="1" applyFill="1" applyBorder="1" applyAlignment="1">
      <alignment/>
    </xf>
    <xf numFmtId="187" fontId="11" fillId="4" borderId="14" xfId="0" applyNumberFormat="1" applyFont="1" applyFill="1" applyBorder="1" applyAlignment="1">
      <alignment/>
    </xf>
    <xf numFmtId="0" fontId="8" fillId="3" borderId="9" xfId="0" applyFont="1" applyFill="1" applyBorder="1" applyAlignment="1">
      <alignment horizontal="left"/>
    </xf>
    <xf numFmtId="0" fontId="8" fillId="3" borderId="0" xfId="0" applyNumberFormat="1" applyFont="1" applyFill="1" applyBorder="1" applyAlignment="1">
      <alignment horizontal="center"/>
    </xf>
    <xf numFmtId="176" fontId="11" fillId="3" borderId="0" xfId="0" applyNumberFormat="1" applyFont="1" applyFill="1" applyBorder="1" applyAlignment="1">
      <alignment/>
    </xf>
    <xf numFmtId="187" fontId="11" fillId="3" borderId="10" xfId="0" applyNumberFormat="1" applyFont="1" applyFill="1" applyBorder="1" applyAlignment="1">
      <alignment/>
    </xf>
    <xf numFmtId="0" fontId="8" fillId="7" borderId="11" xfId="0" applyFont="1" applyFill="1" applyBorder="1" applyAlignment="1">
      <alignment/>
    </xf>
    <xf numFmtId="0" fontId="8" fillId="7" borderId="12" xfId="0" applyNumberFormat="1" applyFont="1" applyFill="1" applyBorder="1" applyAlignment="1">
      <alignment horizontal="center"/>
    </xf>
    <xf numFmtId="176" fontId="11" fillId="7" borderId="12" xfId="0" applyNumberFormat="1" applyFont="1" applyFill="1" applyBorder="1" applyAlignment="1">
      <alignment/>
    </xf>
    <xf numFmtId="187" fontId="8" fillId="7" borderId="13" xfId="0" applyNumberFormat="1" applyFont="1" applyFill="1" applyBorder="1" applyAlignment="1">
      <alignment/>
    </xf>
    <xf numFmtId="0" fontId="11" fillId="2" borderId="48" xfId="0" applyFont="1" applyFill="1" applyBorder="1" applyAlignment="1">
      <alignment/>
    </xf>
    <xf numFmtId="187" fontId="11" fillId="4" borderId="49" xfId="0" applyNumberFormat="1" applyFont="1" applyFill="1" applyBorder="1" applyAlignment="1">
      <alignment/>
    </xf>
    <xf numFmtId="0" fontId="26" fillId="2" borderId="48" xfId="0" applyFont="1" applyFill="1" applyBorder="1" applyAlignment="1">
      <alignment horizontal="left" indent="2"/>
    </xf>
    <xf numFmtId="187" fontId="11" fillId="4" borderId="49" xfId="0" applyNumberFormat="1" applyFont="1" applyFill="1" applyBorder="1" applyAlignment="1">
      <alignment horizontal="right"/>
    </xf>
    <xf numFmtId="187" fontId="11" fillId="2" borderId="10" xfId="0" applyNumberFormat="1" applyFont="1" applyFill="1" applyBorder="1" applyAlignment="1">
      <alignment horizontal="right"/>
    </xf>
    <xf numFmtId="0" fontId="8" fillId="2" borderId="50" xfId="0" applyFont="1" applyFill="1" applyBorder="1" applyAlignment="1">
      <alignment/>
    </xf>
    <xf numFmtId="0" fontId="8" fillId="2" borderId="50" xfId="0" applyNumberFormat="1" applyFont="1" applyFill="1" applyBorder="1" applyAlignment="1">
      <alignment/>
    </xf>
    <xf numFmtId="176" fontId="33" fillId="2" borderId="50" xfId="0" applyNumberFormat="1" applyFont="1" applyFill="1" applyBorder="1" applyAlignment="1">
      <alignment/>
    </xf>
    <xf numFmtId="177" fontId="8" fillId="2" borderId="50" xfId="0" applyNumberFormat="1" applyFont="1" applyFill="1" applyBorder="1" applyAlignment="1">
      <alignment/>
    </xf>
    <xf numFmtId="0" fontId="11" fillId="2" borderId="50" xfId="0" applyFont="1" applyFill="1" applyBorder="1" applyAlignment="1">
      <alignment/>
    </xf>
    <xf numFmtId="0" fontId="11" fillId="2" borderId="50" xfId="0" applyNumberFormat="1" applyFont="1" applyFill="1" applyBorder="1" applyAlignment="1">
      <alignment/>
    </xf>
    <xf numFmtId="176" fontId="34" fillId="2" borderId="50" xfId="0" applyNumberFormat="1" applyFont="1" applyFill="1" applyBorder="1" applyAlignment="1">
      <alignment/>
    </xf>
    <xf numFmtId="177" fontId="11" fillId="2" borderId="50" xfId="0" applyNumberFormat="1" applyFont="1" applyFill="1" applyBorder="1" applyAlignment="1">
      <alignment/>
    </xf>
    <xf numFmtId="0" fontId="52" fillId="2" borderId="0" xfId="0" applyFont="1" applyFill="1" applyAlignment="1">
      <alignment/>
    </xf>
    <xf numFmtId="44" fontId="3" fillId="4" borderId="3" xfId="18" applyFont="1" applyFill="1" applyBorder="1" applyAlignment="1">
      <alignment horizontal="center"/>
    </xf>
    <xf numFmtId="0" fontId="8" fillId="2" borderId="2" xfId="0" applyFont="1" applyFill="1" applyBorder="1" applyAlignment="1">
      <alignment horizontal="left"/>
    </xf>
    <xf numFmtId="44" fontId="0" fillId="2" borderId="2" xfId="18" applyFill="1" applyBorder="1" applyAlignment="1">
      <alignment/>
    </xf>
    <xf numFmtId="44" fontId="3" fillId="2" borderId="2" xfId="18" applyFont="1" applyFill="1" applyBorder="1" applyAlignment="1">
      <alignment horizontal="center"/>
    </xf>
    <xf numFmtId="44" fontId="0" fillId="0" borderId="31" xfId="20" applyBorder="1" applyAlignment="1">
      <alignment vertical="center"/>
    </xf>
    <xf numFmtId="0" fontId="0" fillId="2" borderId="51" xfId="0" applyFont="1" applyFill="1" applyBorder="1" applyAlignment="1">
      <alignment horizontal="center" wrapText="1"/>
    </xf>
    <xf numFmtId="183" fontId="0" fillId="0" borderId="40" xfId="0" applyNumberFormat="1" applyBorder="1" applyAlignment="1">
      <alignment vertical="center"/>
    </xf>
    <xf numFmtId="44" fontId="0" fillId="0" borderId="41" xfId="20" applyBorder="1" applyAlignment="1">
      <alignment vertical="center"/>
    </xf>
    <xf numFmtId="0" fontId="2" fillId="2" borderId="0" xfId="0" applyFont="1" applyFill="1" applyBorder="1" applyAlignment="1">
      <alignment/>
    </xf>
    <xf numFmtId="0" fontId="0" fillId="2" borderId="0" xfId="0" applyFont="1" applyFill="1" applyAlignment="1">
      <alignment/>
    </xf>
    <xf numFmtId="0" fontId="11" fillId="2" borderId="0" xfId="0" applyFont="1" applyFill="1" applyBorder="1" applyAlignment="1">
      <alignment/>
    </xf>
    <xf numFmtId="0" fontId="11" fillId="2" borderId="12" xfId="0" applyFont="1" applyFill="1" applyBorder="1" applyAlignment="1">
      <alignment/>
    </xf>
    <xf numFmtId="177" fontId="3" fillId="4" borderId="3" xfId="0" applyNumberFormat="1" applyFont="1" applyFill="1" applyBorder="1" applyAlignment="1">
      <alignment horizontal="right"/>
    </xf>
    <xf numFmtId="37" fontId="0" fillId="2" borderId="3" xfId="18" applyNumberFormat="1" applyFont="1" applyFill="1" applyBorder="1" applyAlignment="1">
      <alignment horizontal="right"/>
    </xf>
    <xf numFmtId="37" fontId="0" fillId="2" borderId="3" xfId="18" applyNumberFormat="1" applyFont="1" applyFill="1" applyBorder="1" applyAlignment="1">
      <alignment horizontal="right"/>
    </xf>
    <xf numFmtId="0" fontId="19" fillId="2" borderId="7" xfId="0" applyFont="1" applyFill="1" applyBorder="1" applyAlignment="1">
      <alignment/>
    </xf>
    <xf numFmtId="0" fontId="19" fillId="2" borderId="0" xfId="0" applyFont="1" applyFill="1" applyBorder="1" applyAlignment="1">
      <alignment/>
    </xf>
    <xf numFmtId="0" fontId="3" fillId="2" borderId="11" xfId="0" applyFont="1" applyFill="1" applyBorder="1" applyAlignment="1">
      <alignment/>
    </xf>
    <xf numFmtId="176" fontId="5" fillId="2" borderId="0" xfId="0" applyNumberFormat="1" applyFont="1" applyFill="1" applyAlignment="1">
      <alignment wrapText="1"/>
    </xf>
    <xf numFmtId="0" fontId="5" fillId="2" borderId="0" xfId="0" applyFont="1" applyFill="1" applyAlignment="1">
      <alignment wrapText="1"/>
    </xf>
    <xf numFmtId="177" fontId="5" fillId="2" borderId="0" xfId="0" applyNumberFormat="1" applyFont="1" applyFill="1" applyAlignment="1">
      <alignment/>
    </xf>
    <xf numFmtId="178" fontId="5" fillId="2" borderId="0" xfId="0" applyNumberFormat="1" applyFont="1" applyFill="1" applyAlignment="1">
      <alignment/>
    </xf>
    <xf numFmtId="176" fontId="5" fillId="2" borderId="0" xfId="0" applyNumberFormat="1" applyFont="1" applyFill="1" applyAlignment="1">
      <alignment horizontal="center"/>
    </xf>
    <xf numFmtId="0" fontId="26" fillId="2" borderId="0" xfId="0" applyFont="1" applyFill="1" applyAlignment="1">
      <alignment horizontal="center"/>
    </xf>
    <xf numFmtId="44" fontId="3" fillId="3" borderId="34" xfId="20" applyFont="1" applyFill="1" applyBorder="1" applyAlignment="1">
      <alignment vertical="center"/>
    </xf>
    <xf numFmtId="44" fontId="0" fillId="0" borderId="37" xfId="20" applyBorder="1" applyAlignment="1">
      <alignment vertical="center"/>
    </xf>
    <xf numFmtId="3" fontId="0" fillId="2" borderId="27" xfId="0" applyNumberFormat="1" applyFill="1" applyBorder="1" applyAlignment="1">
      <alignment/>
    </xf>
    <xf numFmtId="3" fontId="0" fillId="2" borderId="52" xfId="0" applyNumberFormat="1" applyFill="1" applyBorder="1" applyAlignment="1">
      <alignment vertical="center"/>
    </xf>
    <xf numFmtId="0" fontId="0" fillId="6" borderId="0" xfId="0" applyFill="1" applyBorder="1" applyAlignment="1">
      <alignment/>
    </xf>
    <xf numFmtId="0" fontId="1" fillId="2" borderId="0" xfId="0" applyFont="1" applyFill="1" applyBorder="1" applyAlignment="1" applyProtection="1">
      <alignment/>
      <protection locked="0"/>
    </xf>
    <xf numFmtId="187" fontId="0" fillId="2" borderId="0" xfId="18" applyNumberFormat="1" applyFont="1" applyFill="1" applyBorder="1" applyAlignment="1">
      <alignment horizontal="right"/>
    </xf>
    <xf numFmtId="187" fontId="0" fillId="2" borderId="3" xfId="18" applyNumberFormat="1" applyFont="1" applyFill="1" applyBorder="1" applyAlignment="1">
      <alignment horizontal="right"/>
    </xf>
    <xf numFmtId="189" fontId="0" fillId="2" borderId="0" xfId="0" applyNumberFormat="1" applyFill="1" applyAlignment="1">
      <alignment/>
    </xf>
    <xf numFmtId="176" fontId="3" fillId="2" borderId="28" xfId="20" applyNumberFormat="1" applyFont="1" applyFill="1" applyBorder="1" applyAlignment="1">
      <alignment vertical="center"/>
    </xf>
    <xf numFmtId="199" fontId="3" fillId="3" borderId="34" xfId="0" applyNumberFormat="1" applyFont="1" applyFill="1" applyBorder="1" applyAlignment="1">
      <alignment/>
    </xf>
    <xf numFmtId="200" fontId="0" fillId="2" borderId="0" xfId="0" applyNumberFormat="1" applyFill="1" applyAlignment="1">
      <alignment horizontal="center"/>
    </xf>
    <xf numFmtId="44" fontId="3" fillId="3" borderId="3" xfId="18" applyFont="1" applyFill="1" applyBorder="1" applyAlignment="1">
      <alignment/>
    </xf>
    <xf numFmtId="0" fontId="33" fillId="2" borderId="0" xfId="0" applyFont="1" applyFill="1" applyAlignment="1">
      <alignment/>
    </xf>
    <xf numFmtId="0" fontId="19" fillId="2" borderId="12" xfId="0" applyFont="1" applyFill="1" applyBorder="1" applyAlignment="1">
      <alignment/>
    </xf>
    <xf numFmtId="0" fontId="22" fillId="2" borderId="0" xfId="0" applyFont="1" applyFill="1" applyAlignment="1" applyProtection="1">
      <alignment/>
      <protection locked="0"/>
    </xf>
    <xf numFmtId="15" fontId="21" fillId="2" borderId="0" xfId="0" applyNumberFormat="1" applyFont="1" applyFill="1" applyAlignment="1">
      <alignment/>
    </xf>
    <xf numFmtId="0" fontId="53" fillId="2" borderId="0" xfId="0" applyFont="1" applyFill="1" applyAlignment="1">
      <alignment/>
    </xf>
    <xf numFmtId="15" fontId="15" fillId="2" borderId="0" xfId="27" applyNumberFormat="1" applyFont="1" applyFill="1" applyBorder="1" applyAlignment="1">
      <alignment horizontal="left"/>
    </xf>
    <xf numFmtId="0" fontId="2" fillId="2" borderId="0" xfId="0" applyFont="1" applyFill="1" applyBorder="1" applyAlignment="1">
      <alignment horizontal="left"/>
    </xf>
    <xf numFmtId="0" fontId="1" fillId="2" borderId="0" xfId="0" applyFont="1" applyFill="1" applyBorder="1" applyAlignment="1">
      <alignment horizontal="left"/>
    </xf>
    <xf numFmtId="0" fontId="0" fillId="2" borderId="12" xfId="0" applyFill="1" applyBorder="1" applyAlignment="1">
      <alignment horizontal="left"/>
    </xf>
    <xf numFmtId="0" fontId="44" fillId="2" borderId="8" xfId="0" applyFont="1" applyFill="1" applyBorder="1" applyAlignment="1">
      <alignment horizontal="center"/>
    </xf>
    <xf numFmtId="0" fontId="2" fillId="2" borderId="10" xfId="0" applyFont="1" applyFill="1" applyBorder="1" applyAlignment="1">
      <alignment horizontal="right"/>
    </xf>
    <xf numFmtId="187" fontId="0" fillId="4" borderId="0" xfId="18" applyNumberFormat="1" applyFill="1" applyBorder="1" applyAlignment="1">
      <alignment horizontal="right"/>
    </xf>
    <xf numFmtId="187" fontId="0" fillId="4" borderId="0" xfId="18" applyNumberFormat="1" applyFont="1" applyFill="1" applyBorder="1" applyAlignment="1">
      <alignment horizontal="right"/>
    </xf>
    <xf numFmtId="187" fontId="0" fillId="4" borderId="0" xfId="18" applyNumberFormat="1" applyFill="1" applyBorder="1" applyAlignment="1">
      <alignment/>
    </xf>
    <xf numFmtId="187" fontId="0" fillId="4" borderId="3" xfId="18" applyNumberFormat="1" applyFill="1" applyBorder="1" applyAlignment="1">
      <alignment/>
    </xf>
    <xf numFmtId="187" fontId="0" fillId="2" borderId="10" xfId="18" applyNumberFormat="1" applyFill="1" applyBorder="1" applyAlignment="1">
      <alignment/>
    </xf>
    <xf numFmtId="187" fontId="0" fillId="2" borderId="14" xfId="18" applyNumberFormat="1" applyFill="1" applyBorder="1" applyAlignment="1">
      <alignment/>
    </xf>
    <xf numFmtId="187" fontId="0" fillId="2" borderId="3" xfId="0" applyNumberFormat="1" applyFont="1" applyFill="1" applyBorder="1" applyAlignment="1">
      <alignment horizontal="center" wrapText="1"/>
    </xf>
    <xf numFmtId="176" fontId="0" fillId="2" borderId="3" xfId="0" applyNumberFormat="1" applyFont="1" applyFill="1" applyBorder="1" applyAlignment="1">
      <alignment horizontal="center" wrapText="1"/>
    </xf>
    <xf numFmtId="176" fontId="0" fillId="2" borderId="0" xfId="0" applyNumberFormat="1" applyFont="1" applyFill="1" applyAlignment="1">
      <alignment horizontal="center" wrapText="1"/>
    </xf>
    <xf numFmtId="176" fontId="0" fillId="2" borderId="3" xfId="18" applyNumberFormat="1" applyFont="1" applyFill="1" applyBorder="1" applyAlignment="1">
      <alignment/>
    </xf>
    <xf numFmtId="176" fontId="0" fillId="2" borderId="3" xfId="18" applyNumberFormat="1" applyFont="1" applyFill="1" applyBorder="1" applyAlignment="1">
      <alignment horizontal="center"/>
    </xf>
    <xf numFmtId="187" fontId="0" fillId="2" borderId="3" xfId="0" applyNumberFormat="1" applyFont="1" applyFill="1" applyBorder="1" applyAlignment="1">
      <alignment horizontal="center"/>
    </xf>
    <xf numFmtId="187" fontId="0" fillId="4" borderId="3" xfId="18" applyNumberFormat="1" applyFont="1" applyFill="1" applyBorder="1" applyAlignment="1">
      <alignment horizontal="right"/>
    </xf>
    <xf numFmtId="187" fontId="3" fillId="2" borderId="10" xfId="0" applyNumberFormat="1" applyFont="1" applyFill="1" applyBorder="1" applyAlignment="1">
      <alignment/>
    </xf>
    <xf numFmtId="187" fontId="0" fillId="2" borderId="53" xfId="18" applyNumberFormat="1" applyFill="1" applyBorder="1" applyAlignment="1">
      <alignment/>
    </xf>
    <xf numFmtId="187" fontId="3" fillId="2" borderId="0" xfId="15" applyNumberFormat="1" applyFont="1" applyFill="1" applyBorder="1" applyAlignment="1">
      <alignment/>
    </xf>
    <xf numFmtId="202" fontId="0" fillId="2" borderId="3" xfId="0" applyNumberFormat="1" applyFont="1" applyFill="1" applyBorder="1" applyAlignment="1">
      <alignment horizontal="center" wrapText="1"/>
    </xf>
    <xf numFmtId="187" fontId="3" fillId="6" borderId="17" xfId="15" applyNumberFormat="1" applyFont="1" applyFill="1" applyBorder="1" applyAlignment="1">
      <alignment/>
    </xf>
    <xf numFmtId="187" fontId="3" fillId="6" borderId="18" xfId="0" applyNumberFormat="1" applyFont="1" applyFill="1" applyBorder="1" applyAlignment="1">
      <alignment/>
    </xf>
    <xf numFmtId="187" fontId="29" fillId="2" borderId="37" xfId="18" applyNumberFormat="1" applyFont="1" applyFill="1" applyBorder="1" applyAlignment="1">
      <alignment/>
    </xf>
    <xf numFmtId="187" fontId="0" fillId="2" borderId="10" xfId="18" applyNumberFormat="1" applyFill="1" applyBorder="1" applyAlignment="1">
      <alignment/>
    </xf>
    <xf numFmtId="187" fontId="0" fillId="2" borderId="14" xfId="18" applyNumberFormat="1" applyFill="1" applyBorder="1" applyAlignment="1">
      <alignment/>
    </xf>
    <xf numFmtId="187" fontId="0" fillId="2" borderId="53" xfId="18" applyNumberFormat="1" applyFill="1" applyBorder="1" applyAlignment="1">
      <alignment/>
    </xf>
    <xf numFmtId="164" fontId="0" fillId="2" borderId="10" xfId="18" applyNumberFormat="1" applyFill="1" applyBorder="1" applyAlignment="1">
      <alignment/>
    </xf>
    <xf numFmtId="164" fontId="0" fillId="2" borderId="14" xfId="18" applyNumberFormat="1" applyFill="1" applyBorder="1" applyAlignment="1">
      <alignment/>
    </xf>
    <xf numFmtId="164" fontId="3" fillId="2" borderId="10" xfId="0" applyNumberFormat="1" applyFont="1" applyFill="1" applyBorder="1" applyAlignment="1">
      <alignment/>
    </xf>
    <xf numFmtId="164" fontId="0" fillId="2" borderId="53" xfId="18" applyNumberFormat="1" applyFill="1" applyBorder="1" applyAlignment="1">
      <alignment/>
    </xf>
    <xf numFmtId="164" fontId="0" fillId="2" borderId="0" xfId="18" applyNumberFormat="1" applyFont="1" applyFill="1" applyBorder="1" applyAlignment="1">
      <alignment horizontal="right"/>
    </xf>
    <xf numFmtId="164" fontId="0" fillId="2" borderId="3" xfId="18" applyNumberFormat="1" applyFont="1" applyFill="1" applyBorder="1" applyAlignment="1">
      <alignment horizontal="right"/>
    </xf>
    <xf numFmtId="164" fontId="0" fillId="2" borderId="0" xfId="18" applyNumberFormat="1" applyFill="1" applyBorder="1" applyAlignment="1">
      <alignment/>
    </xf>
    <xf numFmtId="164" fontId="3" fillId="2" borderId="0" xfId="15" applyNumberFormat="1" applyFont="1" applyFill="1" applyBorder="1" applyAlignment="1">
      <alignment/>
    </xf>
    <xf numFmtId="176" fontId="11" fillId="4" borderId="20" xfId="0" applyNumberFormat="1" applyFont="1" applyFill="1" applyBorder="1" applyAlignment="1">
      <alignment/>
    </xf>
    <xf numFmtId="176" fontId="11" fillId="4" borderId="42" xfId="0" applyNumberFormat="1" applyFont="1" applyFill="1" applyBorder="1" applyAlignment="1">
      <alignment/>
    </xf>
    <xf numFmtId="176" fontId="0" fillId="0" borderId="35" xfId="0" applyNumberFormat="1" applyFill="1" applyBorder="1" applyAlignment="1">
      <alignment vertical="center"/>
    </xf>
    <xf numFmtId="176" fontId="0" fillId="0" borderId="28" xfId="0" applyNumberFormat="1" applyBorder="1" applyAlignment="1">
      <alignment vertical="center"/>
    </xf>
    <xf numFmtId="176" fontId="0" fillId="2" borderId="35" xfId="20" applyNumberFormat="1" applyFill="1" applyBorder="1" applyAlignment="1">
      <alignment/>
    </xf>
    <xf numFmtId="176" fontId="3" fillId="2" borderId="28" xfId="20" applyNumberFormat="1" applyFont="1" applyFill="1" applyBorder="1" applyAlignment="1">
      <alignment/>
    </xf>
    <xf numFmtId="176" fontId="0" fillId="0" borderId="40" xfId="0" applyNumberFormat="1" applyBorder="1" applyAlignment="1">
      <alignment vertical="center"/>
    </xf>
    <xf numFmtId="176" fontId="0" fillId="2" borderId="35" xfId="20" applyNumberFormat="1" applyFill="1" applyBorder="1" applyAlignment="1">
      <alignment horizontal="right" vertical="center"/>
    </xf>
    <xf numFmtId="176" fontId="0" fillId="0" borderId="28" xfId="0" applyNumberFormat="1" applyBorder="1" applyAlignment="1">
      <alignment horizontal="right" vertical="center"/>
    </xf>
    <xf numFmtId="176" fontId="0" fillId="0" borderId="40" xfId="0" applyNumberFormat="1" applyBorder="1" applyAlignment="1">
      <alignment horizontal="right" vertical="center"/>
    </xf>
    <xf numFmtId="176" fontId="0" fillId="2" borderId="35" xfId="20" applyNumberFormat="1" applyFill="1" applyBorder="1" applyAlignment="1">
      <alignment vertical="center"/>
    </xf>
    <xf numFmtId="176" fontId="0" fillId="2" borderId="40" xfId="20" applyNumberFormat="1" applyFill="1" applyBorder="1" applyAlignment="1">
      <alignment vertical="center"/>
    </xf>
    <xf numFmtId="203" fontId="3" fillId="2" borderId="28" xfId="0" applyNumberFormat="1" applyFont="1" applyFill="1" applyBorder="1" applyAlignment="1">
      <alignment vertical="center"/>
    </xf>
    <xf numFmtId="203" fontId="0" fillId="0" borderId="35" xfId="0" applyNumberFormat="1" applyFill="1" applyBorder="1" applyAlignment="1">
      <alignment vertical="center"/>
    </xf>
    <xf numFmtId="203" fontId="0" fillId="0" borderId="28" xfId="0" applyNumberFormat="1" applyBorder="1" applyAlignment="1">
      <alignment vertical="center"/>
    </xf>
    <xf numFmtId="203" fontId="0" fillId="2" borderId="35" xfId="20" applyNumberFormat="1" applyFill="1" applyBorder="1" applyAlignment="1">
      <alignment/>
    </xf>
    <xf numFmtId="203" fontId="0" fillId="2" borderId="40" xfId="20" applyNumberFormat="1" applyFill="1" applyBorder="1" applyAlignment="1">
      <alignment/>
    </xf>
    <xf numFmtId="203" fontId="3" fillId="2" borderId="28" xfId="20" applyNumberFormat="1" applyFont="1" applyFill="1" applyBorder="1" applyAlignment="1">
      <alignment/>
    </xf>
    <xf numFmtId="203" fontId="3" fillId="2" borderId="28" xfId="20" applyNumberFormat="1" applyFont="1" applyFill="1" applyBorder="1" applyAlignment="1">
      <alignment vertical="center"/>
    </xf>
    <xf numFmtId="203" fontId="0" fillId="2" borderId="35" xfId="20" applyNumberFormat="1" applyFill="1" applyBorder="1" applyAlignment="1">
      <alignment vertical="center"/>
    </xf>
    <xf numFmtId="0" fontId="0" fillId="2" borderId="40" xfId="0" applyFill="1" applyBorder="1" applyAlignment="1">
      <alignment vertical="center"/>
    </xf>
    <xf numFmtId="203" fontId="0" fillId="2" borderId="40" xfId="20" applyNumberFormat="1" applyFill="1" applyBorder="1" applyAlignment="1">
      <alignment vertical="center"/>
    </xf>
    <xf numFmtId="10" fontId="3" fillId="3" borderId="21" xfId="0" applyNumberFormat="1" applyFont="1" applyFill="1" applyBorder="1" applyAlignment="1">
      <alignment/>
    </xf>
    <xf numFmtId="0" fontId="0" fillId="2" borderId="22"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44" fillId="2" borderId="8" xfId="0" applyFont="1" applyFill="1" applyBorder="1" applyAlignment="1">
      <alignment horizontal="right"/>
    </xf>
    <xf numFmtId="0" fontId="5" fillId="2" borderId="0" xfId="0" applyFont="1" applyFill="1" applyBorder="1" applyAlignment="1">
      <alignment horizontal="left"/>
    </xf>
    <xf numFmtId="0" fontId="5" fillId="2" borderId="0" xfId="0" applyFont="1" applyFill="1" applyBorder="1" applyAlignment="1">
      <alignment/>
    </xf>
    <xf numFmtId="15" fontId="5" fillId="2" borderId="12" xfId="0" applyNumberFormat="1" applyFont="1" applyFill="1" applyBorder="1" applyAlignment="1">
      <alignment horizontal="left"/>
    </xf>
    <xf numFmtId="0" fontId="5" fillId="2" borderId="12" xfId="0" applyFont="1" applyFill="1" applyBorder="1" applyAlignment="1">
      <alignment horizontal="left"/>
    </xf>
    <xf numFmtId="0" fontId="5" fillId="2" borderId="10" xfId="0" applyFont="1" applyFill="1" applyBorder="1" applyAlignment="1">
      <alignment/>
    </xf>
    <xf numFmtId="0" fontId="5" fillId="2" borderId="13" xfId="0" applyFont="1" applyFill="1" applyBorder="1" applyAlignment="1">
      <alignment/>
    </xf>
    <xf numFmtId="0" fontId="55" fillId="2" borderId="0" xfId="27" applyNumberFormat="1" applyFont="1" applyFill="1" applyBorder="1" applyAlignment="1">
      <alignment horizontal="left"/>
    </xf>
    <xf numFmtId="0" fontId="5" fillId="2" borderId="13" xfId="0" applyFont="1" applyFill="1" applyBorder="1" applyAlignment="1">
      <alignment horizontal="left"/>
    </xf>
    <xf numFmtId="0" fontId="5" fillId="2" borderId="0" xfId="0" applyFont="1" applyFill="1" applyBorder="1" applyAlignment="1">
      <alignment horizontal="right"/>
    </xf>
    <xf numFmtId="0" fontId="5" fillId="2" borderId="12" xfId="0" applyFont="1" applyFill="1" applyBorder="1" applyAlignment="1">
      <alignment/>
    </xf>
    <xf numFmtId="0" fontId="0" fillId="2" borderId="0" xfId="0" applyFill="1" applyAlignment="1" applyProtection="1">
      <alignment/>
      <protection locked="0"/>
    </xf>
    <xf numFmtId="0" fontId="16" fillId="2" borderId="0" xfId="0" applyFont="1" applyFill="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0" fillId="2" borderId="0" xfId="0" applyFill="1" applyAlignment="1" applyProtection="1">
      <alignment horizontal="right"/>
      <protection locked="0"/>
    </xf>
    <xf numFmtId="0" fontId="22" fillId="2" borderId="0" xfId="0" applyFont="1" applyFill="1" applyAlignment="1" applyProtection="1">
      <alignment vertical="center"/>
      <protection locked="0"/>
    </xf>
    <xf numFmtId="0" fontId="22" fillId="2" borderId="0" xfId="0" applyFont="1" applyFill="1" applyBorder="1" applyAlignment="1" applyProtection="1">
      <alignment horizontal="left" vertical="center"/>
      <protection locked="0"/>
    </xf>
    <xf numFmtId="0" fontId="22" fillId="2" borderId="0" xfId="0" applyFont="1" applyFill="1" applyBorder="1" applyAlignment="1" applyProtection="1">
      <alignment vertical="center"/>
      <protection locked="0"/>
    </xf>
    <xf numFmtId="0" fontId="0" fillId="2" borderId="0" xfId="0" applyFill="1" applyBorder="1" applyAlignment="1" applyProtection="1">
      <alignment/>
      <protection locked="0"/>
    </xf>
    <xf numFmtId="0" fontId="22" fillId="4" borderId="3" xfId="0" applyFont="1" applyFill="1" applyBorder="1" applyAlignment="1" applyProtection="1">
      <alignment horizontal="right" vertical="center"/>
      <protection locked="0"/>
    </xf>
    <xf numFmtId="0" fontId="3" fillId="2" borderId="0" xfId="0" applyFont="1" applyFill="1" applyAlignment="1" applyProtection="1">
      <alignment/>
      <protection locked="0"/>
    </xf>
    <xf numFmtId="0" fontId="2" fillId="2" borderId="0" xfId="0" applyFont="1" applyFill="1" applyAlignment="1" applyProtection="1">
      <alignment horizontal="right"/>
      <protection locked="0"/>
    </xf>
    <xf numFmtId="196" fontId="2" fillId="2" borderId="0" xfId="0" applyNumberFormat="1" applyFont="1" applyFill="1" applyAlignment="1" applyProtection="1">
      <alignment horizontal="left"/>
      <protection locked="0"/>
    </xf>
    <xf numFmtId="196" fontId="44" fillId="2" borderId="0" xfId="0" applyNumberFormat="1" applyFont="1" applyFill="1" applyAlignment="1" applyProtection="1">
      <alignment horizontal="right"/>
      <protection/>
    </xf>
    <xf numFmtId="184" fontId="0" fillId="4" borderId="3" xfId="0" applyNumberFormat="1" applyFont="1" applyFill="1" applyBorder="1" applyAlignment="1">
      <alignment horizontal="center"/>
    </xf>
    <xf numFmtId="37" fontId="0" fillId="4" borderId="0" xfId="18" applyNumberFormat="1" applyFont="1" applyFill="1" applyBorder="1" applyAlignment="1">
      <alignment horizontal="center"/>
    </xf>
    <xf numFmtId="176" fontId="0" fillId="2" borderId="0" xfId="18" applyNumberFormat="1" applyFont="1" applyFill="1" applyBorder="1" applyAlignment="1">
      <alignment/>
    </xf>
    <xf numFmtId="176" fontId="0" fillId="2" borderId="0" xfId="18" applyNumberFormat="1" applyFont="1" applyFill="1" applyBorder="1" applyAlignment="1">
      <alignment horizontal="center"/>
    </xf>
    <xf numFmtId="202" fontId="0" fillId="2" borderId="0" xfId="0" applyNumberFormat="1" applyFont="1" applyFill="1" applyBorder="1" applyAlignment="1">
      <alignment horizontal="center" wrapText="1"/>
    </xf>
    <xf numFmtId="0" fontId="0" fillId="2" borderId="0" xfId="0" applyFont="1" applyFill="1" applyBorder="1" applyAlignment="1">
      <alignment horizontal="center" wrapText="1"/>
    </xf>
    <xf numFmtId="0" fontId="3" fillId="3" borderId="0" xfId="0" applyFont="1" applyFill="1" applyBorder="1" applyAlignment="1">
      <alignment/>
    </xf>
    <xf numFmtId="44" fontId="3" fillId="3" borderId="0" xfId="20" applyFont="1" applyFill="1" applyBorder="1" applyAlignment="1">
      <alignment/>
    </xf>
    <xf numFmtId="0" fontId="3" fillId="3" borderId="0" xfId="0" applyFont="1" applyFill="1" applyBorder="1" applyAlignment="1">
      <alignment horizontal="left"/>
    </xf>
    <xf numFmtId="10" fontId="3" fillId="3" borderId="0" xfId="0" applyNumberFormat="1" applyFont="1" applyFill="1" applyBorder="1" applyAlignment="1">
      <alignment/>
    </xf>
    <xf numFmtId="0" fontId="11" fillId="2" borderId="27" xfId="0" applyFont="1" applyFill="1" applyBorder="1" applyAlignment="1">
      <alignment/>
    </xf>
    <xf numFmtId="0" fontId="11" fillId="0" borderId="27" xfId="0" applyFont="1" applyBorder="1" applyAlignment="1">
      <alignment/>
    </xf>
    <xf numFmtId="44" fontId="0" fillId="4" borderId="27" xfId="18" applyFill="1" applyBorder="1" applyAlignment="1">
      <alignment/>
    </xf>
    <xf numFmtId="187" fontId="0" fillId="3" borderId="0" xfId="0" applyNumberFormat="1" applyFill="1" applyAlignment="1">
      <alignment/>
    </xf>
    <xf numFmtId="187" fontId="11" fillId="8" borderId="46" xfId="0" applyNumberFormat="1" applyFont="1" applyFill="1" applyBorder="1" applyAlignment="1">
      <alignment/>
    </xf>
    <xf numFmtId="187" fontId="11" fillId="8" borderId="14" xfId="0" applyNumberFormat="1" applyFont="1" applyFill="1" applyBorder="1" applyAlignment="1">
      <alignment/>
    </xf>
    <xf numFmtId="0" fontId="0" fillId="0" borderId="0" xfId="0" applyFill="1" applyBorder="1" applyAlignment="1">
      <alignment/>
    </xf>
    <xf numFmtId="0" fontId="52" fillId="0" borderId="0" xfId="0" applyFont="1" applyFill="1" applyBorder="1" applyAlignment="1">
      <alignment/>
    </xf>
    <xf numFmtId="0" fontId="2" fillId="2" borderId="9" xfId="0" applyFont="1" applyFill="1" applyBorder="1" applyAlignment="1">
      <alignment horizontal="left"/>
    </xf>
    <xf numFmtId="0" fontId="2" fillId="2" borderId="6"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2" fillId="2" borderId="9"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 fillId="2" borderId="0" xfId="0" applyFont="1" applyFill="1" applyBorder="1" applyAlignment="1">
      <alignment horizontal="left"/>
    </xf>
    <xf numFmtId="49" fontId="22" fillId="4" borderId="3" xfId="0" applyNumberFormat="1" applyFont="1" applyFill="1" applyBorder="1" applyAlignment="1" applyProtection="1">
      <alignment horizontal="left" vertical="center"/>
      <protection locked="0"/>
    </xf>
    <xf numFmtId="15" fontId="23" fillId="2" borderId="0" xfId="27" applyNumberFormat="1"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indent="2"/>
      <protection locked="0"/>
    </xf>
    <xf numFmtId="0" fontId="14" fillId="4" borderId="3" xfId="27" applyFill="1" applyBorder="1" applyAlignment="1" applyProtection="1">
      <alignment horizontal="left" vertical="center"/>
      <protection locked="0"/>
    </xf>
    <xf numFmtId="0" fontId="17" fillId="2" borderId="0" xfId="0" applyFont="1" applyFill="1" applyAlignment="1" applyProtection="1">
      <alignment horizontal="center" vertical="center"/>
      <protection locked="0"/>
    </xf>
    <xf numFmtId="0" fontId="49" fillId="2" borderId="0" xfId="0" applyFont="1" applyFill="1" applyAlignment="1">
      <alignment horizontal="left" vertical="center" wrapText="1"/>
    </xf>
    <xf numFmtId="0" fontId="54" fillId="2" borderId="7" xfId="0" applyFont="1" applyFill="1" applyBorder="1" applyAlignment="1">
      <alignment horizontal="left" vertical="center"/>
    </xf>
    <xf numFmtId="0" fontId="21" fillId="2" borderId="0" xfId="0" applyFont="1" applyFill="1" applyBorder="1" applyAlignment="1">
      <alignment horizontal="right"/>
    </xf>
    <xf numFmtId="0" fontId="21" fillId="2" borderId="54" xfId="0" applyFont="1" applyFill="1" applyBorder="1" applyAlignment="1">
      <alignment horizontal="right"/>
    </xf>
    <xf numFmtId="0" fontId="8" fillId="2" borderId="3" xfId="0" applyFont="1" applyFill="1" applyBorder="1" applyAlignment="1">
      <alignment horizontal="left"/>
    </xf>
    <xf numFmtId="0" fontId="2" fillId="2" borderId="11" xfId="0" applyFont="1" applyFill="1" applyBorder="1" applyAlignment="1">
      <alignment horizontal="left"/>
    </xf>
    <xf numFmtId="0" fontId="2" fillId="2" borderId="12" xfId="0" applyFont="1" applyFill="1" applyBorder="1" applyAlignment="1">
      <alignment horizontal="left"/>
    </xf>
    <xf numFmtId="0" fontId="18" fillId="2" borderId="0" xfId="0" applyFont="1" applyFill="1" applyBorder="1" applyAlignment="1">
      <alignment horizontal="right"/>
    </xf>
    <xf numFmtId="0" fontId="18" fillId="2" borderId="54" xfId="0" applyFont="1" applyFill="1" applyBorder="1" applyAlignment="1">
      <alignment horizontal="right"/>
    </xf>
    <xf numFmtId="0" fontId="2" fillId="2" borderId="0" xfId="0" applyFont="1" applyFill="1" applyBorder="1" applyAlignment="1">
      <alignment horizontal="right"/>
    </xf>
    <xf numFmtId="0" fontId="2" fillId="2" borderId="10" xfId="0" applyFont="1" applyFill="1" applyBorder="1" applyAlignment="1">
      <alignment horizontal="right"/>
    </xf>
    <xf numFmtId="0" fontId="10" fillId="2" borderId="0" xfId="0" applyFont="1" applyFill="1" applyAlignment="1">
      <alignment horizontal="left"/>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8" fillId="2" borderId="47" xfId="0" applyFont="1" applyFill="1" applyBorder="1" applyAlignment="1">
      <alignment horizontal="left"/>
    </xf>
    <xf numFmtId="0" fontId="28" fillId="9" borderId="0" xfId="0" applyFont="1" applyFill="1" applyAlignment="1">
      <alignment horizontal="center"/>
    </xf>
    <xf numFmtId="0" fontId="8" fillId="2" borderId="47" xfId="0" applyFont="1" applyFill="1" applyBorder="1" applyAlignment="1">
      <alignment horizontal="left" wrapText="1"/>
    </xf>
    <xf numFmtId="0" fontId="8" fillId="2" borderId="3" xfId="0" applyFont="1" applyFill="1" applyBorder="1" applyAlignment="1">
      <alignment horizontal="left" wrapText="1"/>
    </xf>
    <xf numFmtId="0" fontId="44" fillId="2" borderId="0" xfId="0" applyFont="1" applyFill="1" applyAlignment="1">
      <alignment horizontal="left" vertical="center" wrapText="1"/>
    </xf>
    <xf numFmtId="0" fontId="2" fillId="2" borderId="10" xfId="0" applyFont="1" applyFill="1" applyBorder="1" applyAlignment="1">
      <alignment horizontal="left"/>
    </xf>
    <xf numFmtId="0" fontId="25" fillId="2" borderId="0" xfId="0" applyFont="1" applyFill="1" applyAlignment="1">
      <alignment horizontal="center" wrapText="1"/>
    </xf>
    <xf numFmtId="0" fontId="25" fillId="2" borderId="3" xfId="0" applyFont="1" applyFill="1" applyBorder="1" applyAlignment="1">
      <alignment horizontal="center" wrapText="1"/>
    </xf>
    <xf numFmtId="0" fontId="25" fillId="2" borderId="0" xfId="0" applyFont="1" applyFill="1" applyBorder="1" applyAlignment="1">
      <alignment horizontal="left" vertical="center"/>
    </xf>
    <xf numFmtId="0" fontId="25" fillId="2" borderId="3" xfId="0" applyFont="1" applyFill="1" applyBorder="1" applyAlignment="1">
      <alignment horizontal="left" vertical="center"/>
    </xf>
    <xf numFmtId="0" fontId="2" fillId="2" borderId="9" xfId="0" applyFont="1" applyFill="1" applyBorder="1" applyAlignment="1" applyProtection="1">
      <alignment/>
      <protection locked="0"/>
    </xf>
    <xf numFmtId="0" fontId="0" fillId="0" borderId="0" xfId="0" applyAlignment="1">
      <alignment/>
    </xf>
    <xf numFmtId="0" fontId="2" fillId="2" borderId="11" xfId="0" applyFont="1" applyFill="1" applyBorder="1" applyAlignment="1">
      <alignment/>
    </xf>
    <xf numFmtId="0" fontId="0" fillId="2" borderId="12" xfId="0" applyFont="1" applyFill="1" applyBorder="1" applyAlignment="1">
      <alignment/>
    </xf>
    <xf numFmtId="0" fontId="0" fillId="0" borderId="12" xfId="0" applyBorder="1" applyAlignment="1">
      <alignment/>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6" xfId="0" applyFont="1" applyFill="1" applyBorder="1" applyAlignment="1">
      <alignment horizontal="left" vertical="center"/>
    </xf>
    <xf numFmtId="0" fontId="22" fillId="2" borderId="9" xfId="0" applyFont="1" applyFill="1" applyBorder="1" applyAlignment="1">
      <alignment horizontal="left" vertical="center"/>
    </xf>
    <xf numFmtId="0" fontId="22" fillId="2" borderId="11" xfId="0" applyFont="1" applyFill="1" applyBorder="1" applyAlignment="1">
      <alignment horizontal="left" vertical="center"/>
    </xf>
    <xf numFmtId="0" fontId="51" fillId="2" borderId="0" xfId="0" applyFont="1" applyFill="1" applyAlignment="1">
      <alignment horizontal="left" vertical="center" wrapText="1"/>
    </xf>
    <xf numFmtId="0" fontId="2" fillId="2" borderId="6" xfId="0" applyFont="1" applyFill="1" applyBorder="1" applyAlignment="1" applyProtection="1">
      <alignment/>
      <protection locked="0"/>
    </xf>
    <xf numFmtId="0" fontId="0" fillId="2" borderId="7" xfId="0" applyFont="1" applyFill="1" applyBorder="1" applyAlignment="1">
      <alignment/>
    </xf>
    <xf numFmtId="0" fontId="0" fillId="0" borderId="7" xfId="0" applyBorder="1" applyAlignment="1">
      <alignment/>
    </xf>
    <xf numFmtId="0" fontId="0" fillId="2" borderId="0" xfId="0" applyFont="1" applyFill="1" applyBorder="1" applyAlignment="1">
      <alignment/>
    </xf>
    <xf numFmtId="0" fontId="0" fillId="0" borderId="0" xfId="0" applyBorder="1" applyAlignment="1">
      <alignment/>
    </xf>
    <xf numFmtId="0" fontId="2" fillId="2" borderId="9" xfId="0" applyFont="1" applyFill="1" applyBorder="1" applyAlignment="1">
      <alignment/>
    </xf>
    <xf numFmtId="0" fontId="2" fillId="2" borderId="0" xfId="0" applyFont="1" applyFill="1" applyAlignment="1">
      <alignment horizontal="center"/>
    </xf>
    <xf numFmtId="0" fontId="26" fillId="2" borderId="0" xfId="0" applyFont="1" applyFill="1" applyAlignment="1">
      <alignment horizontal="center"/>
    </xf>
    <xf numFmtId="0" fontId="25" fillId="2" borderId="0" xfId="0" applyFont="1" applyFill="1" applyAlignment="1">
      <alignment horizontal="left" vertical="center" wrapText="1"/>
    </xf>
    <xf numFmtId="0" fontId="44" fillId="2" borderId="7" xfId="0" applyFont="1" applyFill="1" applyBorder="1" applyAlignment="1">
      <alignment horizontal="right"/>
    </xf>
    <xf numFmtId="0" fontId="44" fillId="2" borderId="8" xfId="0" applyFont="1" applyFill="1" applyBorder="1" applyAlignment="1">
      <alignment horizontal="right"/>
    </xf>
    <xf numFmtId="0" fontId="42" fillId="2" borderId="0" xfId="0" applyFont="1" applyFill="1" applyAlignment="1">
      <alignment horizontal="left"/>
    </xf>
    <xf numFmtId="0" fontId="2" fillId="6" borderId="0" xfId="0" applyFont="1" applyFill="1" applyBorder="1" applyAlignment="1">
      <alignment horizontal="center"/>
    </xf>
    <xf numFmtId="0" fontId="5" fillId="0" borderId="12" xfId="0" applyFont="1" applyBorder="1" applyAlignment="1">
      <alignment/>
    </xf>
    <xf numFmtId="0" fontId="5" fillId="0" borderId="0" xfId="0" applyFont="1" applyBorder="1" applyAlignment="1">
      <alignment/>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10"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wrapText="1"/>
    </xf>
    <xf numFmtId="0" fontId="3" fillId="2" borderId="52" xfId="0" applyFont="1" applyFill="1" applyBorder="1" applyAlignment="1">
      <alignment horizontal="center" vertical="center" wrapText="1"/>
    </xf>
    <xf numFmtId="2" fontId="3" fillId="2" borderId="58" xfId="0" applyNumberFormat="1" applyFont="1" applyFill="1" applyBorder="1" applyAlignment="1">
      <alignment horizontal="center" vertical="center" wrapText="1"/>
    </xf>
    <xf numFmtId="2" fontId="3" fillId="2" borderId="59" xfId="0" applyNumberFormat="1" applyFont="1" applyFill="1" applyBorder="1" applyAlignment="1">
      <alignment horizontal="center" vertical="center" wrapText="1"/>
    </xf>
    <xf numFmtId="0" fontId="0" fillId="2" borderId="60" xfId="0" applyFill="1" applyBorder="1" applyAlignment="1">
      <alignment horizontal="center"/>
    </xf>
    <xf numFmtId="0" fontId="0" fillId="2" borderId="54" xfId="0" applyFill="1" applyBorder="1" applyAlignment="1">
      <alignment horizontal="center"/>
    </xf>
    <xf numFmtId="0" fontId="0" fillId="2" borderId="48"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0" xfId="0" applyFont="1" applyFill="1" applyBorder="1" applyAlignment="1">
      <alignment horizontal="center" wrapText="1"/>
    </xf>
    <xf numFmtId="0" fontId="0" fillId="2" borderId="61" xfId="0" applyFont="1" applyFill="1" applyBorder="1" applyAlignment="1">
      <alignment horizontal="center" wrapText="1"/>
    </xf>
    <xf numFmtId="0" fontId="0" fillId="2" borderId="16" xfId="0" applyFill="1" applyBorder="1" applyAlignment="1">
      <alignment horizontal="center" wrapText="1"/>
    </xf>
    <xf numFmtId="0" fontId="0" fillId="2" borderId="17" xfId="0" applyFill="1" applyBorder="1" applyAlignment="1">
      <alignment horizontal="center" wrapText="1"/>
    </xf>
    <xf numFmtId="0" fontId="0" fillId="2" borderId="18" xfId="0" applyFill="1" applyBorder="1" applyAlignment="1">
      <alignment horizontal="center" wrapText="1"/>
    </xf>
    <xf numFmtId="0" fontId="3" fillId="2" borderId="62" xfId="0" applyFont="1" applyFill="1" applyBorder="1" applyAlignment="1">
      <alignment horizontal="center" vertical="center"/>
    </xf>
    <xf numFmtId="0" fontId="3" fillId="2" borderId="6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42" xfId="0" applyFont="1" applyFill="1" applyBorder="1" applyAlignment="1">
      <alignment horizontal="center" vertical="center" wrapText="1"/>
    </xf>
    <xf numFmtId="10" fontId="3" fillId="2" borderId="19" xfId="0" applyNumberFormat="1" applyFont="1" applyFill="1" applyBorder="1" applyAlignment="1">
      <alignment horizontal="center" vertical="center" wrapText="1"/>
    </xf>
    <xf numFmtId="10" fontId="3" fillId="2" borderId="42" xfId="0" applyNumberFormat="1" applyFont="1" applyFill="1" applyBorder="1" applyAlignment="1">
      <alignment horizontal="center" vertical="center" wrapText="1"/>
    </xf>
    <xf numFmtId="0" fontId="3" fillId="3" borderId="17" xfId="0" applyFont="1" applyFill="1" applyBorder="1" applyAlignment="1">
      <alignment horizontal="left"/>
    </xf>
    <xf numFmtId="44" fontId="0" fillId="2" borderId="6" xfId="20" applyFill="1" applyBorder="1" applyAlignment="1">
      <alignment horizontal="center"/>
    </xf>
    <xf numFmtId="44" fontId="0" fillId="2" borderId="8" xfId="20" applyFill="1" applyBorder="1" applyAlignment="1">
      <alignment horizontal="center"/>
    </xf>
    <xf numFmtId="44" fontId="0" fillId="2" borderId="11" xfId="20" applyFill="1" applyBorder="1" applyAlignment="1">
      <alignment horizontal="center"/>
    </xf>
    <xf numFmtId="44" fontId="0" fillId="2" borderId="13" xfId="20" applyFill="1" applyBorder="1" applyAlignment="1">
      <alignment horizontal="center"/>
    </xf>
    <xf numFmtId="44" fontId="0" fillId="2" borderId="9" xfId="20" applyFill="1" applyBorder="1" applyAlignment="1">
      <alignment horizontal="center"/>
    </xf>
    <xf numFmtId="44" fontId="0" fillId="2" borderId="10" xfId="20" applyFill="1" applyBorder="1" applyAlignment="1">
      <alignment horizontal="center"/>
    </xf>
    <xf numFmtId="0" fontId="0" fillId="2" borderId="48" xfId="0" applyFont="1" applyFill="1" applyBorder="1" applyAlignment="1">
      <alignment horizontal="center" wrapText="1"/>
    </xf>
    <xf numFmtId="0" fontId="0" fillId="2" borderId="4" xfId="0" applyFont="1" applyFill="1" applyBorder="1" applyAlignment="1">
      <alignment horizontal="center" wrapText="1"/>
    </xf>
    <xf numFmtId="0" fontId="0" fillId="2" borderId="49" xfId="0" applyFont="1" applyFill="1" applyBorder="1" applyAlignment="1">
      <alignment horizontal="center" wrapText="1"/>
    </xf>
    <xf numFmtId="0" fontId="0" fillId="2" borderId="8" xfId="0" applyFill="1" applyBorder="1" applyAlignment="1">
      <alignment horizontal="center"/>
    </xf>
    <xf numFmtId="0" fontId="0" fillId="2" borderId="13" xfId="0" applyFill="1" applyBorder="1" applyAlignment="1">
      <alignment horizontal="center"/>
    </xf>
    <xf numFmtId="0" fontId="0" fillId="2" borderId="26" xfId="0" applyFont="1" applyFill="1" applyBorder="1" applyAlignment="1">
      <alignment horizontal="center" wrapText="1"/>
    </xf>
    <xf numFmtId="0" fontId="43" fillId="2" borderId="0" xfId="0" applyFont="1" applyFill="1" applyAlignment="1">
      <alignment horizontal="left"/>
    </xf>
  </cellXfs>
  <cellStyles count="16">
    <cellStyle name="Normal" xfId="0"/>
    <cellStyle name="Comma" xfId="15"/>
    <cellStyle name="Comma [0]" xfId="16"/>
    <cellStyle name="Comma0" xfId="17"/>
    <cellStyle name="Currency" xfId="18"/>
    <cellStyle name="Currency [0]" xfId="19"/>
    <cellStyle name="Currency_Final - 2004 RAM for rate schedule - milton" xfId="20"/>
    <cellStyle name="Currency0" xfId="21"/>
    <cellStyle name="Date" xfId="22"/>
    <cellStyle name="Fixed" xfId="23"/>
    <cellStyle name="Followed Hyperlink" xfId="24"/>
    <cellStyle name="Heading 1" xfId="25"/>
    <cellStyle name="Heading 2" xfId="26"/>
    <cellStyle name="Hyperlink" xfId="27"/>
    <cellStyle name="Percent" xfId="28"/>
    <cellStyle name="Total" xfId="29"/>
  </cellStyles>
  <dxfs count="2">
    <dxf>
      <fill>
        <patternFill>
          <bgColor rgb="FFFFFF00"/>
        </patternFill>
      </fill>
      <border/>
    </dxf>
    <dxf>
      <font>
        <b/>
        <i val="0"/>
        <color rgb="FF0000FF"/>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78</xdr:row>
      <xdr:rowOff>123825</xdr:rowOff>
    </xdr:from>
    <xdr:to>
      <xdr:col>3</xdr:col>
      <xdr:colOff>1028700</xdr:colOff>
      <xdr:row>80</xdr:row>
      <xdr:rowOff>152400</xdr:rowOff>
    </xdr:to>
    <xdr:sp>
      <xdr:nvSpPr>
        <xdr:cNvPr id="1" name="TextBox 13"/>
        <xdr:cNvSpPr txBox="1">
          <a:spLocks noChangeArrowheads="1"/>
        </xdr:cNvSpPr>
      </xdr:nvSpPr>
      <xdr:spPr>
        <a:xfrm>
          <a:off x="5657850" y="15601950"/>
          <a:ext cx="1028700" cy="371475"/>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Check Box
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ren@penwest.on.c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zoomScale="50" zoomScaleNormal="50" workbookViewId="0" topLeftCell="A1">
      <pane xSplit="12" ySplit="28" topLeftCell="M38" activePane="bottomRight" state="frozen"/>
      <selection pane="topLeft" activeCell="A1" sqref="A1"/>
      <selection pane="topRight" activeCell="M1" sqref="M1"/>
      <selection pane="bottomLeft" activeCell="A29" sqref="A29"/>
      <selection pane="bottomRight" activeCell="N26" sqref="N25:N26"/>
    </sheetView>
  </sheetViews>
  <sheetFormatPr defaultColWidth="9.140625" defaultRowHeight="12.75"/>
  <cols>
    <col min="1" max="1" width="20.57421875" style="471" bestFit="1" customWidth="1"/>
    <col min="2" max="3" width="15.7109375" style="471" customWidth="1"/>
    <col min="4" max="16384" width="9.140625" style="471" customWidth="1"/>
  </cols>
  <sheetData>
    <row r="1" spans="1:7" ht="27.75">
      <c r="A1" s="513" t="s">
        <v>203</v>
      </c>
      <c r="B1" s="513"/>
      <c r="C1" s="513"/>
      <c r="D1" s="513"/>
      <c r="E1" s="513"/>
      <c r="F1" s="513"/>
      <c r="G1" s="513"/>
    </row>
    <row r="2" spans="1:6" ht="27.75">
      <c r="A2" s="472"/>
      <c r="B2" s="472"/>
      <c r="C2" s="472"/>
      <c r="D2" s="472"/>
      <c r="E2" s="472"/>
      <c r="F2" s="472"/>
    </row>
    <row r="4" spans="1:5" ht="15.75" customHeight="1">
      <c r="A4" s="33" t="s">
        <v>58</v>
      </c>
      <c r="B4" s="510" t="s">
        <v>222</v>
      </c>
      <c r="C4" s="510"/>
      <c r="D4" s="510"/>
      <c r="E4" s="510"/>
    </row>
    <row r="5" spans="1:5" ht="15.75" customHeight="1">
      <c r="A5" s="474"/>
      <c r="B5" s="475"/>
      <c r="C5" s="475"/>
      <c r="D5" s="475"/>
      <c r="E5" s="475"/>
    </row>
    <row r="6" spans="1:5" ht="15.75" customHeight="1">
      <c r="A6" s="33" t="s">
        <v>61</v>
      </c>
      <c r="B6" s="510" t="s">
        <v>223</v>
      </c>
      <c r="C6" s="510"/>
      <c r="D6" s="510"/>
      <c r="E6" s="510"/>
    </row>
    <row r="7" spans="1:5" ht="15.75" customHeight="1">
      <c r="A7" s="33"/>
      <c r="B7" s="476"/>
      <c r="C7" s="476"/>
      <c r="D7" s="476"/>
      <c r="E7" s="476"/>
    </row>
    <row r="8" spans="1:5" ht="15.75" customHeight="1">
      <c r="A8" s="33" t="s">
        <v>215</v>
      </c>
      <c r="B8" s="510" t="s">
        <v>234</v>
      </c>
      <c r="C8" s="510"/>
      <c r="D8" s="510"/>
      <c r="E8" s="510"/>
    </row>
    <row r="9" spans="1:5" ht="15.75" customHeight="1">
      <c r="A9" s="33"/>
      <c r="B9" s="476"/>
      <c r="C9" s="476"/>
      <c r="D9" s="476"/>
      <c r="E9" s="476"/>
    </row>
    <row r="10" spans="1:5" ht="15.75" customHeight="1">
      <c r="A10" s="33"/>
      <c r="B10" s="510" t="s">
        <v>235</v>
      </c>
      <c r="C10" s="510"/>
      <c r="D10" s="510"/>
      <c r="E10" s="510"/>
    </row>
    <row r="11" spans="1:6" ht="15.75" customHeight="1">
      <c r="A11" s="474"/>
      <c r="B11" s="476"/>
      <c r="C11" s="476"/>
      <c r="D11" s="477"/>
      <c r="E11" s="477"/>
      <c r="F11" s="478"/>
    </row>
    <row r="12" spans="1:6" ht="15.75" customHeight="1">
      <c r="A12" s="33" t="s">
        <v>59</v>
      </c>
      <c r="B12" s="510" t="s">
        <v>224</v>
      </c>
      <c r="C12" s="510"/>
      <c r="D12" s="510"/>
      <c r="E12" s="510"/>
      <c r="F12" s="478"/>
    </row>
    <row r="13" spans="1:6" ht="15.75" customHeight="1">
      <c r="A13" s="474"/>
      <c r="B13" s="509"/>
      <c r="C13" s="509"/>
      <c r="D13" s="477"/>
      <c r="E13" s="477"/>
      <c r="F13" s="478"/>
    </row>
    <row r="14" spans="1:6" ht="15.75" customHeight="1">
      <c r="A14" s="33" t="s">
        <v>60</v>
      </c>
      <c r="B14" s="512" t="s">
        <v>225</v>
      </c>
      <c r="C14" s="510"/>
      <c r="D14" s="510"/>
      <c r="E14" s="510"/>
      <c r="F14" s="478"/>
    </row>
    <row r="15" spans="1:6" ht="15.75" customHeight="1">
      <c r="A15" s="474"/>
      <c r="B15" s="476"/>
      <c r="C15" s="477"/>
      <c r="D15" s="477"/>
      <c r="E15" s="477"/>
      <c r="F15" s="478"/>
    </row>
    <row r="16" spans="1:6" ht="15.75" customHeight="1">
      <c r="A16" s="33" t="s">
        <v>62</v>
      </c>
      <c r="B16" s="473" t="s">
        <v>226</v>
      </c>
      <c r="C16" s="479" t="s">
        <v>196</v>
      </c>
      <c r="D16" s="511">
        <v>222</v>
      </c>
      <c r="E16" s="511"/>
      <c r="F16" s="478"/>
    </row>
    <row r="17" spans="1:6" ht="15.75" customHeight="1">
      <c r="A17" s="474"/>
      <c r="B17" s="477"/>
      <c r="C17" s="477"/>
      <c r="D17" s="477"/>
      <c r="E17" s="477"/>
      <c r="F17" s="478"/>
    </row>
    <row r="18" spans="1:5" ht="15.75" customHeight="1">
      <c r="A18" s="33" t="s">
        <v>63</v>
      </c>
      <c r="B18" s="508" t="s">
        <v>241</v>
      </c>
      <c r="C18" s="508"/>
      <c r="D18" s="508"/>
      <c r="E18" s="508"/>
    </row>
    <row r="19" spans="2:5" ht="12.75">
      <c r="B19" s="480"/>
      <c r="C19" s="480"/>
      <c r="D19" s="480"/>
      <c r="E19" s="480"/>
    </row>
    <row r="20" spans="3:5" ht="12.75">
      <c r="C20" s="480"/>
      <c r="D20" s="480"/>
      <c r="E20" s="480"/>
    </row>
    <row r="21" spans="1:5" ht="15.75">
      <c r="A21" s="481" t="s">
        <v>165</v>
      </c>
      <c r="B21" s="483" t="s">
        <v>220</v>
      </c>
      <c r="C21" s="482"/>
      <c r="D21" s="482"/>
      <c r="E21" s="482"/>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hyperlinks>
    <hyperlink ref="B14" r:id="rId1" display="karen@penwest.on.c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95"/>
  <sheetViews>
    <sheetView workbookViewId="0" topLeftCell="A3">
      <selection activeCell="B16" sqref="B16"/>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187</v>
      </c>
    </row>
    <row r="2" ht="13.5" thickBot="1"/>
    <row r="3" spans="1:5" ht="15.75">
      <c r="A3" s="503" t="str">
        <f>"Name of Utility:      "&amp;'Info Sheet'!B4</f>
        <v>Name of Utility:      PENINSULA WEST UTILITIES LIMITED</v>
      </c>
      <c r="B3" s="504"/>
      <c r="C3" s="504"/>
      <c r="D3" s="460" t="str">
        <f>'Info Sheet'!$B$21</f>
        <v>2005.V1.1</v>
      </c>
      <c r="E3" s="36"/>
    </row>
    <row r="4" spans="1:5" ht="18">
      <c r="A4" s="304" t="str">
        <f>"License Number:   "&amp;'Info Sheet'!B6</f>
        <v>License Number:   ED-2002-0555</v>
      </c>
      <c r="B4" s="27"/>
      <c r="C4" s="396"/>
      <c r="D4" s="399" t="str">
        <f>'Info Sheet'!B8</f>
        <v>RP-2005-0013</v>
      </c>
      <c r="E4" s="36"/>
    </row>
    <row r="5" spans="1:4" ht="15.75">
      <c r="A5" s="505" t="str">
        <f>"Name of Contact:  "&amp;'Info Sheet'!B12</f>
        <v>Name of Contact:  KAREN BUBISH</v>
      </c>
      <c r="B5" s="506"/>
      <c r="C5" s="506"/>
      <c r="D5" s="399" t="str">
        <f>'Info Sheet'!B10</f>
        <v>EB-2005-0066</v>
      </c>
    </row>
    <row r="6" spans="1:4" ht="18" customHeight="1">
      <c r="A6" s="502" t="str">
        <f>"E- Mail Address:    "&amp;'Info Sheet'!B14</f>
        <v>E- Mail Address:    karen@penwest.on.ca</v>
      </c>
      <c r="B6" s="507"/>
      <c r="C6" s="507"/>
      <c r="D6" s="100"/>
    </row>
    <row r="7" spans="1:4" ht="15.75">
      <c r="A7" s="304" t="str">
        <f>"Phone Number:     "&amp;'Info Sheet'!B16</f>
        <v>Phone Number:     905-563-5550</v>
      </c>
      <c r="B7" s="507" t="str">
        <f>'Info Sheet'!$C$16&amp;" "&amp;'Info Sheet'!$D$16</f>
        <v>Extension: 222</v>
      </c>
      <c r="C7" s="507"/>
      <c r="D7" s="100"/>
    </row>
    <row r="8" spans="1:4" ht="16.5" thickBot="1">
      <c r="A8" s="305" t="str">
        <f>"Date:                      "&amp;('Info Sheet'!B18)</f>
        <v>Date:                      JANUARY 14, 2005</v>
      </c>
      <c r="B8" s="306"/>
      <c r="C8" s="397"/>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227</v>
      </c>
      <c r="B14" s="52"/>
      <c r="C14" s="53"/>
      <c r="E14" s="15"/>
      <c r="G14" s="15"/>
    </row>
    <row r="15" spans="2:7" ht="12.75">
      <c r="B15" s="15"/>
      <c r="C15" s="15"/>
      <c r="D15" s="49"/>
      <c r="E15" s="15"/>
      <c r="F15" s="15"/>
      <c r="G15" s="15"/>
    </row>
    <row r="16" spans="1:8" ht="12.75">
      <c r="A16" s="9" t="s">
        <v>1</v>
      </c>
      <c r="B16" s="15">
        <f>IF('5. 2005 Rate Sch. with PILs'!B16="","",'5. 2005 Rate Sch. with PILs'!B16+'7. 2003 Data &amp; add RSVA'!B51+'8. 2003 Data &amp; Non-RSVA'!B51)</f>
        <v>0.022900691302773692</v>
      </c>
      <c r="C16" s="15"/>
      <c r="D16" s="49"/>
      <c r="E16" s="15"/>
      <c r="F16" s="301"/>
      <c r="G16" s="301"/>
      <c r="H16" s="301"/>
    </row>
    <row r="17" spans="2:7" ht="12.75">
      <c r="B17" s="15"/>
      <c r="C17" s="15"/>
      <c r="D17" s="49"/>
      <c r="E17" s="15"/>
      <c r="F17" s="15"/>
      <c r="G17" s="15"/>
    </row>
    <row r="18" spans="1:8" ht="12.75">
      <c r="A18" s="9" t="s">
        <v>20</v>
      </c>
      <c r="B18" s="49">
        <f>IF('5. 2005 Rate Sch. with PILs'!B18="","",'5. 2005 Rate Sch. with PILs'!B18)</f>
        <v>9.195373834094259</v>
      </c>
      <c r="C18" s="15"/>
      <c r="D18" s="49"/>
      <c r="E18" s="15"/>
      <c r="F18" s="301"/>
      <c r="G18" s="134"/>
      <c r="H18" s="301"/>
    </row>
    <row r="19" spans="2:7" ht="12.75">
      <c r="B19" s="15"/>
      <c r="C19" s="15"/>
      <c r="D19" s="49"/>
      <c r="E19" s="15"/>
      <c r="F19" s="15"/>
      <c r="G19" s="15"/>
    </row>
    <row r="20" spans="2:7" ht="12.75">
      <c r="B20" s="15"/>
      <c r="C20" s="15"/>
      <c r="D20" s="15"/>
      <c r="E20" s="15"/>
      <c r="F20" s="15"/>
      <c r="G20" s="15"/>
    </row>
    <row r="21" spans="1:7" ht="18">
      <c r="A21" s="55" t="s">
        <v>228</v>
      </c>
      <c r="B21" s="52"/>
      <c r="C21" s="53"/>
      <c r="D21" s="15"/>
      <c r="E21" s="15"/>
      <c r="F21" s="15"/>
      <c r="G21" s="15"/>
    </row>
    <row r="22" spans="2:7" ht="12.75">
      <c r="B22" s="15"/>
      <c r="C22" s="15"/>
      <c r="D22" s="15"/>
      <c r="E22" s="15"/>
      <c r="F22" s="15"/>
      <c r="G22" s="15"/>
    </row>
    <row r="23" spans="1:7" ht="12.75">
      <c r="A23" s="9" t="s">
        <v>1</v>
      </c>
      <c r="B23" s="15">
        <f>IF('5. 2005 Rate Sch. with PILs'!B23="","",'5. 2005 Rate Sch. with PILs'!B23+'7. 2003 Data &amp; add RSVA'!B69+'8. 2003 Data &amp; Non-RSVA'!B66)</f>
        <v>0.01659331877948081</v>
      </c>
      <c r="C23" s="15"/>
      <c r="D23" s="15"/>
      <c r="E23" s="15"/>
      <c r="F23" s="15"/>
      <c r="G23" s="15"/>
    </row>
    <row r="24" spans="2:7" ht="12.75">
      <c r="B24" s="15"/>
      <c r="C24" s="15"/>
      <c r="D24" s="15"/>
      <c r="E24" s="15"/>
      <c r="F24" s="15"/>
      <c r="G24" s="15"/>
    </row>
    <row r="25" spans="1:7" ht="12.75">
      <c r="A25" s="9" t="s">
        <v>20</v>
      </c>
      <c r="B25" s="49">
        <f>IF('5. 2005 Rate Sch. with PILs'!B25="","",'5. 2005 Rate Sch. with PILs'!B25)</f>
        <v>11.420558946854408</v>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2</v>
      </c>
      <c r="B28" s="52"/>
      <c r="C28" s="53"/>
      <c r="D28" s="49"/>
      <c r="E28" s="15"/>
      <c r="F28" s="15"/>
      <c r="G28" s="15"/>
    </row>
    <row r="29" spans="2:7" ht="12.75">
      <c r="B29" s="15"/>
      <c r="C29" s="15"/>
      <c r="D29" s="49"/>
      <c r="E29" s="15"/>
      <c r="F29" s="15"/>
      <c r="G29" s="15"/>
    </row>
    <row r="30" spans="1:8" ht="12.75">
      <c r="A30" s="9" t="s">
        <v>1</v>
      </c>
      <c r="B30" s="15">
        <f>IF('5. 2005 Rate Sch. with PILs'!B30="","",'5. 2005 Rate Sch. with PILs'!B30+'7. 2003 Data &amp; add RSVA'!B87+'8. 2003 Data &amp; Non-RSVA'!B84)</f>
        <v>0.02246065360634257</v>
      </c>
      <c r="C30" s="15"/>
      <c r="D30" s="49"/>
      <c r="E30" s="15"/>
      <c r="F30" s="15"/>
      <c r="G30" s="302"/>
      <c r="H30" s="301"/>
    </row>
    <row r="31" spans="2:7" ht="12.75">
      <c r="B31" s="15"/>
      <c r="C31" s="15"/>
      <c r="D31" s="49"/>
      <c r="E31" s="15"/>
      <c r="F31" s="15"/>
      <c r="G31" s="302"/>
    </row>
    <row r="32" spans="1:8" ht="12.75">
      <c r="A32" s="9" t="s">
        <v>20</v>
      </c>
      <c r="B32" s="49">
        <f>IF('5. 2005 Rate Sch. with PILs'!B32="","",'5. 2005 Rate Sch. with PILs'!B32)</f>
        <v>11.421658485163704</v>
      </c>
      <c r="C32" s="15"/>
      <c r="D32" s="49"/>
      <c r="E32" s="15"/>
      <c r="F32" s="15"/>
      <c r="G32" s="302"/>
      <c r="H32" s="301"/>
    </row>
    <row r="33" spans="2:7" ht="12.75">
      <c r="B33" s="15"/>
      <c r="C33" s="15"/>
      <c r="D33" s="49"/>
      <c r="E33" s="15"/>
      <c r="F33" s="15"/>
      <c r="G33" s="15"/>
    </row>
    <row r="34" spans="2:7" ht="12.75">
      <c r="B34" s="15"/>
      <c r="C34" s="15"/>
      <c r="D34" s="49"/>
      <c r="E34" s="15"/>
      <c r="F34" s="15"/>
      <c r="G34" s="15"/>
    </row>
    <row r="35" spans="1:7" ht="18">
      <c r="A35" s="55" t="s">
        <v>3</v>
      </c>
      <c r="B35" s="52"/>
      <c r="C35" s="53"/>
      <c r="D35" s="49"/>
      <c r="E35" s="15"/>
      <c r="F35" s="15"/>
      <c r="G35" s="15"/>
    </row>
    <row r="36" spans="2:7" ht="12.75">
      <c r="B36" s="15"/>
      <c r="C36" s="15"/>
      <c r="D36" s="49"/>
      <c r="E36" s="15"/>
      <c r="F36" s="15"/>
      <c r="G36" s="15"/>
    </row>
    <row r="37" spans="1:7" ht="12.75">
      <c r="A37" s="9" t="s">
        <v>4</v>
      </c>
      <c r="B37" s="15">
        <f>IF('5. 2005 Rate Sch. with PILs'!B37="","",'5. 2005 Rate Sch. with PILs'!B37+'7. 2003 Data &amp; add RSVA'!B104+'8. 2003 Data &amp; Non-RSVA'!B101)</f>
        <v>7.261998896649955</v>
      </c>
      <c r="C37" s="15"/>
      <c r="D37" s="49"/>
      <c r="E37" s="15"/>
      <c r="F37" s="15"/>
      <c r="G37" s="15"/>
    </row>
    <row r="38" spans="2:7" ht="12.75">
      <c r="B38" s="15"/>
      <c r="C38" s="15"/>
      <c r="D38" s="49"/>
      <c r="E38" s="15"/>
      <c r="F38" s="15"/>
      <c r="G38" s="15"/>
    </row>
    <row r="39" spans="1:7" ht="12.75">
      <c r="A39" s="9" t="s">
        <v>20</v>
      </c>
      <c r="B39" s="49">
        <f>IF('5. 2005 Rate Sch. with PILs'!B39="","",'5. 2005 Rate Sch. with PILs'!B39)</f>
        <v>23.742060347832695</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5</v>
      </c>
      <c r="B42" s="52"/>
      <c r="C42" s="53"/>
      <c r="D42" s="49"/>
      <c r="E42" s="15"/>
      <c r="F42" s="15"/>
      <c r="G42" s="15"/>
    </row>
    <row r="43" spans="1:7" ht="18">
      <c r="A43" s="8"/>
      <c r="B43" s="15"/>
      <c r="C43" s="15"/>
      <c r="D43" s="49"/>
      <c r="E43" s="15"/>
      <c r="F43" s="15"/>
      <c r="G43" s="15"/>
    </row>
    <row r="44" spans="1:7" ht="12.75">
      <c r="A44" s="9" t="s">
        <v>4</v>
      </c>
      <c r="B44" s="15">
        <f>IF('5. 2005 Rate Sch. with PILs'!B44="","",'5. 2005 Rate Sch. with PILs'!B44+'7. 2003 Data &amp; add RSVA'!B121+'8. 2003 Data &amp; Non-RSVA'!B118)</f>
      </c>
      <c r="C44" s="15"/>
      <c r="D44" s="49"/>
      <c r="E44" s="15"/>
      <c r="F44" s="15"/>
      <c r="G44" s="15"/>
    </row>
    <row r="45" spans="2:7" ht="12.75">
      <c r="B45" s="15"/>
      <c r="C45" s="15"/>
      <c r="D45" s="49"/>
      <c r="E45" s="15"/>
      <c r="F45" s="15"/>
      <c r="G45" s="15"/>
    </row>
    <row r="46" spans="1:7" ht="12.75">
      <c r="A46" s="9" t="s">
        <v>20</v>
      </c>
      <c r="B46" s="49">
        <f>IF('5. 2005 Rate Sch. with PILs'!B46="","",'5. 2005 Rate Sch. with PILs'!B46)</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216</v>
      </c>
      <c r="B49" s="15"/>
      <c r="C49" s="15"/>
      <c r="D49" s="49"/>
      <c r="E49" s="15"/>
      <c r="F49" s="15"/>
      <c r="G49" s="15"/>
    </row>
    <row r="50" spans="2:7" ht="12.75">
      <c r="B50" s="15"/>
      <c r="C50" s="15"/>
      <c r="D50" s="49"/>
      <c r="E50" s="15"/>
      <c r="F50" s="15"/>
      <c r="G50" s="15"/>
    </row>
    <row r="51" spans="1:7" ht="12.75">
      <c r="A51" s="9" t="s">
        <v>4</v>
      </c>
      <c r="B51" s="15">
        <f>IF('5. 2005 Rate Sch. with PILs'!B51="","",'5. 2005 Rate Sch. with PILs'!B51+'7. 2003 Data &amp; add RSVA'!B138+'8. 2003 Data &amp; Non-RSVA'!B135)</f>
      </c>
      <c r="C51" s="15"/>
      <c r="D51" s="49"/>
      <c r="E51" s="15"/>
      <c r="F51" s="15"/>
      <c r="G51" s="15"/>
    </row>
    <row r="52" spans="2:7" ht="12.75">
      <c r="B52" s="15"/>
      <c r="C52" s="15"/>
      <c r="D52" s="49"/>
      <c r="E52" s="15"/>
      <c r="F52" s="15"/>
      <c r="G52" s="15"/>
    </row>
    <row r="53" spans="1:7" ht="12.75">
      <c r="A53" s="9" t="s">
        <v>20</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0</v>
      </c>
      <c r="B56" s="15"/>
      <c r="C56" s="15"/>
      <c r="D56" s="49"/>
      <c r="E56" s="15"/>
      <c r="F56" s="15"/>
      <c r="G56" s="15"/>
    </row>
    <row r="57" spans="2:7" ht="12.75">
      <c r="B57" s="15"/>
      <c r="C57" s="15"/>
      <c r="D57" s="49"/>
      <c r="E57" s="15"/>
      <c r="F57" s="15"/>
      <c r="G57" s="15"/>
    </row>
    <row r="58" spans="1:7" ht="12.75">
      <c r="A58" s="9" t="s">
        <v>4</v>
      </c>
      <c r="B58" s="15">
        <f>IF('5. 2005 Rate Sch. with PILs'!B58="","",'5. 2005 Rate Sch. with PILs'!B58+'7. 2003 Data &amp; add RSVA'!B155+'8. 2003 Data &amp; Non-RSVA'!B152)</f>
      </c>
      <c r="C58" s="15"/>
      <c r="D58" s="49"/>
      <c r="E58" s="15"/>
      <c r="F58" s="15"/>
      <c r="G58" s="15"/>
    </row>
    <row r="59" spans="2:7" ht="12.75">
      <c r="B59" s="15"/>
      <c r="C59" s="15"/>
      <c r="D59" s="49"/>
      <c r="E59" s="15"/>
      <c r="F59" s="15"/>
      <c r="G59" s="15"/>
    </row>
    <row r="60" spans="1:7" ht="12.75">
      <c r="A60" s="9" t="s">
        <v>20</v>
      </c>
      <c r="B60" s="49">
        <f>IF('5. 2005 Rate Sch. with PILs'!B60="","",'5. 2005 Rate Sch. with PILs'!B60)</f>
      </c>
      <c r="C60" s="15"/>
      <c r="D60" s="49"/>
      <c r="E60" s="15"/>
      <c r="F60" s="15"/>
      <c r="G60" s="15"/>
    </row>
    <row r="61" spans="2:7" ht="12.75">
      <c r="B61" s="15"/>
      <c r="C61" s="15"/>
      <c r="D61" s="49"/>
      <c r="E61" s="15"/>
      <c r="F61" s="15"/>
      <c r="G61" s="15"/>
    </row>
    <row r="62" spans="3:7" ht="12.75">
      <c r="C62" s="15"/>
      <c r="E62" s="15"/>
      <c r="F62" s="15"/>
      <c r="G62" s="15"/>
    </row>
    <row r="63" spans="1:7" ht="18">
      <c r="A63" s="55" t="s">
        <v>6</v>
      </c>
      <c r="B63" s="15"/>
      <c r="C63" s="15"/>
      <c r="D63" s="49"/>
      <c r="E63" s="15"/>
      <c r="F63" s="15"/>
      <c r="G63" s="15"/>
    </row>
    <row r="64" spans="2:7" ht="12.75">
      <c r="B64" s="15"/>
      <c r="C64" s="15"/>
      <c r="D64" s="49"/>
      <c r="E64" s="15"/>
      <c r="F64" s="15"/>
      <c r="G64" s="15"/>
    </row>
    <row r="65" spans="1:7" ht="12.75">
      <c r="A65" s="9" t="s">
        <v>4</v>
      </c>
      <c r="B65" s="15">
        <f>IF('5. 2005 Rate Sch. with PILs'!B65="","",'5. 2005 Rate Sch. with PILs'!B65+'7. 2003 Data &amp; add RSVA'!B172+'8. 2003 Data &amp; Non-RSVA'!B169)</f>
        <v>2.0414236865547957</v>
      </c>
      <c r="C65" s="15"/>
      <c r="D65" s="49"/>
      <c r="E65" s="15"/>
      <c r="F65" s="15"/>
      <c r="G65" s="15"/>
    </row>
    <row r="66" spans="2:7" ht="12.75">
      <c r="B66" s="15"/>
      <c r="C66" s="15"/>
      <c r="D66" s="49"/>
      <c r="E66" s="15"/>
      <c r="F66" s="15"/>
      <c r="G66" s="15"/>
    </row>
    <row r="67" spans="1:7" ht="12.75">
      <c r="A67" s="9" t="s">
        <v>21</v>
      </c>
      <c r="B67" s="49">
        <f>IF('5. 2005 Rate Sch. with PILs'!B67="","",'5. 2005 Rate Sch. with PILs'!B67)</f>
        <v>0.9739853709285965</v>
      </c>
      <c r="C67" s="15"/>
      <c r="D67" s="49"/>
      <c r="E67" s="15"/>
      <c r="F67" s="15"/>
      <c r="G67" s="15"/>
    </row>
    <row r="68" spans="2:7" ht="12.75">
      <c r="B68" s="15"/>
      <c r="C68" s="15"/>
      <c r="D68" s="49"/>
      <c r="E68" s="15"/>
      <c r="F68" s="15"/>
      <c r="G68" s="15"/>
    </row>
    <row r="69" spans="1:7" ht="12.75">
      <c r="A69" s="12" t="s">
        <v>7</v>
      </c>
      <c r="B69" s="15"/>
      <c r="C69" s="15"/>
      <c r="D69" s="49"/>
      <c r="E69" s="15"/>
      <c r="F69" s="15"/>
      <c r="G69" s="15"/>
    </row>
    <row r="70" spans="2:7" ht="12.75">
      <c r="B70" s="15"/>
      <c r="C70" s="15"/>
      <c r="D70" s="49"/>
      <c r="E70" s="15"/>
      <c r="F70" s="15"/>
      <c r="G70" s="15"/>
    </row>
    <row r="71" spans="1:7" ht="18">
      <c r="A71" s="55" t="s">
        <v>8</v>
      </c>
      <c r="B71" s="15"/>
      <c r="C71" s="15"/>
      <c r="D71" s="49"/>
      <c r="E71" s="15"/>
      <c r="F71" s="15"/>
      <c r="G71" s="15"/>
    </row>
    <row r="72" spans="2:7" ht="12.75">
      <c r="B72" s="15"/>
      <c r="C72" s="15"/>
      <c r="D72" s="49"/>
      <c r="E72" s="15"/>
      <c r="F72" s="15"/>
      <c r="G72" s="15"/>
    </row>
    <row r="73" spans="1:7" ht="12.75">
      <c r="A73" s="9" t="s">
        <v>4</v>
      </c>
      <c r="B73" s="15">
        <f>IF('5. 2005 Rate Sch. with PILs'!B73="","",'5. 2005 Rate Sch. with PILs'!B73+'7. 2003 Data &amp; add RSVA'!B172+'8. 2003 Data &amp; Non-RSVA'!B169)</f>
      </c>
      <c r="C73" s="15"/>
      <c r="D73" s="49"/>
      <c r="E73" s="15"/>
      <c r="F73" s="15"/>
      <c r="G73" s="15"/>
    </row>
    <row r="74" spans="2:7" ht="12.75">
      <c r="B74" s="15"/>
      <c r="C74" s="15"/>
      <c r="D74" s="49"/>
      <c r="E74" s="15"/>
      <c r="F74" s="15"/>
      <c r="G74" s="15"/>
    </row>
    <row r="75" spans="1:7" ht="12.75">
      <c r="A75" s="9" t="s">
        <v>21</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9</v>
      </c>
      <c r="B78" s="15"/>
      <c r="C78" s="15"/>
      <c r="D78" s="49"/>
      <c r="E78" s="15"/>
      <c r="F78" s="15"/>
      <c r="G78" s="15"/>
    </row>
    <row r="79" spans="2:7" ht="12.75">
      <c r="B79" s="15"/>
      <c r="C79" s="15"/>
      <c r="D79" s="49"/>
      <c r="E79" s="15"/>
      <c r="F79" s="15"/>
      <c r="G79" s="15"/>
    </row>
    <row r="80" spans="1:7" ht="12.75">
      <c r="A80" s="9" t="s">
        <v>4</v>
      </c>
      <c r="B80" s="15">
        <f>IF('5. 2005 Rate Sch. with PILs'!B80="","",'5. 2005 Rate Sch. with PILs'!B80+'7. 2003 Data &amp; add RSVA'!B189+'8. 2003 Data &amp; Non-RSVA'!B186)</f>
        <v>1.9120535224418413</v>
      </c>
      <c r="C80" s="15"/>
      <c r="D80" s="49"/>
      <c r="E80" s="15"/>
      <c r="F80" s="15"/>
      <c r="G80" s="15"/>
    </row>
    <row r="81" spans="2:7" ht="12.75">
      <c r="B81" s="15"/>
      <c r="C81" s="15"/>
      <c r="D81" s="49"/>
      <c r="E81" s="15"/>
      <c r="F81" s="15"/>
      <c r="G81" s="15"/>
    </row>
    <row r="82" spans="1:7" ht="12.75">
      <c r="A82" s="9" t="s">
        <v>21</v>
      </c>
      <c r="B82" s="49">
        <f>IF('5. 2005 Rate Sch. with PILs'!B82="","",'5. 2005 Rate Sch. with PILs'!B82)</f>
        <v>0.5675496838805344</v>
      </c>
      <c r="C82" s="15"/>
      <c r="D82" s="49"/>
      <c r="E82" s="15"/>
      <c r="F82" s="15"/>
      <c r="G82" s="15"/>
    </row>
    <row r="83" spans="2:7" ht="12.75">
      <c r="B83" s="15"/>
      <c r="C83" s="15"/>
      <c r="D83" s="49"/>
      <c r="E83" s="15"/>
      <c r="F83" s="15"/>
      <c r="G83" s="15"/>
    </row>
    <row r="84" spans="1:7" ht="12.75">
      <c r="A84" s="12" t="s">
        <v>7</v>
      </c>
      <c r="B84" s="15"/>
      <c r="C84" s="15"/>
      <c r="D84" s="49"/>
      <c r="E84" s="15"/>
      <c r="F84" s="15"/>
      <c r="G84" s="15"/>
    </row>
    <row r="85" spans="2:7" ht="12.75">
      <c r="B85" s="15"/>
      <c r="C85" s="15"/>
      <c r="D85" s="49"/>
      <c r="E85" s="15"/>
      <c r="F85" s="15"/>
      <c r="G85" s="15"/>
    </row>
    <row r="86" spans="1:7" ht="18">
      <c r="A86" s="55" t="s">
        <v>10</v>
      </c>
      <c r="B86" s="15"/>
      <c r="C86" s="15"/>
      <c r="D86" s="49"/>
      <c r="E86" s="15"/>
      <c r="F86" s="15"/>
      <c r="G86" s="15"/>
    </row>
    <row r="87" spans="2:7" ht="12.75">
      <c r="B87" s="15"/>
      <c r="C87" s="15"/>
      <c r="D87" s="49"/>
      <c r="E87" s="15"/>
      <c r="F87" s="15"/>
      <c r="G87" s="15"/>
    </row>
    <row r="88" spans="1:7" ht="12.75">
      <c r="A88" s="9" t="s">
        <v>4</v>
      </c>
      <c r="B88" s="15">
        <f>IF('5. 2005 Rate Sch. with PILs'!B88="","",'5. 2005 Rate Sch. with PILs'!B88+'7. 2003 Data &amp; add RSVA'!B189+'8. 2003 Data &amp; Non-RSVA'!B186)</f>
      </c>
      <c r="C88" s="15"/>
      <c r="D88" s="49"/>
      <c r="E88" s="15"/>
      <c r="F88" s="15"/>
      <c r="G88" s="15"/>
    </row>
    <row r="89" spans="2:7" ht="12.75">
      <c r="B89" s="15"/>
      <c r="C89" s="15"/>
      <c r="D89" s="49"/>
      <c r="E89" s="15"/>
      <c r="F89" s="15"/>
      <c r="G89" s="15"/>
    </row>
    <row r="90" spans="1:7" ht="12.75">
      <c r="A90" s="9" t="s">
        <v>21</v>
      </c>
      <c r="B90" s="49">
        <f>IF('5. 2005 Rate Sch. with PILs'!B90="","",'5. 2005 Rate Sch. with PILs'!B90)</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workbookViewId="0" topLeftCell="A1">
      <selection activeCell="A7" sqref="A7:E7"/>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163</v>
      </c>
    </row>
    <row r="2" ht="15" thickBot="1"/>
    <row r="3" spans="1:8" s="9" customFormat="1" ht="15.75">
      <c r="A3" s="550" t="str">
        <f>"Name of Utility:      "&amp;'Info Sheet'!B4</f>
        <v>Name of Utility:      PENINSULA WEST UTILITIES LIMITED</v>
      </c>
      <c r="B3" s="551"/>
      <c r="C3" s="551"/>
      <c r="D3" s="551"/>
      <c r="E3" s="551"/>
      <c r="F3" s="552"/>
      <c r="G3" s="552"/>
      <c r="H3" s="398" t="str">
        <f>'Info Sheet'!$B$21</f>
        <v>2005.V1.1</v>
      </c>
    </row>
    <row r="4" spans="1:8" s="9" customFormat="1" ht="15.75">
      <c r="A4" s="538" t="str">
        <f>"License Number:   "&amp;'Info Sheet'!B6</f>
        <v>License Number:   ED-2002-0555</v>
      </c>
      <c r="B4" s="553"/>
      <c r="C4" s="553"/>
      <c r="D4" s="553"/>
      <c r="E4" s="553"/>
      <c r="F4" s="554"/>
      <c r="G4" s="554"/>
      <c r="H4" s="399" t="str">
        <f>'Info Sheet'!B8</f>
        <v>RP-2005-0013</v>
      </c>
    </row>
    <row r="5" spans="1:8" s="9" customFormat="1" ht="15.75">
      <c r="A5" s="538" t="str">
        <f>"Name of Contact:  "&amp;'Info Sheet'!B12</f>
        <v>Name of Contact:  KAREN BUBISH</v>
      </c>
      <c r="B5" s="553"/>
      <c r="C5" s="553"/>
      <c r="D5" s="553"/>
      <c r="E5" s="553"/>
      <c r="F5" s="554"/>
      <c r="G5" s="554"/>
      <c r="H5" s="399" t="str">
        <f>'Info Sheet'!B10</f>
        <v>EB-2005-0066</v>
      </c>
    </row>
    <row r="6" spans="1:12" s="9" customFormat="1" ht="15.75">
      <c r="A6" s="555" t="str">
        <f>"E- Mail Address:    "&amp;'Info Sheet'!B14</f>
        <v>E- Mail Address:    karen@penwest.on.ca</v>
      </c>
      <c r="B6" s="553"/>
      <c r="C6" s="553"/>
      <c r="D6" s="553"/>
      <c r="E6" s="553"/>
      <c r="F6" s="554"/>
      <c r="G6" s="554"/>
      <c r="H6" s="100"/>
      <c r="K6" s="507"/>
      <c r="L6" s="507"/>
    </row>
    <row r="7" spans="1:8" s="9" customFormat="1" ht="15.75">
      <c r="A7" s="538" t="str">
        <f>"Phone Number:     "&amp;'Info Sheet'!B16</f>
        <v>Phone Number:     905-563-5550</v>
      </c>
      <c r="B7" s="539"/>
      <c r="C7" s="539"/>
      <c r="D7" s="539"/>
      <c r="E7" s="539"/>
      <c r="F7" s="507" t="str">
        <f>'Info Sheet'!$C$16&amp;" "&amp;'Info Sheet'!$D$16</f>
        <v>Extension: 222</v>
      </c>
      <c r="G7" s="507"/>
      <c r="H7" s="100"/>
    </row>
    <row r="8" spans="1:8" s="9" customFormat="1" ht="16.5" thickBot="1">
      <c r="A8" s="540" t="str">
        <f>"Date:                      "&amp;('Info Sheet'!B18)</f>
        <v>Date:                      JANUARY 14, 2005</v>
      </c>
      <c r="B8" s="541"/>
      <c r="C8" s="541"/>
      <c r="D8" s="541"/>
      <c r="E8" s="541"/>
      <c r="F8" s="542"/>
      <c r="G8" s="542"/>
      <c r="H8" s="150"/>
    </row>
    <row r="9" spans="6:8" ht="14.25">
      <c r="F9" s="362"/>
      <c r="G9" s="362"/>
      <c r="H9" s="362"/>
    </row>
    <row r="10" spans="1:9" ht="15" customHeight="1">
      <c r="A10" s="549" t="s">
        <v>213</v>
      </c>
      <c r="B10" s="549"/>
      <c r="C10" s="549"/>
      <c r="D10" s="549"/>
      <c r="E10" s="549"/>
      <c r="F10" s="549"/>
      <c r="G10" s="549"/>
      <c r="H10" s="549"/>
      <c r="I10" s="549"/>
    </row>
    <row r="11" spans="1:9" ht="33.75" customHeight="1">
      <c r="A11" s="549"/>
      <c r="B11" s="549"/>
      <c r="C11" s="549"/>
      <c r="D11" s="549"/>
      <c r="E11" s="549"/>
      <c r="F11" s="549"/>
      <c r="G11" s="549"/>
      <c r="H11" s="549"/>
      <c r="I11" s="549"/>
    </row>
    <row r="14" ht="15" thickBot="1"/>
    <row r="15" spans="2:8" ht="14.25">
      <c r="B15" s="546" t="s">
        <v>153</v>
      </c>
      <c r="C15" s="367"/>
      <c r="D15" s="367"/>
      <c r="E15" s="367"/>
      <c r="F15" s="367"/>
      <c r="G15" s="367"/>
      <c r="H15" s="543" t="s">
        <v>188</v>
      </c>
    </row>
    <row r="16" spans="2:8" ht="11.25" customHeight="1">
      <c r="B16" s="547"/>
      <c r="C16" s="368"/>
      <c r="D16" s="368"/>
      <c r="E16" s="368"/>
      <c r="F16" s="368"/>
      <c r="G16" s="368"/>
      <c r="H16" s="544"/>
    </row>
    <row r="17" spans="2:8" ht="15" thickBot="1">
      <c r="B17" s="548"/>
      <c r="C17" s="390"/>
      <c r="D17" s="390"/>
      <c r="E17" s="390"/>
      <c r="F17" s="390"/>
      <c r="G17" s="390"/>
      <c r="H17" s="545"/>
    </row>
    <row r="18" spans="2:8" ht="14.25">
      <c r="B18" s="148" t="s">
        <v>15</v>
      </c>
      <c r="C18" s="362"/>
      <c r="D18" s="362"/>
      <c r="E18" s="362"/>
      <c r="F18" s="362"/>
      <c r="G18" s="362"/>
      <c r="H18" s="431"/>
    </row>
    <row r="19" spans="2:8" ht="14.25">
      <c r="B19" s="148" t="s">
        <v>70</v>
      </c>
      <c r="C19" s="362"/>
      <c r="D19" s="362"/>
      <c r="E19" s="362"/>
      <c r="F19" s="362"/>
      <c r="G19" s="362"/>
      <c r="H19" s="431"/>
    </row>
    <row r="20" spans="2:8" ht="14.25">
      <c r="B20" s="148" t="s">
        <v>71</v>
      </c>
      <c r="C20" s="362"/>
      <c r="D20" s="362"/>
      <c r="E20" s="362"/>
      <c r="F20" s="362"/>
      <c r="G20" s="362"/>
      <c r="H20" s="431"/>
    </row>
    <row r="21" spans="2:8" ht="14.25">
      <c r="B21" s="148" t="s">
        <v>72</v>
      </c>
      <c r="C21" s="362"/>
      <c r="D21" s="362"/>
      <c r="E21" s="362"/>
      <c r="F21" s="362"/>
      <c r="G21" s="362"/>
      <c r="H21" s="431"/>
    </row>
    <row r="22" spans="2:8" ht="14.25">
      <c r="B22" s="148" t="s">
        <v>154</v>
      </c>
      <c r="C22" s="362"/>
      <c r="D22" s="362"/>
      <c r="E22" s="362"/>
      <c r="F22" s="362"/>
      <c r="G22" s="362"/>
      <c r="H22" s="431"/>
    </row>
    <row r="23" spans="2:8" ht="14.25">
      <c r="B23" s="148" t="s">
        <v>73</v>
      </c>
      <c r="C23" s="362"/>
      <c r="D23" s="362"/>
      <c r="E23" s="362"/>
      <c r="F23" s="362"/>
      <c r="G23" s="362"/>
      <c r="H23" s="431"/>
    </row>
    <row r="24" spans="2:8" ht="14.25">
      <c r="B24" s="148" t="s">
        <v>74</v>
      </c>
      <c r="C24" s="362"/>
      <c r="D24" s="362"/>
      <c r="E24" s="362"/>
      <c r="F24" s="362"/>
      <c r="G24" s="362"/>
      <c r="H24" s="431"/>
    </row>
    <row r="25" spans="2:8" ht="15" thickBot="1">
      <c r="B25" s="369" t="s">
        <v>75</v>
      </c>
      <c r="C25" s="363"/>
      <c r="D25" s="363"/>
      <c r="E25" s="363"/>
      <c r="F25" s="363"/>
      <c r="G25" s="363"/>
      <c r="H25" s="432"/>
    </row>
  </sheetData>
  <mergeCells count="11">
    <mergeCell ref="H15:H17"/>
    <mergeCell ref="B15:B17"/>
    <mergeCell ref="A10:I11"/>
    <mergeCell ref="A3:G3"/>
    <mergeCell ref="A4:G4"/>
    <mergeCell ref="A5:G5"/>
    <mergeCell ref="A6:G6"/>
    <mergeCell ref="K6:L6"/>
    <mergeCell ref="A7:E7"/>
    <mergeCell ref="F7:G7"/>
    <mergeCell ref="A8:G8"/>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48"/>
  <sheetViews>
    <sheetView workbookViewId="0" topLeftCell="A9">
      <selection activeCell="F39" sqref="F39"/>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56" t="str">
        <f>IF(ISBLANK('Info Sheet'!B4),"",'Info Sheet'!B4)</f>
        <v>PENINSULA WEST UTILITIES LIMITED</v>
      </c>
      <c r="B1" s="556"/>
      <c r="C1" s="556"/>
      <c r="D1" s="556"/>
      <c r="E1" s="556"/>
      <c r="F1" s="556"/>
      <c r="G1" s="556"/>
      <c r="H1" s="556"/>
    </row>
    <row r="2" spans="1:8" ht="15.75">
      <c r="A2" s="556" t="str">
        <f>IF(ISBLANK('Info Sheet'!B6),"",'Info Sheet'!B8&amp;"    "&amp;'Info Sheet'!B10)</f>
        <v>RP-2005-0013    EB-2005-0066</v>
      </c>
      <c r="B2" s="556"/>
      <c r="C2" s="556"/>
      <c r="D2" s="556"/>
      <c r="E2" s="556"/>
      <c r="F2" s="556"/>
      <c r="G2" s="556"/>
      <c r="H2" s="556"/>
    </row>
    <row r="3" spans="1:8" ht="15.75">
      <c r="A3" s="556" t="s">
        <v>189</v>
      </c>
      <c r="B3" s="556"/>
      <c r="C3" s="556"/>
      <c r="D3" s="556"/>
      <c r="E3" s="556"/>
      <c r="F3" s="556"/>
      <c r="G3" s="556"/>
      <c r="H3" s="556"/>
    </row>
    <row r="4" spans="1:8" ht="15.75" customHeight="1">
      <c r="A4" s="557" t="s">
        <v>190</v>
      </c>
      <c r="B4" s="557"/>
      <c r="C4" s="557"/>
      <c r="D4" s="557"/>
      <c r="E4" s="557"/>
      <c r="F4" s="557"/>
      <c r="G4" s="557"/>
      <c r="H4" s="557"/>
    </row>
    <row r="5" spans="1:8" ht="15.75" customHeight="1">
      <c r="A5" s="375"/>
      <c r="B5" s="375"/>
      <c r="C5" s="375"/>
      <c r="D5" s="375"/>
      <c r="E5" s="375"/>
      <c r="F5" s="375"/>
      <c r="G5" s="375"/>
      <c r="H5" s="375"/>
    </row>
    <row r="6" spans="1:5" ht="15.75">
      <c r="A6" s="36"/>
      <c r="D6" s="132"/>
      <c r="E6" s="36"/>
    </row>
    <row r="7" spans="1:5" ht="15.75">
      <c r="A7" s="391" t="s">
        <v>157</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227</v>
      </c>
      <c r="B11" s="370"/>
      <c r="C11" s="371"/>
      <c r="D11" s="131"/>
      <c r="E11" s="308"/>
      <c r="G11" s="15"/>
    </row>
    <row r="12" spans="1:7" ht="15">
      <c r="A12" s="132"/>
      <c r="B12" s="308"/>
      <c r="C12" s="308"/>
      <c r="D12" s="372"/>
      <c r="E12" s="308"/>
      <c r="F12" s="15"/>
      <c r="G12" s="15"/>
    </row>
    <row r="13" spans="1:8" ht="15">
      <c r="A13" s="132"/>
      <c r="B13" s="373"/>
      <c r="C13" s="372" t="s">
        <v>23</v>
      </c>
      <c r="E13" s="374" t="s">
        <v>25</v>
      </c>
      <c r="F13" s="25">
        <f>IF('9. 2005 Rate Sch. Reg. Assets'!$B$18="","",'9. 2005 Rate Sch. Reg. Assets'!$B$18)</f>
        <v>9.195373834094259</v>
      </c>
      <c r="G13" s="301"/>
      <c r="H13" s="301"/>
    </row>
    <row r="14" spans="1:7" ht="15">
      <c r="A14" s="132"/>
      <c r="B14" s="308"/>
      <c r="C14" s="372" t="s">
        <v>24</v>
      </c>
      <c r="E14" s="374" t="s">
        <v>26</v>
      </c>
      <c r="F14" s="16">
        <f>IF('9. 2005 Rate Sch. Reg. Assets'!$B$16="","",'9. 2005 Rate Sch. Reg. Assets'!$B$16+'10. Rate Rider Calculations'!$H$18)</f>
        <v>0.022900691302773692</v>
      </c>
      <c r="G14" s="15"/>
    </row>
    <row r="15" spans="1:8" ht="15">
      <c r="A15" s="132"/>
      <c r="B15" s="373"/>
      <c r="C15" s="372"/>
      <c r="E15" s="374"/>
      <c r="F15" s="15"/>
      <c r="G15" s="280"/>
      <c r="H15" s="301"/>
    </row>
    <row r="16" spans="1:7" ht="15">
      <c r="A16" s="132"/>
      <c r="B16" s="308"/>
      <c r="C16" s="308"/>
      <c r="D16" s="308"/>
      <c r="E16" s="308"/>
      <c r="F16" s="15"/>
      <c r="G16" s="15"/>
    </row>
    <row r="17" spans="1:7" ht="15.75">
      <c r="A17" s="54" t="s">
        <v>228</v>
      </c>
      <c r="B17" s="370"/>
      <c r="C17" s="371"/>
      <c r="D17" s="308"/>
      <c r="E17" s="308"/>
      <c r="F17" s="15"/>
      <c r="G17" s="15"/>
    </row>
    <row r="18" spans="1:7" ht="15">
      <c r="A18" s="132"/>
      <c r="B18" s="308"/>
      <c r="C18" s="308"/>
      <c r="D18" s="308"/>
      <c r="E18" s="308"/>
      <c r="F18" s="15"/>
      <c r="G18" s="15"/>
    </row>
    <row r="19" spans="1:7" ht="15">
      <c r="A19" s="132"/>
      <c r="B19" s="373"/>
      <c r="C19" s="372" t="s">
        <v>23</v>
      </c>
      <c r="E19" s="374" t="s">
        <v>25</v>
      </c>
      <c r="F19" s="25">
        <f>IF('9. 2005 Rate Sch. Reg. Assets'!$B$25="","",'9. 2005 Rate Sch. Reg. Assets'!$B$25)</f>
        <v>11.420558946854408</v>
      </c>
      <c r="G19" s="15"/>
    </row>
    <row r="20" spans="1:7" ht="15">
      <c r="A20" s="132"/>
      <c r="B20" s="308"/>
      <c r="C20" s="372" t="s">
        <v>24</v>
      </c>
      <c r="E20" s="374" t="s">
        <v>26</v>
      </c>
      <c r="F20" s="16">
        <f>IF('9. 2005 Rate Sch. Reg. Assets'!$B$23="","",'9. 2005 Rate Sch. Reg. Assets'!$B$23+'10. Rate Rider Calculations'!$H$18)</f>
        <v>0.01659331877948081</v>
      </c>
      <c r="G20" s="15"/>
    </row>
    <row r="21" spans="1:7" ht="15">
      <c r="A21" s="132"/>
      <c r="B21" s="373"/>
      <c r="C21" s="308"/>
      <c r="D21" s="308"/>
      <c r="E21" s="308"/>
      <c r="F21" s="15"/>
      <c r="G21" s="15"/>
    </row>
    <row r="22" spans="1:7" ht="15">
      <c r="A22" s="132"/>
      <c r="B22" s="308"/>
      <c r="C22" s="308"/>
      <c r="D22" s="372"/>
      <c r="E22" s="308"/>
      <c r="F22" s="15"/>
      <c r="G22" s="15"/>
    </row>
    <row r="23" spans="1:7" ht="15.75">
      <c r="A23" s="54" t="s">
        <v>2</v>
      </c>
      <c r="B23" s="370"/>
      <c r="C23" s="371"/>
      <c r="D23" s="372"/>
      <c r="E23" s="308"/>
      <c r="F23" s="15"/>
      <c r="G23" s="15"/>
    </row>
    <row r="24" spans="1:7" ht="15">
      <c r="A24" s="132"/>
      <c r="B24" s="308"/>
      <c r="C24" s="308"/>
      <c r="D24" s="372"/>
      <c r="E24" s="308"/>
      <c r="F24" s="15"/>
      <c r="G24" s="15"/>
    </row>
    <row r="25" spans="1:8" ht="15">
      <c r="A25" s="132"/>
      <c r="B25" s="373"/>
      <c r="C25" s="372" t="s">
        <v>23</v>
      </c>
      <c r="E25" s="374" t="s">
        <v>25</v>
      </c>
      <c r="F25" s="25">
        <f>IF('9. 2005 Rate Sch. Reg. Assets'!$B$32="","",'9. 2005 Rate Sch. Reg. Assets'!$B$32)</f>
        <v>11.421658485163704</v>
      </c>
      <c r="G25" s="302"/>
      <c r="H25" s="301"/>
    </row>
    <row r="26" spans="1:7" ht="15">
      <c r="A26" s="132"/>
      <c r="B26" s="308"/>
      <c r="C26" s="372" t="s">
        <v>24</v>
      </c>
      <c r="E26" s="374" t="s">
        <v>26</v>
      </c>
      <c r="F26" s="16">
        <f>IF('9. 2005 Rate Sch. Reg. Assets'!$B$30="","",'9. 2005 Rate Sch. Reg. Assets'!$B$30+'10. Rate Rider Calculations'!$H$19)</f>
        <v>0.02246065360634257</v>
      </c>
      <c r="G26" s="302"/>
    </row>
    <row r="27" spans="1:8" ht="15">
      <c r="A27" s="132"/>
      <c r="B27" s="373"/>
      <c r="C27" s="372"/>
      <c r="E27" s="374"/>
      <c r="F27" s="15"/>
      <c r="G27" s="302"/>
      <c r="H27" s="301"/>
    </row>
    <row r="28" spans="1:7" ht="15">
      <c r="A28" s="132"/>
      <c r="B28" s="308"/>
      <c r="C28" s="308"/>
      <c r="D28" s="372"/>
      <c r="E28" s="308"/>
      <c r="F28" s="15"/>
      <c r="G28" s="15"/>
    </row>
    <row r="29" spans="1:7" ht="15.75">
      <c r="A29" s="54" t="s">
        <v>27</v>
      </c>
      <c r="B29" s="370"/>
      <c r="C29" s="371"/>
      <c r="D29" s="372"/>
      <c r="E29" s="308"/>
      <c r="F29" s="15"/>
      <c r="G29" s="15"/>
    </row>
    <row r="30" spans="1:7" ht="15">
      <c r="A30" s="132"/>
      <c r="B30" s="308"/>
      <c r="C30" s="308"/>
      <c r="D30" s="372"/>
      <c r="E30" s="308"/>
      <c r="F30" s="15"/>
      <c r="G30" s="15"/>
    </row>
    <row r="31" spans="1:7" ht="15">
      <c r="A31" s="132"/>
      <c r="B31" s="373"/>
      <c r="C31" s="372" t="s">
        <v>23</v>
      </c>
      <c r="E31" s="374" t="s">
        <v>25</v>
      </c>
      <c r="F31" s="25">
        <f>IF('9. 2005 Rate Sch. Reg. Assets'!$B$39="","",'9. 2005 Rate Sch. Reg. Assets'!$B$39)</f>
        <v>23.742060347832695</v>
      </c>
      <c r="G31" s="15"/>
    </row>
    <row r="32" spans="1:7" ht="15">
      <c r="A32" s="132"/>
      <c r="B32" s="308"/>
      <c r="C32" s="372" t="s">
        <v>24</v>
      </c>
      <c r="E32" s="374" t="s">
        <v>28</v>
      </c>
      <c r="F32" s="16">
        <f>IF('9. 2005 Rate Sch. Reg. Assets'!$B$37="","",'9. 2005 Rate Sch. Reg. Assets'!$B$37+'10. Rate Rider Calculations'!$H$20)</f>
        <v>7.261998896649955</v>
      </c>
      <c r="G32" s="15"/>
    </row>
    <row r="33" spans="1:7" ht="15">
      <c r="A33" s="132"/>
      <c r="B33" s="373"/>
      <c r="C33" s="372"/>
      <c r="E33" s="374"/>
      <c r="F33" s="15"/>
      <c r="G33" s="15"/>
    </row>
    <row r="34" spans="1:7" ht="15">
      <c r="A34" s="132"/>
      <c r="B34" s="308"/>
      <c r="C34" s="308"/>
      <c r="D34" s="372"/>
      <c r="E34" s="308"/>
      <c r="F34" s="15"/>
      <c r="G34" s="15"/>
    </row>
    <row r="35" spans="1:7" ht="15.75">
      <c r="A35" s="54" t="s">
        <v>29</v>
      </c>
      <c r="B35" s="373"/>
      <c r="C35" s="308"/>
      <c r="D35" s="372"/>
      <c r="E35" s="308"/>
      <c r="F35" s="15"/>
      <c r="G35" s="15"/>
    </row>
    <row r="36" spans="1:7" ht="15">
      <c r="A36" s="132"/>
      <c r="B36" s="308"/>
      <c r="C36" s="308"/>
      <c r="D36" s="372"/>
      <c r="E36" s="308"/>
      <c r="F36" s="15"/>
      <c r="G36" s="15"/>
    </row>
    <row r="37" spans="1:7" ht="15">
      <c r="A37" s="132"/>
      <c r="B37" s="373"/>
      <c r="C37" s="372" t="s">
        <v>23</v>
      </c>
      <c r="E37" s="374" t="s">
        <v>25</v>
      </c>
      <c r="F37" s="25">
        <f>IF('9. 2005 Rate Sch. Reg. Assets'!$B$67="","",'9. 2005 Rate Sch. Reg. Assets'!$B$67)</f>
        <v>0.9739853709285965</v>
      </c>
      <c r="G37" s="15"/>
    </row>
    <row r="38" spans="1:7" ht="15">
      <c r="A38" s="132"/>
      <c r="B38" s="308"/>
      <c r="C38" s="372" t="s">
        <v>24</v>
      </c>
      <c r="E38" s="374" t="s">
        <v>28</v>
      </c>
      <c r="F38" s="16">
        <f>IF('9. 2005 Rate Sch. Reg. Assets'!$B$65="","",'9. 2005 Rate Sch. Reg. Assets'!$B$65+'10. Rate Rider Calculations'!$H$24)</f>
        <v>2.0414236865547957</v>
      </c>
      <c r="G38" s="15"/>
    </row>
    <row r="39" spans="1:7" ht="15">
      <c r="A39" s="132"/>
      <c r="B39" s="308"/>
      <c r="C39" s="372"/>
      <c r="E39" s="374"/>
      <c r="F39" s="15"/>
      <c r="G39" s="15"/>
    </row>
    <row r="40" spans="1:7" ht="15.75">
      <c r="A40" s="131"/>
      <c r="B40" s="308"/>
      <c r="C40" s="308"/>
      <c r="D40" s="372"/>
      <c r="E40" s="308"/>
      <c r="F40" s="15"/>
      <c r="G40" s="15"/>
    </row>
    <row r="41" spans="1:7" ht="15.75">
      <c r="A41" s="54" t="s">
        <v>30</v>
      </c>
      <c r="B41" s="373"/>
      <c r="C41" s="308"/>
      <c r="D41" s="372"/>
      <c r="E41" s="308"/>
      <c r="F41" s="15"/>
      <c r="G41" s="15"/>
    </row>
    <row r="42" spans="1:7" ht="15">
      <c r="A42" s="132"/>
      <c r="B42" s="308"/>
      <c r="C42" s="308"/>
      <c r="D42" s="372"/>
      <c r="E42" s="308"/>
      <c r="F42" s="15"/>
      <c r="G42" s="15"/>
    </row>
    <row r="43" spans="1:7" ht="12" customHeight="1">
      <c r="A43" s="132"/>
      <c r="B43" s="373"/>
      <c r="C43" s="372" t="s">
        <v>23</v>
      </c>
      <c r="E43" s="374" t="s">
        <v>25</v>
      </c>
      <c r="F43" s="25">
        <f>IF('9. 2005 Rate Sch. Reg. Assets'!$B$82="","",'9. 2005 Rate Sch. Reg. Assets'!$B$82)</f>
        <v>0.5675496838805344</v>
      </c>
      <c r="G43" s="15"/>
    </row>
    <row r="44" spans="1:7" ht="14.25" customHeight="1">
      <c r="A44" s="132"/>
      <c r="B44" s="308"/>
      <c r="C44" s="372" t="s">
        <v>24</v>
      </c>
      <c r="E44" s="374" t="s">
        <v>28</v>
      </c>
      <c r="F44" s="16">
        <f>IF('9. 2005 Rate Sch. Reg. Assets'!$B$80="","",'9. 2005 Rate Sch. Reg. Assets'!$B$80+'10. Rate Rider Calculations'!$H$25)</f>
        <v>1.9120535224418413</v>
      </c>
      <c r="G44" s="15"/>
    </row>
    <row r="45" spans="1:7" ht="15">
      <c r="A45" s="132"/>
      <c r="B45" s="308"/>
      <c r="C45" s="372"/>
      <c r="E45" s="374"/>
      <c r="F45" s="15"/>
      <c r="G45" s="15"/>
    </row>
    <row r="46" spans="1:7" ht="15.75">
      <c r="A46" s="131"/>
      <c r="B46" s="308"/>
      <c r="C46" s="308"/>
      <c r="D46" s="372"/>
      <c r="E46" s="308"/>
      <c r="F46" s="15"/>
      <c r="G46" s="15"/>
    </row>
    <row r="47" spans="1:7" ht="15.75">
      <c r="A47" s="131"/>
      <c r="B47" s="308"/>
      <c r="C47" s="308"/>
      <c r="D47" s="372"/>
      <c r="E47" s="308"/>
      <c r="F47" s="15"/>
      <c r="G47" s="15"/>
    </row>
    <row r="48" spans="1:7" ht="15">
      <c r="A48" s="132"/>
      <c r="B48" s="308"/>
      <c r="C48" s="308"/>
      <c r="D48" s="372"/>
      <c r="E48" s="308"/>
      <c r="F48" s="15"/>
      <c r="G48" s="15"/>
    </row>
  </sheetData>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worksheet>
</file>

<file path=xl/worksheets/sheet13.xml><?xml version="1.0" encoding="utf-8"?>
<worksheet xmlns="http://schemas.openxmlformats.org/spreadsheetml/2006/main" xmlns:r="http://schemas.openxmlformats.org/officeDocument/2006/relationships">
  <dimension ref="A1:G94"/>
  <sheetViews>
    <sheetView workbookViewId="0" topLeftCell="A1">
      <selection activeCell="D73" sqref="D73"/>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208</v>
      </c>
      <c r="D1" s="10"/>
    </row>
    <row r="2" ht="13.5" thickBot="1"/>
    <row r="3" spans="1:6" ht="15.75">
      <c r="A3" s="503" t="str">
        <f>"Name of Utility:      "&amp;'Info Sheet'!B4</f>
        <v>Name of Utility:      PENINSULA WEST UTILITIES LIMITED</v>
      </c>
      <c r="B3" s="504"/>
      <c r="C3" s="504"/>
      <c r="D3" s="460" t="str">
        <f>'Info Sheet'!$B$21</f>
        <v>2005.V1.1</v>
      </c>
      <c r="E3" s="36"/>
      <c r="F3" s="14"/>
    </row>
    <row r="4" spans="1:6" ht="15.75">
      <c r="A4" s="304" t="str">
        <f>"License Number:   "&amp;'Info Sheet'!B6</f>
        <v>License Number:   ED-2002-0555</v>
      </c>
      <c r="B4" s="461"/>
      <c r="C4" s="395"/>
      <c r="D4" s="399" t="str">
        <f>'Info Sheet'!B8</f>
        <v>RP-2005-0013</v>
      </c>
      <c r="E4" s="36"/>
      <c r="F4" s="14"/>
    </row>
    <row r="5" spans="1:4" ht="15.75">
      <c r="A5" s="505" t="str">
        <f>"Name of Contact:  "&amp;'Info Sheet'!B12</f>
        <v>Name of Contact:  KAREN BUBISH</v>
      </c>
      <c r="B5" s="506"/>
      <c r="C5" s="506"/>
      <c r="D5" s="399" t="str">
        <f>'Info Sheet'!B10</f>
        <v>EB-2005-0066</v>
      </c>
    </row>
    <row r="6" spans="1:4" ht="15.75">
      <c r="A6" s="502" t="str">
        <f>"E- Mail Address:    "&amp;'Info Sheet'!B14</f>
        <v>E- Mail Address:    karen@penwest.on.ca</v>
      </c>
      <c r="B6" s="507"/>
      <c r="C6" s="507"/>
      <c r="D6" s="465"/>
    </row>
    <row r="7" spans="1:4" ht="15.75">
      <c r="A7" s="304" t="str">
        <f>"Phone Number:     "&amp;'Info Sheet'!B16</f>
        <v>Phone Number:     905-563-5550</v>
      </c>
      <c r="B7" s="507" t="str">
        <f>'Info Sheet'!$C$16&amp;" "&amp;'Info Sheet'!$D$16</f>
        <v>Extension: 222</v>
      </c>
      <c r="C7" s="507"/>
      <c r="D7" s="465"/>
    </row>
    <row r="8" spans="1:4" ht="16.5" thickBot="1">
      <c r="A8" s="305" t="str">
        <f>"Date:                      "&amp;('Info Sheet'!B18)</f>
        <v>Date:                      JANUARY 14, 2005</v>
      </c>
      <c r="B8" s="463"/>
      <c r="C8" s="464"/>
      <c r="D8" s="466"/>
    </row>
    <row r="9" spans="1:3" ht="15.75">
      <c r="A9" s="28"/>
      <c r="B9" s="29"/>
      <c r="C9" s="27"/>
    </row>
    <row r="10" spans="1:5" ht="16.5" customHeight="1">
      <c r="A10" s="558" t="s">
        <v>191</v>
      </c>
      <c r="B10" s="558"/>
      <c r="C10" s="558"/>
      <c r="D10" s="558"/>
      <c r="E10" s="35"/>
    </row>
    <row r="11" spans="1:5" ht="16.5" customHeight="1">
      <c r="A11" s="558"/>
      <c r="B11" s="558"/>
      <c r="C11" s="558"/>
      <c r="D11" s="558"/>
      <c r="E11" s="35"/>
    </row>
    <row r="12" spans="1:5" ht="14.25" customHeight="1">
      <c r="A12" s="313" t="s">
        <v>56</v>
      </c>
      <c r="B12" s="392"/>
      <c r="C12" s="40"/>
      <c r="D12" s="311"/>
      <c r="E12" s="35"/>
    </row>
    <row r="13" spans="1:5" ht="6" customHeight="1">
      <c r="A13" s="514"/>
      <c r="B13" s="514"/>
      <c r="C13" s="514"/>
      <c r="D13" s="514"/>
      <c r="E13" s="514"/>
    </row>
    <row r="14" spans="1:5" ht="6" customHeight="1">
      <c r="A14" s="514"/>
      <c r="B14" s="514"/>
      <c r="C14" s="514"/>
      <c r="D14" s="514"/>
      <c r="E14" s="514"/>
    </row>
    <row r="15" spans="2:4" ht="6" customHeight="1">
      <c r="B15" s="39"/>
      <c r="C15" s="40"/>
      <c r="D15" s="311"/>
    </row>
    <row r="16" spans="2:6" ht="6" customHeight="1">
      <c r="B16" s="14"/>
      <c r="C16" s="14"/>
      <c r="D16" s="14"/>
      <c r="E16" s="14"/>
      <c r="F16" s="14"/>
    </row>
    <row r="17" spans="1:7" ht="18">
      <c r="A17" s="55" t="s">
        <v>227</v>
      </c>
      <c r="B17" s="52"/>
      <c r="C17" s="53"/>
      <c r="E17" s="15"/>
      <c r="G17" s="15"/>
    </row>
    <row r="18" spans="2:7" ht="12.75">
      <c r="B18" s="15"/>
      <c r="C18" s="15"/>
      <c r="D18" s="49"/>
      <c r="E18" s="15"/>
      <c r="F18" s="15"/>
      <c r="G18" s="15"/>
    </row>
    <row r="19" spans="1:7" ht="12.75">
      <c r="A19" s="109" t="s">
        <v>66</v>
      </c>
      <c r="B19" s="109"/>
      <c r="C19" s="110"/>
      <c r="D19" s="111">
        <v>0.0207</v>
      </c>
      <c r="E19" s="15"/>
      <c r="F19" s="15"/>
      <c r="G19" s="15"/>
    </row>
    <row r="20" spans="1:7" ht="12.75">
      <c r="A20" s="112"/>
      <c r="B20" s="112"/>
      <c r="C20" s="113"/>
      <c r="D20" s="113"/>
      <c r="E20" s="15"/>
      <c r="F20" s="15"/>
      <c r="G20" s="15"/>
    </row>
    <row r="21" spans="1:7" ht="12.75">
      <c r="A21" s="109" t="s">
        <v>67</v>
      </c>
      <c r="B21" s="109"/>
      <c r="C21" s="110"/>
      <c r="D21" s="114">
        <v>8.59</v>
      </c>
      <c r="E21" s="15"/>
      <c r="F21" s="15"/>
      <c r="G21" s="15"/>
    </row>
    <row r="22" spans="3:7" ht="12.75">
      <c r="C22" s="15"/>
      <c r="D22" s="15"/>
      <c r="E22" s="15"/>
      <c r="F22" s="15"/>
      <c r="G22" s="15"/>
    </row>
    <row r="23" spans="3:7" ht="12.75">
      <c r="C23" s="15"/>
      <c r="D23" s="15"/>
      <c r="E23" s="15"/>
      <c r="F23" s="15"/>
      <c r="G23" s="15"/>
    </row>
    <row r="24" spans="1:7" ht="18">
      <c r="A24" s="55" t="s">
        <v>228</v>
      </c>
      <c r="C24" s="53"/>
      <c r="D24" s="52"/>
      <c r="E24" s="15"/>
      <c r="F24" s="15"/>
      <c r="G24" s="15"/>
    </row>
    <row r="25" spans="3:7" ht="12.75">
      <c r="C25" s="15"/>
      <c r="D25" s="15"/>
      <c r="E25" s="15"/>
      <c r="F25" s="15"/>
      <c r="G25" s="15"/>
    </row>
    <row r="26" spans="1:7" ht="12.75">
      <c r="A26" s="109" t="s">
        <v>66</v>
      </c>
      <c r="B26" s="109"/>
      <c r="C26" s="110"/>
      <c r="D26" s="111">
        <v>0.0144</v>
      </c>
      <c r="E26" s="15"/>
      <c r="F26" s="15"/>
      <c r="G26" s="15"/>
    </row>
    <row r="27" spans="1:7" ht="12.75">
      <c r="A27" s="112"/>
      <c r="B27" s="112"/>
      <c r="C27" s="113"/>
      <c r="D27" s="113"/>
      <c r="E27" s="15"/>
      <c r="F27" s="15"/>
      <c r="G27" s="15"/>
    </row>
    <row r="28" spans="1:7" ht="12.75">
      <c r="A28" s="109" t="s">
        <v>67</v>
      </c>
      <c r="B28" s="109"/>
      <c r="C28" s="110"/>
      <c r="D28" s="114">
        <v>10.67</v>
      </c>
      <c r="E28" s="15"/>
      <c r="F28" s="15"/>
      <c r="G28" s="15"/>
    </row>
    <row r="29" spans="3:7" ht="12.75">
      <c r="C29" s="15"/>
      <c r="D29" s="49"/>
      <c r="E29" s="15"/>
      <c r="F29" s="15"/>
      <c r="G29" s="15"/>
    </row>
    <row r="30" spans="3:7" ht="12.75">
      <c r="C30" s="15"/>
      <c r="D30" s="15"/>
      <c r="E30" s="15"/>
      <c r="F30" s="15"/>
      <c r="G30" s="15"/>
    </row>
    <row r="31" spans="1:7" ht="18">
      <c r="A31" s="55" t="s">
        <v>2</v>
      </c>
      <c r="C31" s="53"/>
      <c r="D31" s="52"/>
      <c r="E31" s="15"/>
      <c r="F31" s="15"/>
      <c r="G31" s="15"/>
    </row>
    <row r="32" spans="3:7" ht="12.75">
      <c r="C32" s="15"/>
      <c r="D32" s="15"/>
      <c r="E32" s="15"/>
      <c r="F32" s="15"/>
      <c r="G32" s="15"/>
    </row>
    <row r="33" spans="1:7" ht="12.75">
      <c r="A33" s="109" t="s">
        <v>66</v>
      </c>
      <c r="B33" s="34"/>
      <c r="C33" s="23"/>
      <c r="D33" s="107">
        <v>0.018</v>
      </c>
      <c r="E33" s="15"/>
      <c r="F33" s="15"/>
      <c r="G33" s="15"/>
    </row>
    <row r="34" spans="1:7" ht="12.75">
      <c r="A34" s="112"/>
      <c r="C34" s="15"/>
      <c r="D34" s="15"/>
      <c r="E34" s="15"/>
      <c r="F34" s="15"/>
      <c r="G34" s="15"/>
    </row>
    <row r="35" spans="1:7" ht="12.75">
      <c r="A35" s="109" t="s">
        <v>67</v>
      </c>
      <c r="B35" s="34"/>
      <c r="C35" s="23"/>
      <c r="D35" s="108">
        <v>10.67</v>
      </c>
      <c r="E35" s="15"/>
      <c r="F35" s="15"/>
      <c r="G35" s="15"/>
    </row>
    <row r="36" spans="3:7" ht="12.75">
      <c r="C36" s="15"/>
      <c r="D36" s="15"/>
      <c r="E36" s="15"/>
      <c r="F36" s="15"/>
      <c r="G36" s="15"/>
    </row>
    <row r="37" spans="2:7" ht="12.75">
      <c r="B37" s="15"/>
      <c r="C37" s="15"/>
      <c r="D37" s="49"/>
      <c r="E37" s="15"/>
      <c r="F37" s="15"/>
      <c r="G37" s="15"/>
    </row>
    <row r="38" spans="1:7" ht="18">
      <c r="A38" s="55" t="s">
        <v>3</v>
      </c>
      <c r="B38" s="52"/>
      <c r="C38" s="53"/>
      <c r="D38" s="49"/>
      <c r="E38" s="15"/>
      <c r="F38" s="15"/>
      <c r="G38" s="15"/>
    </row>
    <row r="39" spans="2:7" ht="12.75">
      <c r="B39" s="15"/>
      <c r="C39" s="15"/>
      <c r="D39" s="49"/>
      <c r="E39" s="15"/>
      <c r="F39" s="15"/>
      <c r="G39" s="15"/>
    </row>
    <row r="40" spans="1:7" ht="12.75">
      <c r="A40" s="109" t="s">
        <v>68</v>
      </c>
      <c r="B40" s="34"/>
      <c r="C40" s="23"/>
      <c r="D40" s="107">
        <v>6.6073</v>
      </c>
      <c r="E40" s="15"/>
      <c r="F40" s="15"/>
      <c r="G40" s="15"/>
    </row>
    <row r="41" spans="1:7" ht="12.75">
      <c r="A41" s="112"/>
      <c r="C41" s="15"/>
      <c r="D41" s="15"/>
      <c r="E41" s="15"/>
      <c r="F41" s="15"/>
      <c r="G41" s="15"/>
    </row>
    <row r="42" spans="1:7" ht="12.75">
      <c r="A42" s="109" t="s">
        <v>67</v>
      </c>
      <c r="B42" s="34"/>
      <c r="C42" s="23"/>
      <c r="D42" s="108">
        <v>22.18</v>
      </c>
      <c r="E42" s="15"/>
      <c r="F42" s="15"/>
      <c r="G42" s="15"/>
    </row>
    <row r="43" spans="2:7" ht="12.75">
      <c r="B43" s="15"/>
      <c r="C43" s="15"/>
      <c r="D43" s="49"/>
      <c r="E43" s="15"/>
      <c r="F43" s="15"/>
      <c r="G43" s="15"/>
    </row>
    <row r="44" spans="2:7" ht="12.75">
      <c r="B44" s="15"/>
      <c r="C44" s="15"/>
      <c r="D44" s="49"/>
      <c r="E44" s="15"/>
      <c r="F44" s="15"/>
      <c r="G44" s="15"/>
    </row>
    <row r="45" spans="1:7" ht="18">
      <c r="A45" s="55" t="s">
        <v>5</v>
      </c>
      <c r="B45" s="52"/>
      <c r="C45" s="53"/>
      <c r="D45" s="49"/>
      <c r="E45" s="15"/>
      <c r="F45" s="15"/>
      <c r="G45" s="15"/>
    </row>
    <row r="46" spans="1:7" ht="18">
      <c r="A46" s="8"/>
      <c r="B46" s="15"/>
      <c r="C46" s="15"/>
      <c r="D46" s="49"/>
      <c r="E46" s="15"/>
      <c r="F46" s="15"/>
      <c r="G46" s="15"/>
    </row>
    <row r="47" spans="1:7" ht="12.75">
      <c r="A47" s="109" t="s">
        <v>68</v>
      </c>
      <c r="B47" s="23"/>
      <c r="C47" s="23"/>
      <c r="D47" s="107"/>
      <c r="E47" s="15"/>
      <c r="F47" s="15"/>
      <c r="G47" s="15"/>
    </row>
    <row r="48" spans="1:7" ht="12.75">
      <c r="A48" s="112"/>
      <c r="B48" s="15"/>
      <c r="C48" s="15"/>
      <c r="D48" s="49"/>
      <c r="E48" s="15"/>
      <c r="F48" s="15"/>
      <c r="G48" s="15"/>
    </row>
    <row r="49" spans="1:7" ht="12.75">
      <c r="A49" s="109" t="s">
        <v>67</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216</v>
      </c>
      <c r="B52" s="15"/>
      <c r="C52" s="15"/>
      <c r="D52" s="49"/>
      <c r="E52" s="15"/>
      <c r="F52" s="15"/>
      <c r="G52" s="15"/>
    </row>
    <row r="53" spans="2:7" ht="12.75">
      <c r="B53" s="15"/>
      <c r="C53" s="15"/>
      <c r="D53" s="49"/>
      <c r="E53" s="15"/>
      <c r="F53" s="15"/>
      <c r="G53" s="15"/>
    </row>
    <row r="54" spans="1:7" ht="12.75">
      <c r="A54" s="109" t="s">
        <v>68</v>
      </c>
      <c r="B54" s="34"/>
      <c r="C54" s="23"/>
      <c r="D54" s="107"/>
      <c r="E54" s="15"/>
      <c r="F54" s="15"/>
      <c r="G54" s="15"/>
    </row>
    <row r="55" spans="1:7" ht="12.75">
      <c r="A55" s="112"/>
      <c r="C55" s="15"/>
      <c r="D55" s="15"/>
      <c r="E55" s="15"/>
      <c r="F55" s="15"/>
      <c r="G55" s="15"/>
    </row>
    <row r="56" spans="1:7" ht="12.75">
      <c r="A56" s="109" t="s">
        <v>67</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0</v>
      </c>
      <c r="B59" s="15"/>
      <c r="C59" s="15"/>
      <c r="D59" s="49"/>
      <c r="E59" s="15"/>
      <c r="F59" s="15"/>
      <c r="G59" s="15"/>
    </row>
    <row r="60" spans="2:7" ht="12.75">
      <c r="B60" s="15"/>
      <c r="C60" s="15"/>
      <c r="D60" s="49"/>
      <c r="E60" s="15"/>
      <c r="F60" s="15"/>
      <c r="G60" s="15"/>
    </row>
    <row r="61" spans="1:7" ht="12.75">
      <c r="A61" s="109" t="s">
        <v>68</v>
      </c>
      <c r="B61" s="23"/>
      <c r="C61" s="23"/>
      <c r="D61" s="107"/>
      <c r="E61" s="15"/>
      <c r="F61" s="15"/>
      <c r="G61" s="15"/>
    </row>
    <row r="62" spans="1:7" ht="12.75">
      <c r="A62" s="112"/>
      <c r="B62" s="15"/>
      <c r="C62" s="15"/>
      <c r="D62" s="49"/>
      <c r="E62" s="15"/>
      <c r="F62" s="15"/>
      <c r="G62" s="15"/>
    </row>
    <row r="63" spans="1:7" ht="12.75">
      <c r="A63" s="109" t="s">
        <v>67</v>
      </c>
      <c r="B63" s="51"/>
      <c r="C63" s="23"/>
      <c r="D63" s="108"/>
      <c r="E63" s="15"/>
      <c r="F63" s="15"/>
      <c r="G63" s="15"/>
    </row>
    <row r="64" spans="2:7" ht="12.75">
      <c r="B64" s="15"/>
      <c r="C64" s="15"/>
      <c r="D64" s="49"/>
      <c r="E64" s="15"/>
      <c r="F64" s="15"/>
      <c r="G64" s="15"/>
    </row>
    <row r="65" spans="3:7" ht="12.75">
      <c r="C65" s="15"/>
      <c r="E65" s="15"/>
      <c r="F65" s="15"/>
      <c r="G65" s="15"/>
    </row>
    <row r="66" spans="1:7" ht="18">
      <c r="A66" s="55" t="s">
        <v>6</v>
      </c>
      <c r="B66" s="15"/>
      <c r="C66" s="15"/>
      <c r="D66" s="49"/>
      <c r="E66" s="15"/>
      <c r="F66" s="15"/>
      <c r="G66" s="15"/>
    </row>
    <row r="67" spans="2:7" ht="12.75">
      <c r="B67" s="15"/>
      <c r="C67" s="15"/>
      <c r="D67" s="49"/>
      <c r="E67" s="15"/>
      <c r="F67" s="15"/>
      <c r="G67" s="15"/>
    </row>
    <row r="68" spans="1:7" ht="12.75">
      <c r="A68" s="109" t="s">
        <v>68</v>
      </c>
      <c r="B68" s="34"/>
      <c r="C68" s="23"/>
      <c r="D68" s="107">
        <v>2.5515</v>
      </c>
      <c r="E68" s="15"/>
      <c r="F68" s="15"/>
      <c r="G68" s="15"/>
    </row>
    <row r="69" spans="1:7" ht="12.75">
      <c r="A69" s="112"/>
      <c r="C69" s="15"/>
      <c r="D69" s="15"/>
      <c r="E69" s="15"/>
      <c r="F69" s="15"/>
      <c r="G69" s="15"/>
    </row>
    <row r="70" spans="1:7" ht="12.75">
      <c r="A70" s="109" t="s">
        <v>67</v>
      </c>
      <c r="B70" s="34"/>
      <c r="C70" s="23"/>
      <c r="D70" s="108">
        <v>0.91</v>
      </c>
      <c r="E70" s="15"/>
      <c r="F70" s="15"/>
      <c r="G70" s="15"/>
    </row>
    <row r="71" spans="2:7" ht="12.75">
      <c r="B71" s="15"/>
      <c r="C71" s="15"/>
      <c r="D71" s="49"/>
      <c r="E71" s="15"/>
      <c r="F71" s="15"/>
      <c r="G71" s="15"/>
    </row>
    <row r="72" spans="1:7" ht="12.75">
      <c r="A72" s="12" t="s">
        <v>7</v>
      </c>
      <c r="B72" s="15"/>
      <c r="C72" s="15"/>
      <c r="D72" s="49"/>
      <c r="E72" s="15"/>
      <c r="F72" s="15"/>
      <c r="G72" s="15"/>
    </row>
    <row r="73" spans="2:7" ht="12.75">
      <c r="B73" s="15"/>
      <c r="C73" s="15"/>
      <c r="D73" s="49"/>
      <c r="E73" s="15"/>
      <c r="F73" s="15"/>
      <c r="G73" s="15"/>
    </row>
    <row r="74" spans="1:7" ht="18">
      <c r="A74" s="55" t="s">
        <v>8</v>
      </c>
      <c r="B74" s="15"/>
      <c r="C74" s="15"/>
      <c r="D74" s="49"/>
      <c r="E74" s="15"/>
      <c r="F74" s="15"/>
      <c r="G74" s="15"/>
    </row>
    <row r="75" spans="2:7" ht="12.75">
      <c r="B75" s="15"/>
      <c r="C75" s="15"/>
      <c r="D75" s="49"/>
      <c r="E75" s="15"/>
      <c r="F75" s="15"/>
      <c r="G75" s="15"/>
    </row>
    <row r="76" spans="1:7" ht="12.75">
      <c r="A76" s="109" t="s">
        <v>68</v>
      </c>
      <c r="B76" s="23"/>
      <c r="C76" s="23"/>
      <c r="D76" s="107"/>
      <c r="E76" s="15"/>
      <c r="F76" s="15"/>
      <c r="G76" s="15"/>
    </row>
    <row r="77" spans="1:7" ht="12.75">
      <c r="A77" s="112"/>
      <c r="B77" s="15"/>
      <c r="C77" s="15"/>
      <c r="D77" s="15"/>
      <c r="E77" s="15"/>
      <c r="F77" s="15"/>
      <c r="G77" s="15"/>
    </row>
    <row r="78" spans="1:7" ht="12.75">
      <c r="A78" s="109" t="s">
        <v>67</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9</v>
      </c>
      <c r="B81" s="15"/>
      <c r="C81" s="15"/>
      <c r="D81" s="49"/>
      <c r="E81" s="15"/>
      <c r="F81" s="15"/>
      <c r="G81" s="15"/>
    </row>
    <row r="82" spans="2:7" ht="12.75">
      <c r="B82" s="15"/>
      <c r="C82" s="15"/>
      <c r="D82" s="49"/>
      <c r="E82" s="15"/>
      <c r="F82" s="15"/>
      <c r="G82" s="15"/>
    </row>
    <row r="83" spans="1:7" ht="12.75">
      <c r="A83" s="109" t="s">
        <v>68</v>
      </c>
      <c r="B83" s="34"/>
      <c r="C83" s="23"/>
      <c r="D83" s="107">
        <v>1.2532</v>
      </c>
      <c r="E83" s="15"/>
      <c r="F83" s="15"/>
      <c r="G83" s="15"/>
    </row>
    <row r="84" spans="1:7" ht="12.75">
      <c r="A84" s="112"/>
      <c r="C84" s="15"/>
      <c r="D84" s="49"/>
      <c r="E84" s="15"/>
      <c r="F84" s="15"/>
      <c r="G84" s="15"/>
    </row>
    <row r="85" spans="1:7" ht="12.75">
      <c r="A85" s="109" t="s">
        <v>67</v>
      </c>
      <c r="B85" s="34"/>
      <c r="C85" s="23"/>
      <c r="D85" s="108">
        <v>0.53</v>
      </c>
      <c r="E85" s="15"/>
      <c r="F85" s="15"/>
      <c r="G85" s="15"/>
    </row>
    <row r="86" spans="2:7" ht="12.75">
      <c r="B86" s="15"/>
      <c r="C86" s="15"/>
      <c r="D86" s="49"/>
      <c r="E86" s="15"/>
      <c r="F86" s="15"/>
      <c r="G86" s="15"/>
    </row>
    <row r="87" spans="1:7" ht="12.75">
      <c r="A87" s="12" t="s">
        <v>7</v>
      </c>
      <c r="B87" s="15"/>
      <c r="C87" s="15"/>
      <c r="D87" s="49"/>
      <c r="E87" s="15"/>
      <c r="F87" s="15"/>
      <c r="G87" s="15"/>
    </row>
    <row r="88" spans="2:7" ht="12.75">
      <c r="B88" s="15"/>
      <c r="C88" s="15"/>
      <c r="D88" s="49"/>
      <c r="E88" s="15"/>
      <c r="F88" s="15"/>
      <c r="G88" s="15"/>
    </row>
    <row r="89" spans="1:7" ht="18">
      <c r="A89" s="55" t="s">
        <v>10</v>
      </c>
      <c r="B89" s="15"/>
      <c r="C89" s="15"/>
      <c r="D89" s="49"/>
      <c r="E89" s="15"/>
      <c r="F89" s="15"/>
      <c r="G89" s="15"/>
    </row>
    <row r="90" spans="2:7" ht="12.75">
      <c r="B90" s="15"/>
      <c r="C90" s="15"/>
      <c r="D90" s="6"/>
      <c r="E90" s="15"/>
      <c r="F90" s="15"/>
      <c r="G90" s="15"/>
    </row>
    <row r="91" spans="1:7" ht="12.75">
      <c r="A91" s="109" t="s">
        <v>68</v>
      </c>
      <c r="B91" s="23"/>
      <c r="C91" s="23"/>
      <c r="D91" s="107"/>
      <c r="E91" s="15"/>
      <c r="F91" s="15"/>
      <c r="G91" s="15"/>
    </row>
    <row r="92" spans="1:7" ht="12.75">
      <c r="A92" s="112"/>
      <c r="B92" s="15"/>
      <c r="C92" s="15"/>
      <c r="D92" s="49"/>
      <c r="E92" s="15"/>
      <c r="F92" s="15"/>
      <c r="G92" s="15"/>
    </row>
    <row r="93" spans="1:7" ht="12.75">
      <c r="A93" s="109" t="s">
        <v>67</v>
      </c>
      <c r="B93" s="51"/>
      <c r="C93" s="23"/>
      <c r="D93" s="108"/>
      <c r="E93" s="15"/>
      <c r="F93" s="15"/>
      <c r="G93" s="15"/>
    </row>
    <row r="94" spans="2:7" ht="12.75">
      <c r="B94" s="15"/>
      <c r="C94" s="15"/>
      <c r="D94" s="49"/>
      <c r="E94" s="15"/>
      <c r="F94" s="15"/>
      <c r="G94" s="15"/>
    </row>
  </sheetData>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414"/>
  <sheetViews>
    <sheetView tabSelected="1" zoomScale="75" zoomScaleNormal="75" workbookViewId="0" topLeftCell="A1">
      <selection activeCell="P419" sqref="P419"/>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4.7109375" style="9" customWidth="1"/>
    <col min="6" max="6" width="17.28125" style="9" bestFit="1" customWidth="1"/>
    <col min="7" max="7" width="1.57421875" style="9" customWidth="1"/>
    <col min="8" max="8" width="16.140625" style="9" customWidth="1"/>
    <col min="9" max="9" width="11.57421875" style="9" bestFit="1" customWidth="1"/>
    <col min="10" max="10" width="13.57421875" style="9" customWidth="1"/>
    <col min="11" max="11" width="17.7109375" style="9" bestFit="1" customWidth="1"/>
    <col min="12" max="12" width="0.85546875" style="9" customWidth="1"/>
    <col min="13" max="13" width="11.00390625" style="9" customWidth="1"/>
    <col min="14" max="14" width="10.421875" style="157" bestFit="1" customWidth="1"/>
    <col min="15" max="16384" width="9.140625" style="9" customWidth="1"/>
  </cols>
  <sheetData>
    <row r="1" spans="1:14" ht="28.5" customHeight="1">
      <c r="A1" s="561" t="s">
        <v>192</v>
      </c>
      <c r="B1" s="561"/>
      <c r="C1" s="561"/>
      <c r="D1" s="561"/>
      <c r="E1" s="561"/>
      <c r="F1" s="561"/>
      <c r="G1" s="561"/>
      <c r="H1" s="561"/>
      <c r="I1" s="561"/>
      <c r="J1" s="561"/>
      <c r="K1" s="561"/>
      <c r="L1" s="561"/>
      <c r="M1" s="561"/>
      <c r="N1" s="561"/>
    </row>
    <row r="2" spans="1:14" ht="3.75" customHeight="1">
      <c r="A2" s="380"/>
      <c r="B2" s="380"/>
      <c r="C2" s="380"/>
      <c r="D2" s="380"/>
      <c r="E2" s="562"/>
      <c r="F2" s="562"/>
      <c r="G2" s="380"/>
      <c r="H2" s="380"/>
      <c r="I2" s="158"/>
      <c r="J2" s="158"/>
      <c r="K2" s="159"/>
      <c r="L2" s="158"/>
      <c r="M2" s="158"/>
      <c r="N2" s="160"/>
    </row>
    <row r="3" spans="1:14" ht="18.75" thickBot="1">
      <c r="A3" s="381"/>
      <c r="B3" s="31"/>
      <c r="C3" s="31"/>
      <c r="D3" s="31"/>
      <c r="E3" s="31"/>
      <c r="F3" s="31"/>
      <c r="G3" s="31"/>
      <c r="H3" s="31"/>
      <c r="N3" s="9"/>
    </row>
    <row r="4" spans="1:14" ht="15.75">
      <c r="A4" s="503" t="str">
        <f>"Name of Utility:      "&amp;'Info Sheet'!B4</f>
        <v>Name of Utility:      PENINSULA WEST UTILITIES LIMITED</v>
      </c>
      <c r="B4" s="504"/>
      <c r="C4" s="504"/>
      <c r="D4" s="504"/>
      <c r="E4" s="504"/>
      <c r="F4" s="504"/>
      <c r="G4" s="559" t="s">
        <v>194</v>
      </c>
      <c r="H4" s="560"/>
      <c r="N4" s="9"/>
    </row>
    <row r="5" spans="1:14" ht="15.75">
      <c r="A5" s="538" t="str">
        <f>"License Number:   "&amp;'Info Sheet'!B6</f>
        <v>License Number:   ED-2002-0555</v>
      </c>
      <c r="B5" s="564"/>
      <c r="C5" s="564"/>
      <c r="D5" s="564"/>
      <c r="E5" s="564"/>
      <c r="F5" s="26"/>
      <c r="G5" s="469"/>
      <c r="H5" s="399" t="str">
        <f>'Info Sheet'!B8</f>
        <v>RP-2005-0013</v>
      </c>
      <c r="N5" s="9"/>
    </row>
    <row r="6" spans="1:14" ht="15.75">
      <c r="A6" s="505" t="str">
        <f>"Name of Contact:  "&amp;'Info Sheet'!B12</f>
        <v>Name of Contact:  KAREN BUBISH</v>
      </c>
      <c r="B6" s="506"/>
      <c r="C6" s="506"/>
      <c r="D6" s="506"/>
      <c r="E6" s="506"/>
      <c r="F6" s="506"/>
      <c r="G6" s="462"/>
      <c r="H6" s="399" t="str">
        <f>'Info Sheet'!B10</f>
        <v>EB-2005-0066</v>
      </c>
      <c r="N6" s="9"/>
    </row>
    <row r="7" spans="1:14" ht="15.75">
      <c r="A7" s="502" t="str">
        <f>"E- Mail Address:    "&amp;'Info Sheet'!B14</f>
        <v>E- Mail Address:    karen@penwest.on.ca</v>
      </c>
      <c r="B7" s="507"/>
      <c r="C7" s="507"/>
      <c r="D7" s="507"/>
      <c r="E7" s="507"/>
      <c r="F7" s="507"/>
      <c r="G7" s="462"/>
      <c r="H7" s="465"/>
      <c r="N7" s="9"/>
    </row>
    <row r="8" spans="1:14" ht="15.75">
      <c r="A8" s="505" t="str">
        <f>"Phone Number:     "&amp;'Info Sheet'!B16</f>
        <v>Phone Number:     905-563-5550</v>
      </c>
      <c r="B8" s="506"/>
      <c r="C8" s="506"/>
      <c r="D8" s="506"/>
      <c r="E8" s="507" t="str">
        <f>'Info Sheet'!$C$16&amp;" "&amp;'Info Sheet'!$D$16</f>
        <v>Extension: 222</v>
      </c>
      <c r="F8" s="507"/>
      <c r="G8" s="462"/>
      <c r="H8" s="465"/>
      <c r="N8" s="9"/>
    </row>
    <row r="9" spans="1:14" ht="16.5" thickBot="1">
      <c r="A9" s="540" t="str">
        <f>"Date:                         "&amp;('Info Sheet'!B18)</f>
        <v>Date:                         JANUARY 14, 2005</v>
      </c>
      <c r="B9" s="563"/>
      <c r="C9" s="563"/>
      <c r="D9" s="563"/>
      <c r="E9" s="563"/>
      <c r="F9" s="470"/>
      <c r="G9" s="470"/>
      <c r="H9" s="466"/>
      <c r="N9" s="9"/>
    </row>
    <row r="10" spans="1:14" ht="15.75">
      <c r="A10" s="360"/>
      <c r="B10" s="361"/>
      <c r="C10" s="361"/>
      <c r="D10" s="361"/>
      <c r="E10" s="361"/>
      <c r="N10" s="9"/>
    </row>
    <row r="11" spans="1:11" ht="25.5">
      <c r="A11" s="393" t="s">
        <v>193</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605" t="s">
        <v>232</v>
      </c>
      <c r="B13" s="605"/>
      <c r="C13" s="605"/>
      <c r="D13" s="605"/>
      <c r="E13" s="163"/>
      <c r="F13" s="163"/>
      <c r="H13" s="163"/>
      <c r="I13" s="163"/>
      <c r="J13" s="163"/>
      <c r="K13" s="163"/>
      <c r="L13" s="163"/>
      <c r="M13" s="163"/>
      <c r="N13" s="163"/>
    </row>
    <row r="14" spans="1:11" ht="18">
      <c r="A14" s="55"/>
      <c r="B14" s="131"/>
      <c r="D14" s="31"/>
      <c r="E14" s="556"/>
      <c r="F14" s="556"/>
      <c r="K14" s="162"/>
    </row>
    <row r="15" spans="1:11" ht="15.75">
      <c r="A15" s="141" t="s">
        <v>90</v>
      </c>
      <c r="B15" s="164"/>
      <c r="C15" s="140"/>
      <c r="D15" s="69"/>
      <c r="E15" s="165"/>
      <c r="F15" s="165"/>
      <c r="G15" s="140"/>
      <c r="H15" s="140"/>
      <c r="I15" s="140"/>
      <c r="J15" s="140"/>
      <c r="K15" s="166"/>
    </row>
    <row r="16" spans="1:11" ht="15.75">
      <c r="A16" s="141" t="s">
        <v>46</v>
      </c>
      <c r="B16" s="164"/>
      <c r="C16" s="140"/>
      <c r="D16" s="69"/>
      <c r="E16" s="165"/>
      <c r="F16" s="165"/>
      <c r="G16" s="140"/>
      <c r="H16" s="140"/>
      <c r="I16" s="140"/>
      <c r="J16" s="140"/>
      <c r="K16" s="166"/>
    </row>
    <row r="17" spans="1:11" ht="15.75">
      <c r="A17" s="141" t="s">
        <v>48</v>
      </c>
      <c r="B17" s="164"/>
      <c r="C17" s="140"/>
      <c r="D17" s="69"/>
      <c r="E17" s="165"/>
      <c r="F17" s="165"/>
      <c r="G17" s="69"/>
      <c r="H17" s="140"/>
      <c r="I17" s="140"/>
      <c r="J17" s="140"/>
      <c r="K17" s="166"/>
    </row>
    <row r="18" spans="5:11" ht="9" customHeight="1" thickBot="1">
      <c r="E18" s="556"/>
      <c r="F18" s="556"/>
      <c r="G18" s="31"/>
      <c r="K18" s="162"/>
    </row>
    <row r="19" spans="1:14" ht="15.75" customHeight="1">
      <c r="A19" s="11"/>
      <c r="C19" s="565" t="s">
        <v>94</v>
      </c>
      <c r="D19" s="566"/>
      <c r="E19" s="566"/>
      <c r="F19" s="567"/>
      <c r="G19" s="167"/>
      <c r="H19" s="565" t="s">
        <v>95</v>
      </c>
      <c r="I19" s="566"/>
      <c r="J19" s="566"/>
      <c r="K19" s="566"/>
      <c r="L19" s="566"/>
      <c r="M19" s="566"/>
      <c r="N19" s="567"/>
    </row>
    <row r="20" spans="1:15" ht="13.5" customHeight="1" thickBot="1">
      <c r="A20"/>
      <c r="C20" s="568"/>
      <c r="D20" s="569"/>
      <c r="E20" s="569"/>
      <c r="F20" s="570"/>
      <c r="G20" s="168"/>
      <c r="H20" s="568"/>
      <c r="I20" s="569"/>
      <c r="J20" s="569"/>
      <c r="K20" s="569"/>
      <c r="L20" s="569"/>
      <c r="M20" s="569"/>
      <c r="N20" s="570"/>
      <c r="O20" s="31"/>
    </row>
    <row r="21" spans="1:14" ht="48.75" customHeight="1" thickBot="1">
      <c r="A21" s="169" t="s">
        <v>76</v>
      </c>
      <c r="B21" s="170"/>
      <c r="C21" s="577"/>
      <c r="D21" s="571" t="s">
        <v>12</v>
      </c>
      <c r="E21" s="573" t="s">
        <v>77</v>
      </c>
      <c r="F21" s="575" t="s">
        <v>199</v>
      </c>
      <c r="G21" s="167"/>
      <c r="H21" s="171"/>
      <c r="I21" s="571" t="s">
        <v>12</v>
      </c>
      <c r="J21" s="573" t="s">
        <v>77</v>
      </c>
      <c r="K21" s="575" t="s">
        <v>199</v>
      </c>
      <c r="L21" s="170"/>
      <c r="M21" s="588" t="s">
        <v>198</v>
      </c>
      <c r="N21" s="590" t="s">
        <v>78</v>
      </c>
    </row>
    <row r="22" spans="1:14" ht="13.5" thickBot="1">
      <c r="A22" s="172">
        <v>100</v>
      </c>
      <c r="B22" s="31"/>
      <c r="C22" s="578"/>
      <c r="D22" s="572"/>
      <c r="E22" s="574"/>
      <c r="F22" s="576"/>
      <c r="G22" s="168"/>
      <c r="H22" s="31"/>
      <c r="I22" s="586"/>
      <c r="J22" s="587"/>
      <c r="K22" s="576"/>
      <c r="L22" s="32"/>
      <c r="M22" s="589"/>
      <c r="N22" s="591"/>
    </row>
    <row r="23" spans="1:14" ht="25.5">
      <c r="A23" s="173"/>
      <c r="B23" s="31"/>
      <c r="C23" s="454" t="s">
        <v>23</v>
      </c>
      <c r="D23" s="175" t="s">
        <v>79</v>
      </c>
      <c r="E23" s="176" t="s">
        <v>79</v>
      </c>
      <c r="F23" s="235">
        <f>'12. Current Rates'!D21</f>
        <v>8.59</v>
      </c>
      <c r="G23" s="168"/>
      <c r="H23" s="457" t="s">
        <v>23</v>
      </c>
      <c r="I23" s="175" t="s">
        <v>79</v>
      </c>
      <c r="J23" s="175" t="s">
        <v>79</v>
      </c>
      <c r="K23" s="235">
        <f>'11. 2005 Final Rate Schedule '!F13</f>
        <v>9.195373834094259</v>
      </c>
      <c r="L23" s="180"/>
      <c r="M23" s="593"/>
      <c r="N23" s="594"/>
    </row>
    <row r="24" spans="1:14" ht="26.25" thickBot="1">
      <c r="A24" s="86"/>
      <c r="B24" s="31"/>
      <c r="C24" s="455" t="s">
        <v>80</v>
      </c>
      <c r="D24" s="236">
        <f>A22</f>
        <v>100</v>
      </c>
      <c r="E24" s="443">
        <f>'12. Current Rates'!D19</f>
        <v>0.0207</v>
      </c>
      <c r="F24" s="356">
        <f>D24*E24</f>
        <v>2.07</v>
      </c>
      <c r="G24" s="168"/>
      <c r="H24" s="458" t="s">
        <v>80</v>
      </c>
      <c r="I24" s="182">
        <f>D24</f>
        <v>100</v>
      </c>
      <c r="J24" s="449">
        <f>'11. 2005 Final Rate Schedule '!F14</f>
        <v>0.022900691302773692</v>
      </c>
      <c r="K24" s="238">
        <f>I24*J24</f>
        <v>2.2900691302773692</v>
      </c>
      <c r="L24" s="180"/>
      <c r="M24" s="595"/>
      <c r="N24" s="596"/>
    </row>
    <row r="25" spans="1:14" ht="13.5" thickBot="1">
      <c r="A25" s="86"/>
      <c r="B25" s="31"/>
      <c r="C25" s="579"/>
      <c r="D25" s="580"/>
      <c r="E25" s="188" t="s">
        <v>50</v>
      </c>
      <c r="F25" s="376">
        <f>SUM(F23:F24)</f>
        <v>10.66</v>
      </c>
      <c r="G25" s="168"/>
      <c r="H25" s="581"/>
      <c r="I25" s="582"/>
      <c r="J25" s="188" t="s">
        <v>81</v>
      </c>
      <c r="K25" s="190">
        <f>SUM(K23:K24)</f>
        <v>11.485442964371629</v>
      </c>
      <c r="L25" s="180"/>
      <c r="M25" s="191">
        <f>K25-F25</f>
        <v>0.8254429643716286</v>
      </c>
      <c r="N25" s="192">
        <f>M25/F25</f>
        <v>0.07743367395606271</v>
      </c>
    </row>
    <row r="26" spans="1:14" ht="27" customHeight="1">
      <c r="A26" s="86"/>
      <c r="B26" s="31"/>
      <c r="C26" s="455" t="s">
        <v>82</v>
      </c>
      <c r="D26" s="182">
        <f>A22</f>
        <v>100</v>
      </c>
      <c r="E26" s="444">
        <v>0.0239</v>
      </c>
      <c r="F26" s="377">
        <f>D26*E26</f>
        <v>2.39</v>
      </c>
      <c r="G26" s="168"/>
      <c r="H26" s="458" t="s">
        <v>82</v>
      </c>
      <c r="I26" s="182">
        <f aca="true" t="shared" si="0" ref="I26:K27">D26</f>
        <v>100</v>
      </c>
      <c r="J26" s="450">
        <f t="shared" si="0"/>
        <v>0.0239</v>
      </c>
      <c r="K26" s="240">
        <f t="shared" si="0"/>
        <v>2.39</v>
      </c>
      <c r="L26" s="180"/>
      <c r="M26" s="593"/>
      <c r="N26" s="594"/>
    </row>
    <row r="27" spans="1:14" ht="25.5" customHeight="1" thickBot="1">
      <c r="A27" s="86"/>
      <c r="B27" s="31"/>
      <c r="C27" s="456" t="s">
        <v>83</v>
      </c>
      <c r="D27" s="182">
        <f>A22</f>
        <v>100</v>
      </c>
      <c r="E27" s="445">
        <v>0.047</v>
      </c>
      <c r="F27" s="356">
        <f>D27*E27</f>
        <v>4.7</v>
      </c>
      <c r="G27" s="168"/>
      <c r="H27" s="459" t="s">
        <v>83</v>
      </c>
      <c r="I27" s="451">
        <f t="shared" si="0"/>
        <v>100</v>
      </c>
      <c r="J27" s="452">
        <f t="shared" si="0"/>
        <v>0.047</v>
      </c>
      <c r="K27" s="244">
        <f t="shared" si="0"/>
        <v>4.7</v>
      </c>
      <c r="L27" s="180"/>
      <c r="M27" s="597"/>
      <c r="N27" s="598"/>
    </row>
    <row r="28" spans="1:14" ht="7.5" customHeight="1" thickBot="1">
      <c r="A28" s="86"/>
      <c r="B28" s="31"/>
      <c r="C28" s="583"/>
      <c r="D28" s="584"/>
      <c r="E28" s="584"/>
      <c r="F28" s="585"/>
      <c r="G28" s="168"/>
      <c r="H28" s="584"/>
      <c r="I28" s="584"/>
      <c r="J28" s="584"/>
      <c r="K28" s="585"/>
      <c r="L28" s="31"/>
      <c r="M28" s="86"/>
      <c r="N28" s="203"/>
    </row>
    <row r="29" spans="1:14" ht="13.5" thickBot="1">
      <c r="A29" s="94"/>
      <c r="B29" s="149"/>
      <c r="C29" s="204" t="s">
        <v>218</v>
      </c>
      <c r="D29" s="205"/>
      <c r="E29" s="205"/>
      <c r="F29" s="190">
        <f>SUM(F26:F27,F25)</f>
        <v>17.75</v>
      </c>
      <c r="G29" s="207"/>
      <c r="H29" s="592" t="s">
        <v>219</v>
      </c>
      <c r="I29" s="592"/>
      <c r="J29" s="592"/>
      <c r="K29" s="190">
        <f>SUM(K25:K27)</f>
        <v>18.57544296437163</v>
      </c>
      <c r="L29" s="208"/>
      <c r="M29" s="191">
        <f>K29-F29</f>
        <v>0.8254429643716286</v>
      </c>
      <c r="N29" s="192">
        <f>M29/F29</f>
        <v>0.0465038289786833</v>
      </c>
    </row>
    <row r="30" ht="12.75">
      <c r="K30" s="162"/>
    </row>
    <row r="31" spans="6:11" ht="13.5" thickBot="1">
      <c r="F31" s="162"/>
      <c r="K31" s="162"/>
    </row>
    <row r="32" spans="1:14" ht="60.75" thickBot="1">
      <c r="A32" s="169" t="s">
        <v>76</v>
      </c>
      <c r="B32" s="170"/>
      <c r="C32" s="577"/>
      <c r="D32" s="571" t="s">
        <v>12</v>
      </c>
      <c r="E32" s="573" t="s">
        <v>77</v>
      </c>
      <c r="F32" s="575" t="s">
        <v>199</v>
      </c>
      <c r="G32" s="167"/>
      <c r="H32" s="171"/>
      <c r="I32" s="571" t="s">
        <v>12</v>
      </c>
      <c r="J32" s="573" t="s">
        <v>77</v>
      </c>
      <c r="K32" s="575" t="s">
        <v>199</v>
      </c>
      <c r="L32" s="170"/>
      <c r="M32" s="588" t="s">
        <v>198</v>
      </c>
      <c r="N32" s="590" t="s">
        <v>78</v>
      </c>
    </row>
    <row r="33" spans="1:14" ht="13.5" thickBot="1">
      <c r="A33" s="172">
        <v>250</v>
      </c>
      <c r="B33" s="31"/>
      <c r="C33" s="578"/>
      <c r="D33" s="572"/>
      <c r="E33" s="574"/>
      <c r="F33" s="576"/>
      <c r="G33" s="168"/>
      <c r="H33" s="31"/>
      <c r="I33" s="586"/>
      <c r="J33" s="587"/>
      <c r="K33" s="576"/>
      <c r="L33" s="32"/>
      <c r="M33" s="589"/>
      <c r="N33" s="591"/>
    </row>
    <row r="34" spans="1:14" ht="25.5">
      <c r="A34" s="173"/>
      <c r="B34" s="31"/>
      <c r="C34" s="174" t="s">
        <v>23</v>
      </c>
      <c r="D34" s="175" t="s">
        <v>79</v>
      </c>
      <c r="E34" s="176" t="s">
        <v>79</v>
      </c>
      <c r="F34" s="235">
        <f>F23</f>
        <v>8.59</v>
      </c>
      <c r="G34" s="168"/>
      <c r="H34" s="178" t="s">
        <v>23</v>
      </c>
      <c r="I34" s="209" t="str">
        <f>D34</f>
        <v>N/A</v>
      </c>
      <c r="J34" s="179" t="s">
        <v>79</v>
      </c>
      <c r="K34" s="228">
        <f>$K$23</f>
        <v>9.195373834094259</v>
      </c>
      <c r="L34" s="180"/>
      <c r="M34" s="593"/>
      <c r="N34" s="594"/>
    </row>
    <row r="35" spans="1:14" ht="26.25" thickBot="1">
      <c r="A35" s="86"/>
      <c r="B35" s="31"/>
      <c r="C35" s="181" t="s">
        <v>80</v>
      </c>
      <c r="D35" s="236">
        <f>A33</f>
        <v>250</v>
      </c>
      <c r="E35" s="183">
        <f>E24</f>
        <v>0.0207</v>
      </c>
      <c r="F35" s="356">
        <f>D35*E35</f>
        <v>5.175</v>
      </c>
      <c r="G35" s="168"/>
      <c r="H35" s="185" t="s">
        <v>80</v>
      </c>
      <c r="I35" s="186">
        <f>D35</f>
        <v>250</v>
      </c>
      <c r="J35" s="448">
        <f>$J$24</f>
        <v>0.022900691302773692</v>
      </c>
      <c r="K35" s="187">
        <f>I35*J35</f>
        <v>5.725172825693423</v>
      </c>
      <c r="L35" s="180"/>
      <c r="M35" s="595"/>
      <c r="N35" s="596"/>
    </row>
    <row r="36" spans="1:14" ht="24.75" customHeight="1" thickBot="1">
      <c r="A36" s="86"/>
      <c r="B36" s="31"/>
      <c r="C36" s="599"/>
      <c r="D36" s="600"/>
      <c r="E36" s="188" t="s">
        <v>50</v>
      </c>
      <c r="F36" s="376">
        <f>SUM(F34:F35)</f>
        <v>13.765</v>
      </c>
      <c r="G36" s="168"/>
      <c r="H36" s="581"/>
      <c r="I36" s="582"/>
      <c r="J36" s="188" t="s">
        <v>81</v>
      </c>
      <c r="K36" s="190">
        <f>SUM(K34:K35)</f>
        <v>14.920546659787682</v>
      </c>
      <c r="L36" s="180"/>
      <c r="M36" s="191">
        <f>K36-F36</f>
        <v>1.1555466597876816</v>
      </c>
      <c r="N36" s="192">
        <f>M36/F36</f>
        <v>0.08394817724574512</v>
      </c>
    </row>
    <row r="37" spans="1:14" ht="27" customHeight="1">
      <c r="A37" s="86"/>
      <c r="B37" s="31"/>
      <c r="C37" s="181" t="s">
        <v>82</v>
      </c>
      <c r="D37" s="182">
        <f>A33</f>
        <v>250</v>
      </c>
      <c r="E37" s="444">
        <v>0.0239</v>
      </c>
      <c r="F37" s="377">
        <f>D37*E37</f>
        <v>5.9750000000000005</v>
      </c>
      <c r="G37" s="168"/>
      <c r="H37" s="185" t="s">
        <v>82</v>
      </c>
      <c r="I37" s="186">
        <f aca="true" t="shared" si="1" ref="I37:K38">D37</f>
        <v>250</v>
      </c>
      <c r="J37" s="446">
        <f t="shared" si="1"/>
        <v>0.0239</v>
      </c>
      <c r="K37" s="196">
        <f t="shared" si="1"/>
        <v>5.9750000000000005</v>
      </c>
      <c r="L37" s="180"/>
      <c r="M37" s="593"/>
      <c r="N37" s="594"/>
    </row>
    <row r="38" spans="1:14" ht="26.25" thickBot="1">
      <c r="A38" s="86"/>
      <c r="B38" s="31"/>
      <c r="C38" s="197" t="s">
        <v>83</v>
      </c>
      <c r="D38" s="182">
        <f>A33</f>
        <v>250</v>
      </c>
      <c r="E38" s="445">
        <v>0.047</v>
      </c>
      <c r="F38" s="356">
        <f>D38*E38</f>
        <v>11.75</v>
      </c>
      <c r="G38" s="168"/>
      <c r="H38" s="199" t="s">
        <v>83</v>
      </c>
      <c r="I38" s="200">
        <f t="shared" si="1"/>
        <v>250</v>
      </c>
      <c r="J38" s="447">
        <f t="shared" si="1"/>
        <v>0.047</v>
      </c>
      <c r="K38" s="202">
        <f t="shared" si="1"/>
        <v>11.75</v>
      </c>
      <c r="L38" s="180"/>
      <c r="M38" s="597"/>
      <c r="N38" s="598"/>
    </row>
    <row r="39" spans="1:14" ht="13.5" thickBot="1">
      <c r="A39" s="86"/>
      <c r="B39" s="31"/>
      <c r="C39" s="583"/>
      <c r="D39" s="584"/>
      <c r="E39" s="584"/>
      <c r="F39" s="585"/>
      <c r="G39" s="168"/>
      <c r="H39" s="584"/>
      <c r="I39" s="584"/>
      <c r="J39" s="584"/>
      <c r="K39" s="585"/>
      <c r="L39" s="31"/>
      <c r="M39" s="86"/>
      <c r="N39" s="203"/>
    </row>
    <row r="40" spans="1:14" ht="13.5" thickBot="1">
      <c r="A40" s="94"/>
      <c r="B40" s="149"/>
      <c r="C40" s="204" t="s">
        <v>218</v>
      </c>
      <c r="D40" s="205"/>
      <c r="E40" s="205"/>
      <c r="F40" s="190">
        <f>SUM(F37:F38,F36)</f>
        <v>31.490000000000002</v>
      </c>
      <c r="G40" s="207"/>
      <c r="H40" s="592" t="s">
        <v>219</v>
      </c>
      <c r="I40" s="592"/>
      <c r="J40" s="592"/>
      <c r="K40" s="190">
        <f>SUM(K36:K38)</f>
        <v>32.64554665978768</v>
      </c>
      <c r="L40" s="208"/>
      <c r="M40" s="191">
        <f>K40-F40</f>
        <v>1.1555466597876816</v>
      </c>
      <c r="N40" s="192">
        <f>M40/F40</f>
        <v>0.03669567036480411</v>
      </c>
    </row>
    <row r="41" ht="12.75">
      <c r="K41" s="162"/>
    </row>
    <row r="42" spans="1:14" ht="11.25" customHeight="1" thickBot="1">
      <c r="A42" s="47"/>
      <c r="B42" s="12"/>
      <c r="D42" s="10"/>
      <c r="E42" s="10"/>
      <c r="F42" s="210"/>
      <c r="I42" s="10"/>
      <c r="J42" s="10"/>
      <c r="K42" s="211"/>
      <c r="L42" s="12"/>
      <c r="M42" s="12"/>
      <c r="N42" s="212"/>
    </row>
    <row r="43" spans="1:14" ht="60.75" thickBot="1">
      <c r="A43" s="169" t="s">
        <v>76</v>
      </c>
      <c r="B43" s="170"/>
      <c r="C43" s="602"/>
      <c r="D43" s="571" t="s">
        <v>12</v>
      </c>
      <c r="E43" s="573" t="s">
        <v>77</v>
      </c>
      <c r="F43" s="575" t="s">
        <v>199</v>
      </c>
      <c r="G43" s="167"/>
      <c r="H43" s="171"/>
      <c r="I43" s="571" t="s">
        <v>12</v>
      </c>
      <c r="J43" s="573" t="s">
        <v>77</v>
      </c>
      <c r="K43" s="575" t="s">
        <v>199</v>
      </c>
      <c r="L43" s="170"/>
      <c r="M43" s="588" t="s">
        <v>198</v>
      </c>
      <c r="N43" s="590" t="s">
        <v>78</v>
      </c>
    </row>
    <row r="44" spans="1:14" ht="13.5" thickBot="1">
      <c r="A44" s="172">
        <v>500</v>
      </c>
      <c r="B44" s="31"/>
      <c r="C44" s="603"/>
      <c r="D44" s="572"/>
      <c r="E44" s="574"/>
      <c r="F44" s="576"/>
      <c r="G44" s="168"/>
      <c r="H44" s="31"/>
      <c r="I44" s="586"/>
      <c r="J44" s="587"/>
      <c r="K44" s="576"/>
      <c r="L44" s="32"/>
      <c r="M44" s="589"/>
      <c r="N44" s="591"/>
    </row>
    <row r="45" spans="1:14" ht="25.5">
      <c r="A45" s="173"/>
      <c r="B45" s="31"/>
      <c r="C45" s="174" t="s">
        <v>23</v>
      </c>
      <c r="D45" s="175" t="s">
        <v>79</v>
      </c>
      <c r="E45" s="176" t="s">
        <v>79</v>
      </c>
      <c r="F45" s="235">
        <f>F34</f>
        <v>8.59</v>
      </c>
      <c r="G45" s="168"/>
      <c r="H45" s="178" t="s">
        <v>23</v>
      </c>
      <c r="I45" s="209" t="str">
        <f>D45</f>
        <v>N/A</v>
      </c>
      <c r="J45" s="179" t="s">
        <v>79</v>
      </c>
      <c r="K45" s="228">
        <f>$K$23</f>
        <v>9.195373834094259</v>
      </c>
      <c r="L45" s="180"/>
      <c r="M45" s="593"/>
      <c r="N45" s="594"/>
    </row>
    <row r="46" spans="1:14" ht="25.5" customHeight="1" thickBot="1">
      <c r="A46" s="86"/>
      <c r="B46" s="31"/>
      <c r="C46" s="181" t="s">
        <v>80</v>
      </c>
      <c r="D46" s="236">
        <f>A44</f>
        <v>500</v>
      </c>
      <c r="E46" s="183">
        <f>E35</f>
        <v>0.0207</v>
      </c>
      <c r="F46" s="356">
        <f>D46*E46</f>
        <v>10.35</v>
      </c>
      <c r="G46" s="168"/>
      <c r="H46" s="185" t="s">
        <v>80</v>
      </c>
      <c r="I46" s="378">
        <f>D46</f>
        <v>500</v>
      </c>
      <c r="J46" s="448">
        <f>$J$24</f>
        <v>0.022900691302773692</v>
      </c>
      <c r="K46" s="187">
        <f>I46*J46</f>
        <v>11.450345651386845</v>
      </c>
      <c r="L46" s="180"/>
      <c r="M46" s="595"/>
      <c r="N46" s="596"/>
    </row>
    <row r="47" spans="1:14" ht="13.5" thickBot="1">
      <c r="A47" s="86"/>
      <c r="B47" s="31"/>
      <c r="C47" s="599"/>
      <c r="D47" s="601"/>
      <c r="E47" s="188" t="s">
        <v>50</v>
      </c>
      <c r="F47" s="376">
        <f>SUM(F45:F46)</f>
        <v>18.939999999999998</v>
      </c>
      <c r="G47" s="168"/>
      <c r="H47" s="581"/>
      <c r="I47" s="582"/>
      <c r="J47" s="188" t="s">
        <v>81</v>
      </c>
      <c r="K47" s="190">
        <f>SUM(K45:K46)</f>
        <v>20.645719485481102</v>
      </c>
      <c r="L47" s="180"/>
      <c r="M47" s="191">
        <f>K47-F47</f>
        <v>1.7057194854811044</v>
      </c>
      <c r="N47" s="192">
        <f>M47/F47</f>
        <v>0.09005910694198017</v>
      </c>
    </row>
    <row r="48" spans="1:14" ht="25.5">
      <c r="A48" s="86"/>
      <c r="B48" s="31"/>
      <c r="C48" s="181" t="s">
        <v>82</v>
      </c>
      <c r="D48" s="182">
        <f>A44</f>
        <v>500</v>
      </c>
      <c r="E48" s="444">
        <v>0.0239</v>
      </c>
      <c r="F48" s="377">
        <f>D48*E48</f>
        <v>11.950000000000001</v>
      </c>
      <c r="G48" s="168"/>
      <c r="H48" s="185" t="s">
        <v>82</v>
      </c>
      <c r="I48" s="186">
        <f aca="true" t="shared" si="2" ref="I48:K49">D48</f>
        <v>500</v>
      </c>
      <c r="J48" s="446">
        <f t="shared" si="2"/>
        <v>0.0239</v>
      </c>
      <c r="K48" s="196">
        <f t="shared" si="2"/>
        <v>11.950000000000001</v>
      </c>
      <c r="L48" s="180"/>
      <c r="M48" s="593"/>
      <c r="N48" s="594"/>
    </row>
    <row r="49" spans="1:14" ht="26.25" thickBot="1">
      <c r="A49" s="86"/>
      <c r="B49" s="31"/>
      <c r="C49" s="197" t="s">
        <v>83</v>
      </c>
      <c r="D49" s="182">
        <f>A44</f>
        <v>500</v>
      </c>
      <c r="E49" s="445">
        <v>0.047</v>
      </c>
      <c r="F49" s="356">
        <f>D49*E49</f>
        <v>23.5</v>
      </c>
      <c r="G49" s="168"/>
      <c r="H49" s="199" t="s">
        <v>83</v>
      </c>
      <c r="I49" s="200">
        <f t="shared" si="2"/>
        <v>500</v>
      </c>
      <c r="J49" s="447">
        <f t="shared" si="2"/>
        <v>0.047</v>
      </c>
      <c r="K49" s="202">
        <f t="shared" si="2"/>
        <v>23.5</v>
      </c>
      <c r="L49" s="180"/>
      <c r="M49" s="597"/>
      <c r="N49" s="598"/>
    </row>
    <row r="50" spans="1:14" ht="13.5" thickBot="1">
      <c r="A50" s="86"/>
      <c r="B50" s="31"/>
      <c r="C50" s="583"/>
      <c r="D50" s="584"/>
      <c r="E50" s="584"/>
      <c r="F50" s="585"/>
      <c r="G50" s="168"/>
      <c r="H50" s="584"/>
      <c r="I50" s="584"/>
      <c r="J50" s="584"/>
      <c r="K50" s="585"/>
      <c r="L50" s="31"/>
      <c r="M50" s="86"/>
      <c r="N50" s="203"/>
    </row>
    <row r="51" spans="1:14" ht="13.5" thickBot="1">
      <c r="A51" s="94"/>
      <c r="B51" s="149"/>
      <c r="C51" s="204" t="s">
        <v>218</v>
      </c>
      <c r="D51" s="205"/>
      <c r="E51" s="205"/>
      <c r="F51" s="190">
        <f>SUM(F48:F49,F47)</f>
        <v>54.39</v>
      </c>
      <c r="G51" s="207"/>
      <c r="H51" s="592" t="s">
        <v>219</v>
      </c>
      <c r="I51" s="592"/>
      <c r="J51" s="592"/>
      <c r="K51" s="190">
        <f>SUM(K47:K49)</f>
        <v>56.095719485481105</v>
      </c>
      <c r="L51" s="208"/>
      <c r="M51" s="191">
        <f>K51-F51</f>
        <v>1.7057194854811044</v>
      </c>
      <c r="N51" s="192">
        <f>M51/F51</f>
        <v>0.03136090247253363</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76</v>
      </c>
      <c r="B54" s="170"/>
      <c r="C54" s="577"/>
      <c r="D54" s="571" t="s">
        <v>12</v>
      </c>
      <c r="E54" s="573" t="s">
        <v>77</v>
      </c>
      <c r="F54" s="575" t="s">
        <v>199</v>
      </c>
      <c r="G54" s="167"/>
      <c r="H54" s="171"/>
      <c r="I54" s="571" t="s">
        <v>12</v>
      </c>
      <c r="J54" s="573" t="s">
        <v>77</v>
      </c>
      <c r="K54" s="575" t="s">
        <v>199</v>
      </c>
      <c r="L54" s="170"/>
      <c r="M54" s="588" t="s">
        <v>198</v>
      </c>
      <c r="N54" s="590" t="s">
        <v>78</v>
      </c>
    </row>
    <row r="55" spans="1:14" ht="13.5" thickBot="1">
      <c r="A55" s="172">
        <v>750</v>
      </c>
      <c r="B55" s="31"/>
      <c r="C55" s="578"/>
      <c r="D55" s="572"/>
      <c r="E55" s="574"/>
      <c r="F55" s="576"/>
      <c r="G55" s="168"/>
      <c r="H55" s="31"/>
      <c r="I55" s="586"/>
      <c r="J55" s="587"/>
      <c r="K55" s="576"/>
      <c r="L55" s="32"/>
      <c r="M55" s="589"/>
      <c r="N55" s="591"/>
    </row>
    <row r="56" spans="1:14" ht="26.25" customHeight="1">
      <c r="A56" s="173"/>
      <c r="B56" s="31"/>
      <c r="C56" s="174" t="s">
        <v>23</v>
      </c>
      <c r="D56" s="175" t="s">
        <v>79</v>
      </c>
      <c r="E56" s="176" t="s">
        <v>79</v>
      </c>
      <c r="F56" s="235">
        <f>F45</f>
        <v>8.59</v>
      </c>
      <c r="G56" s="168"/>
      <c r="H56" s="178" t="s">
        <v>23</v>
      </c>
      <c r="I56" s="209" t="str">
        <f>D56</f>
        <v>N/A</v>
      </c>
      <c r="J56" s="179" t="s">
        <v>79</v>
      </c>
      <c r="K56" s="228">
        <f>$K$23</f>
        <v>9.195373834094259</v>
      </c>
      <c r="L56" s="180"/>
      <c r="M56" s="593"/>
      <c r="N56" s="594"/>
    </row>
    <row r="57" spans="1:14" ht="26.25" customHeight="1" thickBot="1">
      <c r="A57" s="86"/>
      <c r="B57" s="31"/>
      <c r="C57" s="181" t="s">
        <v>80</v>
      </c>
      <c r="D57" s="236">
        <f>A55</f>
        <v>750</v>
      </c>
      <c r="E57" s="183">
        <f>E46</f>
        <v>0.0207</v>
      </c>
      <c r="F57" s="356">
        <f>D57*E57</f>
        <v>15.525</v>
      </c>
      <c r="G57" s="168"/>
      <c r="H57" s="185" t="s">
        <v>80</v>
      </c>
      <c r="I57" s="378">
        <f>D57</f>
        <v>750</v>
      </c>
      <c r="J57" s="229">
        <f>$J$24</f>
        <v>0.022900691302773692</v>
      </c>
      <c r="K57" s="187">
        <f>I57*J57</f>
        <v>17.17551847708027</v>
      </c>
      <c r="L57" s="180"/>
      <c r="M57" s="595"/>
      <c r="N57" s="596"/>
    </row>
    <row r="58" spans="1:14" ht="13.5" thickBot="1">
      <c r="A58" s="86"/>
      <c r="B58" s="31"/>
      <c r="C58" s="599"/>
      <c r="D58" s="600"/>
      <c r="E58" s="188" t="s">
        <v>50</v>
      </c>
      <c r="F58" s="376">
        <f>SUM(F56:F57)</f>
        <v>24.115000000000002</v>
      </c>
      <c r="G58" s="168"/>
      <c r="H58" s="581"/>
      <c r="I58" s="582"/>
      <c r="J58" s="188" t="s">
        <v>81</v>
      </c>
      <c r="K58" s="190">
        <f>SUM(K56:K57)</f>
        <v>26.37089231117453</v>
      </c>
      <c r="L58" s="180"/>
      <c r="M58" s="191">
        <f>K58-F58</f>
        <v>2.2558923111745273</v>
      </c>
      <c r="N58" s="192">
        <f>M58/F58</f>
        <v>0.09354726565102746</v>
      </c>
    </row>
    <row r="59" spans="1:14" ht="25.5">
      <c r="A59" s="86"/>
      <c r="B59" s="31"/>
      <c r="C59" s="181" t="s">
        <v>82</v>
      </c>
      <c r="D59" s="182">
        <f>A55</f>
        <v>750</v>
      </c>
      <c r="E59" s="193">
        <v>0.0239</v>
      </c>
      <c r="F59" s="377">
        <f>D59*E59</f>
        <v>17.925</v>
      </c>
      <c r="G59" s="168"/>
      <c r="H59" s="185" t="s">
        <v>82</v>
      </c>
      <c r="I59" s="186">
        <f aca="true" t="shared" si="3" ref="I59:K60">D59</f>
        <v>750</v>
      </c>
      <c r="J59" s="195">
        <f t="shared" si="3"/>
        <v>0.0239</v>
      </c>
      <c r="K59" s="196">
        <f t="shared" si="3"/>
        <v>17.925</v>
      </c>
      <c r="L59" s="180"/>
      <c r="M59" s="593"/>
      <c r="N59" s="594"/>
    </row>
    <row r="60" spans="1:14" ht="26.25" thickBot="1">
      <c r="A60" s="86"/>
      <c r="B60" s="31"/>
      <c r="C60" s="197" t="s">
        <v>83</v>
      </c>
      <c r="D60" s="182">
        <f>A55</f>
        <v>750</v>
      </c>
      <c r="E60" s="198">
        <v>0.047</v>
      </c>
      <c r="F60" s="356">
        <f>D60*E60</f>
        <v>35.25</v>
      </c>
      <c r="G60" s="168"/>
      <c r="H60" s="199" t="s">
        <v>83</v>
      </c>
      <c r="I60" s="200">
        <f t="shared" si="3"/>
        <v>750</v>
      </c>
      <c r="J60" s="201">
        <f t="shared" si="3"/>
        <v>0.047</v>
      </c>
      <c r="K60" s="202">
        <f t="shared" si="3"/>
        <v>35.25</v>
      </c>
      <c r="L60" s="180"/>
      <c r="M60" s="597"/>
      <c r="N60" s="598"/>
    </row>
    <row r="61" spans="1:14" ht="13.5" thickBot="1">
      <c r="A61" s="86"/>
      <c r="B61" s="31"/>
      <c r="C61" s="583"/>
      <c r="D61" s="584"/>
      <c r="E61" s="584"/>
      <c r="F61" s="585"/>
      <c r="G61" s="168"/>
      <c r="H61" s="584"/>
      <c r="I61" s="584"/>
      <c r="J61" s="584"/>
      <c r="K61" s="585"/>
      <c r="L61" s="31"/>
      <c r="M61" s="86"/>
      <c r="N61" s="203"/>
    </row>
    <row r="62" spans="1:14" ht="13.5" thickBot="1">
      <c r="A62" s="94"/>
      <c r="B62" s="149"/>
      <c r="C62" s="204" t="s">
        <v>218</v>
      </c>
      <c r="D62" s="205"/>
      <c r="E62" s="205"/>
      <c r="F62" s="190">
        <f>SUM(F59:F60,F58)</f>
        <v>77.28999999999999</v>
      </c>
      <c r="G62" s="207"/>
      <c r="H62" s="592" t="s">
        <v>219</v>
      </c>
      <c r="I62" s="592"/>
      <c r="J62" s="592"/>
      <c r="K62" s="190">
        <f>SUM(K58:K60)</f>
        <v>79.54589231117453</v>
      </c>
      <c r="L62" s="208"/>
      <c r="M62" s="191">
        <f>K62-F62</f>
        <v>2.2558923111745344</v>
      </c>
      <c r="N62" s="192">
        <f>M62/F62</f>
        <v>0.029187376260506336</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76</v>
      </c>
      <c r="B65" s="170"/>
      <c r="C65" s="577"/>
      <c r="D65" s="571" t="s">
        <v>12</v>
      </c>
      <c r="E65" s="573" t="s">
        <v>77</v>
      </c>
      <c r="F65" s="575" t="s">
        <v>199</v>
      </c>
      <c r="G65" s="167"/>
      <c r="H65" s="171"/>
      <c r="I65" s="571" t="s">
        <v>12</v>
      </c>
      <c r="J65" s="573" t="s">
        <v>77</v>
      </c>
      <c r="K65" s="575" t="s">
        <v>199</v>
      </c>
      <c r="L65" s="170"/>
      <c r="M65" s="588" t="s">
        <v>198</v>
      </c>
      <c r="N65" s="590" t="s">
        <v>78</v>
      </c>
    </row>
    <row r="66" spans="1:14" ht="13.5" thickBot="1">
      <c r="A66" s="172">
        <v>1000</v>
      </c>
      <c r="B66" s="31"/>
      <c r="C66" s="578"/>
      <c r="D66" s="572"/>
      <c r="E66" s="574"/>
      <c r="F66" s="576"/>
      <c r="G66" s="168"/>
      <c r="H66" s="31"/>
      <c r="I66" s="586"/>
      <c r="J66" s="587"/>
      <c r="K66" s="576"/>
      <c r="L66" s="32"/>
      <c r="M66" s="589"/>
      <c r="N66" s="591"/>
    </row>
    <row r="67" spans="1:14" ht="26.25" customHeight="1">
      <c r="A67" s="173"/>
      <c r="B67" s="31"/>
      <c r="C67" s="174" t="s">
        <v>23</v>
      </c>
      <c r="D67" s="175" t="s">
        <v>79</v>
      </c>
      <c r="E67" s="176" t="s">
        <v>79</v>
      </c>
      <c r="F67" s="235">
        <f>F56</f>
        <v>8.59</v>
      </c>
      <c r="G67" s="168"/>
      <c r="H67" s="174" t="s">
        <v>23</v>
      </c>
      <c r="I67" s="209" t="str">
        <f>D67</f>
        <v>N/A</v>
      </c>
      <c r="J67" s="179" t="s">
        <v>79</v>
      </c>
      <c r="K67" s="228">
        <f>$K$23</f>
        <v>9.195373834094259</v>
      </c>
      <c r="L67" s="180"/>
      <c r="M67" s="593"/>
      <c r="N67" s="594"/>
    </row>
    <row r="68" spans="1:14" ht="24" customHeight="1" thickBot="1">
      <c r="A68" s="86"/>
      <c r="B68" s="31"/>
      <c r="C68" s="181" t="s">
        <v>80</v>
      </c>
      <c r="D68" s="182">
        <f>A66</f>
        <v>1000</v>
      </c>
      <c r="E68" s="183">
        <f>E57</f>
        <v>0.0207</v>
      </c>
      <c r="F68" s="356">
        <f>D68*E68</f>
        <v>20.7</v>
      </c>
      <c r="G68" s="168"/>
      <c r="H68" s="181" t="s">
        <v>80</v>
      </c>
      <c r="I68" s="186">
        <f>D68</f>
        <v>1000</v>
      </c>
      <c r="J68" s="229">
        <f>$J$24</f>
        <v>0.022900691302773692</v>
      </c>
      <c r="K68" s="187">
        <f>I68*J68</f>
        <v>22.90069130277369</v>
      </c>
      <c r="L68" s="180"/>
      <c r="M68" s="595"/>
      <c r="N68" s="596"/>
    </row>
    <row r="69" spans="1:14" ht="13.5" thickBot="1">
      <c r="A69" s="86"/>
      <c r="B69" s="31"/>
      <c r="C69" s="599"/>
      <c r="D69" s="600"/>
      <c r="E69" s="188" t="s">
        <v>50</v>
      </c>
      <c r="F69" s="376">
        <f>SUM(F67:F68)</f>
        <v>29.29</v>
      </c>
      <c r="G69" s="168"/>
      <c r="H69" s="604"/>
      <c r="I69" s="582"/>
      <c r="J69" s="188" t="s">
        <v>81</v>
      </c>
      <c r="K69" s="190">
        <f>SUM(K67:K68)</f>
        <v>32.09606513686795</v>
      </c>
      <c r="L69" s="180"/>
      <c r="M69" s="191">
        <f>K69-F69</f>
        <v>2.80606513686795</v>
      </c>
      <c r="N69" s="192">
        <f>M69/F69</f>
        <v>0.09580283840450496</v>
      </c>
    </row>
    <row r="70" spans="1:14" ht="25.5">
      <c r="A70" s="86"/>
      <c r="B70" s="31"/>
      <c r="C70" s="181" t="s">
        <v>82</v>
      </c>
      <c r="D70" s="182">
        <f>A66</f>
        <v>1000</v>
      </c>
      <c r="E70" s="193">
        <v>0.0239</v>
      </c>
      <c r="F70" s="377">
        <f>D70*E70</f>
        <v>23.900000000000002</v>
      </c>
      <c r="G70" s="168"/>
      <c r="H70" s="181" t="s">
        <v>82</v>
      </c>
      <c r="I70" s="186">
        <f>D70</f>
        <v>1000</v>
      </c>
      <c r="J70" s="195">
        <f>E70</f>
        <v>0.0239</v>
      </c>
      <c r="K70" s="196">
        <f>F70</f>
        <v>23.900000000000002</v>
      </c>
      <c r="L70" s="180"/>
      <c r="M70" s="593"/>
      <c r="N70" s="594"/>
    </row>
    <row r="71" spans="1:14" ht="25.5">
      <c r="A71" s="86"/>
      <c r="B71" s="31"/>
      <c r="C71" s="197" t="s">
        <v>83</v>
      </c>
      <c r="D71" s="182">
        <v>750</v>
      </c>
      <c r="E71" s="198">
        <v>0.047</v>
      </c>
      <c r="F71" s="356">
        <f>D71*E71</f>
        <v>35.25</v>
      </c>
      <c r="G71" s="168"/>
      <c r="H71" s="197" t="s">
        <v>83</v>
      </c>
      <c r="I71" s="182">
        <f>D71</f>
        <v>750</v>
      </c>
      <c r="J71" s="198">
        <v>0.047</v>
      </c>
      <c r="K71" s="356">
        <f>I71*J71</f>
        <v>35.25</v>
      </c>
      <c r="L71" s="180"/>
      <c r="M71" s="597"/>
      <c r="N71" s="598"/>
    </row>
    <row r="72" spans="1:14" ht="26.25" thickBot="1">
      <c r="A72" s="86"/>
      <c r="B72" s="31"/>
      <c r="C72" s="197" t="s">
        <v>83</v>
      </c>
      <c r="D72" s="236">
        <f>A66-D71</f>
        <v>250</v>
      </c>
      <c r="E72" s="198">
        <v>0.055</v>
      </c>
      <c r="F72" s="356">
        <f>D72*E72</f>
        <v>13.75</v>
      </c>
      <c r="G72" s="168"/>
      <c r="H72" s="357" t="s">
        <v>83</v>
      </c>
      <c r="I72" s="379">
        <f>D72</f>
        <v>250</v>
      </c>
      <c r="J72" s="358">
        <v>0.055</v>
      </c>
      <c r="K72" s="359">
        <f>I72*J72</f>
        <v>13.75</v>
      </c>
      <c r="L72" s="180"/>
      <c r="M72" s="597"/>
      <c r="N72" s="598"/>
    </row>
    <row r="73" spans="1:14" ht="13.5" thickBot="1">
      <c r="A73" s="86"/>
      <c r="B73" s="31"/>
      <c r="C73" s="583"/>
      <c r="D73" s="584"/>
      <c r="E73" s="584"/>
      <c r="F73" s="585"/>
      <c r="G73" s="168"/>
      <c r="H73" s="584"/>
      <c r="I73" s="584"/>
      <c r="J73" s="584"/>
      <c r="K73" s="585"/>
      <c r="L73" s="31"/>
      <c r="M73" s="86"/>
      <c r="N73" s="203"/>
    </row>
    <row r="74" spans="1:14" ht="13.5" thickBot="1">
      <c r="A74" s="94"/>
      <c r="B74" s="149"/>
      <c r="C74" s="204" t="s">
        <v>218</v>
      </c>
      <c r="D74" s="205"/>
      <c r="E74" s="205"/>
      <c r="F74" s="190">
        <f>SUM(F70:F72,F69)</f>
        <v>102.19</v>
      </c>
      <c r="G74" s="207"/>
      <c r="H74" s="592" t="s">
        <v>219</v>
      </c>
      <c r="I74" s="592"/>
      <c r="J74" s="592"/>
      <c r="K74" s="190">
        <f>SUM(K69:K72)</f>
        <v>104.99606513686795</v>
      </c>
      <c r="L74" s="208"/>
      <c r="M74" s="191">
        <f>K74-F74</f>
        <v>2.806065136867957</v>
      </c>
      <c r="N74" s="192">
        <f>M74/F74</f>
        <v>0.02745929285515175</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76</v>
      </c>
      <c r="B77" s="170"/>
      <c r="C77" s="577"/>
      <c r="D77" s="571" t="s">
        <v>12</v>
      </c>
      <c r="E77" s="573" t="s">
        <v>77</v>
      </c>
      <c r="F77" s="575" t="s">
        <v>199</v>
      </c>
      <c r="G77" s="167"/>
      <c r="H77" s="171"/>
      <c r="I77" s="571" t="s">
        <v>12</v>
      </c>
      <c r="J77" s="573" t="s">
        <v>77</v>
      </c>
      <c r="K77" s="575" t="s">
        <v>199</v>
      </c>
      <c r="L77" s="170"/>
      <c r="M77" s="588" t="s">
        <v>198</v>
      </c>
      <c r="N77" s="590" t="s">
        <v>78</v>
      </c>
    </row>
    <row r="78" spans="1:14" ht="13.5" thickBot="1">
      <c r="A78" s="172">
        <v>1500</v>
      </c>
      <c r="B78" s="31"/>
      <c r="C78" s="578"/>
      <c r="D78" s="572"/>
      <c r="E78" s="574"/>
      <c r="F78" s="576"/>
      <c r="G78" s="168"/>
      <c r="H78" s="31"/>
      <c r="I78" s="586"/>
      <c r="J78" s="587"/>
      <c r="K78" s="576"/>
      <c r="L78" s="32"/>
      <c r="M78" s="589"/>
      <c r="N78" s="591"/>
    </row>
    <row r="79" spans="1:14" ht="27.75" customHeight="1">
      <c r="A79" s="173"/>
      <c r="B79" s="31"/>
      <c r="C79" s="174" t="s">
        <v>23</v>
      </c>
      <c r="D79" s="175" t="s">
        <v>79</v>
      </c>
      <c r="E79" s="176" t="s">
        <v>79</v>
      </c>
      <c r="F79" s="235">
        <f>F67</f>
        <v>8.59</v>
      </c>
      <c r="G79" s="168"/>
      <c r="H79" s="178" t="s">
        <v>23</v>
      </c>
      <c r="I79" s="209" t="str">
        <f>D79</f>
        <v>N/A</v>
      </c>
      <c r="J79" s="179" t="s">
        <v>79</v>
      </c>
      <c r="K79" s="228">
        <f>$K$23</f>
        <v>9.195373834094259</v>
      </c>
      <c r="L79" s="180"/>
      <c r="M79" s="593"/>
      <c r="N79" s="594"/>
    </row>
    <row r="80" spans="1:14" ht="25.5" customHeight="1" thickBot="1">
      <c r="A80" s="86"/>
      <c r="B80" s="31"/>
      <c r="C80" s="181" t="s">
        <v>80</v>
      </c>
      <c r="D80" s="182">
        <f>A78</f>
        <v>1500</v>
      </c>
      <c r="E80" s="183">
        <f>E68</f>
        <v>0.0207</v>
      </c>
      <c r="F80" s="356">
        <f>D80*E80</f>
        <v>31.05</v>
      </c>
      <c r="G80" s="168"/>
      <c r="H80" s="185" t="s">
        <v>80</v>
      </c>
      <c r="I80" s="186">
        <f>D80</f>
        <v>1500</v>
      </c>
      <c r="J80" s="229">
        <f>$J$24</f>
        <v>0.022900691302773692</v>
      </c>
      <c r="K80" s="187">
        <f>I80*J80</f>
        <v>34.35103695416054</v>
      </c>
      <c r="L80" s="180"/>
      <c r="M80" s="595"/>
      <c r="N80" s="596"/>
    </row>
    <row r="81" spans="1:14" ht="13.5" thickBot="1">
      <c r="A81" s="86"/>
      <c r="B81" s="31"/>
      <c r="C81" s="599"/>
      <c r="D81" s="600"/>
      <c r="E81" s="188" t="s">
        <v>50</v>
      </c>
      <c r="F81" s="376">
        <f>SUM(F79:F80)</f>
        <v>39.64</v>
      </c>
      <c r="G81" s="168"/>
      <c r="H81" s="581"/>
      <c r="I81" s="582"/>
      <c r="J81" s="188" t="s">
        <v>81</v>
      </c>
      <c r="K81" s="190">
        <f>SUM(K79:K80)</f>
        <v>43.5464107882548</v>
      </c>
      <c r="L81" s="180"/>
      <c r="M81" s="191">
        <f>K81-F81</f>
        <v>3.906410788254803</v>
      </c>
      <c r="N81" s="192">
        <f>M81/F81</f>
        <v>0.09854719445647837</v>
      </c>
    </row>
    <row r="82" spans="1:14" ht="25.5">
      <c r="A82" s="86"/>
      <c r="B82" s="31"/>
      <c r="C82" s="181" t="s">
        <v>82</v>
      </c>
      <c r="D82" s="182">
        <f>A78</f>
        <v>1500</v>
      </c>
      <c r="E82" s="193">
        <v>0.0239</v>
      </c>
      <c r="F82" s="377">
        <f>D82*E82</f>
        <v>35.85</v>
      </c>
      <c r="G82" s="168"/>
      <c r="H82" s="185" t="s">
        <v>82</v>
      </c>
      <c r="I82" s="186">
        <f>D82</f>
        <v>1500</v>
      </c>
      <c r="J82" s="195">
        <f>E82</f>
        <v>0.0239</v>
      </c>
      <c r="K82" s="196">
        <f>F82</f>
        <v>35.85</v>
      </c>
      <c r="L82" s="180"/>
      <c r="M82" s="593"/>
      <c r="N82" s="594"/>
    </row>
    <row r="83" spans="1:14" ht="25.5">
      <c r="A83" s="86"/>
      <c r="B83" s="31"/>
      <c r="C83" s="197" t="s">
        <v>83</v>
      </c>
      <c r="D83" s="182">
        <v>750</v>
      </c>
      <c r="E83" s="198">
        <v>0.047</v>
      </c>
      <c r="F83" s="356">
        <f>D83*E83</f>
        <v>35.25</v>
      </c>
      <c r="G83" s="168"/>
      <c r="H83" s="197" t="s">
        <v>83</v>
      </c>
      <c r="I83" s="186">
        <f>D83</f>
        <v>750</v>
      </c>
      <c r="J83" s="198">
        <v>0.047</v>
      </c>
      <c r="K83" s="356">
        <f>I83*J83</f>
        <v>35.25</v>
      </c>
      <c r="L83" s="180"/>
      <c r="M83" s="597"/>
      <c r="N83" s="598"/>
    </row>
    <row r="84" spans="1:14" ht="26.25" thickBot="1">
      <c r="A84" s="86"/>
      <c r="B84" s="31"/>
      <c r="C84" s="197" t="s">
        <v>83</v>
      </c>
      <c r="D84" s="236">
        <f>A78-D83</f>
        <v>750</v>
      </c>
      <c r="E84" s="198">
        <v>0.055</v>
      </c>
      <c r="F84" s="356">
        <f>D84*E84</f>
        <v>41.25</v>
      </c>
      <c r="G84" s="168"/>
      <c r="H84" s="357" t="s">
        <v>83</v>
      </c>
      <c r="I84" s="379">
        <f>D84</f>
        <v>750</v>
      </c>
      <c r="J84" s="358">
        <v>0.055</v>
      </c>
      <c r="K84" s="359">
        <f>I84*J84</f>
        <v>41.25</v>
      </c>
      <c r="L84" s="180"/>
      <c r="M84" s="597"/>
      <c r="N84" s="598"/>
    </row>
    <row r="85" spans="1:14" ht="13.5" thickBot="1">
      <c r="A85" s="86"/>
      <c r="B85" s="31"/>
      <c r="C85" s="583"/>
      <c r="D85" s="584"/>
      <c r="E85" s="584"/>
      <c r="F85" s="585"/>
      <c r="G85" s="168"/>
      <c r="H85" s="584"/>
      <c r="I85" s="584"/>
      <c r="J85" s="584"/>
      <c r="K85" s="585"/>
      <c r="L85" s="31"/>
      <c r="M85" s="86"/>
      <c r="N85" s="203"/>
    </row>
    <row r="86" spans="1:14" ht="13.5" thickBot="1">
      <c r="A86" s="94"/>
      <c r="B86" s="149"/>
      <c r="C86" s="204" t="s">
        <v>218</v>
      </c>
      <c r="D86" s="205"/>
      <c r="E86" s="205"/>
      <c r="F86" s="190">
        <f>SUM(F82:F84,F81)</f>
        <v>151.99</v>
      </c>
      <c r="G86" s="207"/>
      <c r="H86" s="592" t="s">
        <v>219</v>
      </c>
      <c r="I86" s="592"/>
      <c r="J86" s="592"/>
      <c r="K86" s="190">
        <f>SUM(K81:K84)</f>
        <v>155.8964107882548</v>
      </c>
      <c r="L86" s="208"/>
      <c r="M86" s="191">
        <f>K86-F86</f>
        <v>3.9064107882547887</v>
      </c>
      <c r="N86" s="192">
        <f>M86/F86</f>
        <v>0.025701761880747343</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76</v>
      </c>
      <c r="B89" s="170"/>
      <c r="C89" s="577"/>
      <c r="D89" s="571" t="s">
        <v>12</v>
      </c>
      <c r="E89" s="573" t="s">
        <v>77</v>
      </c>
      <c r="F89" s="575" t="s">
        <v>199</v>
      </c>
      <c r="G89" s="167"/>
      <c r="H89" s="171"/>
      <c r="I89" s="571" t="s">
        <v>12</v>
      </c>
      <c r="J89" s="573" t="s">
        <v>77</v>
      </c>
      <c r="K89" s="575" t="s">
        <v>199</v>
      </c>
      <c r="L89" s="170"/>
      <c r="M89" s="588" t="s">
        <v>198</v>
      </c>
      <c r="N89" s="590" t="s">
        <v>78</v>
      </c>
    </row>
    <row r="90" spans="1:14" ht="13.5" thickBot="1">
      <c r="A90" s="172">
        <v>2000</v>
      </c>
      <c r="B90" s="31"/>
      <c r="C90" s="578"/>
      <c r="D90" s="572"/>
      <c r="E90" s="574"/>
      <c r="F90" s="576"/>
      <c r="G90" s="168"/>
      <c r="H90" s="31"/>
      <c r="I90" s="586"/>
      <c r="J90" s="587"/>
      <c r="K90" s="576"/>
      <c r="L90" s="32"/>
      <c r="M90" s="589"/>
      <c r="N90" s="591"/>
    </row>
    <row r="91" spans="1:14" ht="27" customHeight="1">
      <c r="A91" s="173"/>
      <c r="B91" s="31"/>
      <c r="C91" s="174" t="s">
        <v>23</v>
      </c>
      <c r="D91" s="175" t="s">
        <v>79</v>
      </c>
      <c r="E91" s="176" t="s">
        <v>79</v>
      </c>
      <c r="F91" s="235">
        <f>F79</f>
        <v>8.59</v>
      </c>
      <c r="G91" s="168"/>
      <c r="H91" s="178" t="s">
        <v>23</v>
      </c>
      <c r="I91" s="209" t="str">
        <f>D91</f>
        <v>N/A</v>
      </c>
      <c r="J91" s="179" t="s">
        <v>79</v>
      </c>
      <c r="K91" s="228">
        <f>$K$23</f>
        <v>9.195373834094259</v>
      </c>
      <c r="L91" s="180"/>
      <c r="M91" s="593"/>
      <c r="N91" s="594"/>
    </row>
    <row r="92" spans="1:14" ht="29.25" customHeight="1" thickBot="1">
      <c r="A92" s="86"/>
      <c r="B92" s="31"/>
      <c r="C92" s="181" t="s">
        <v>80</v>
      </c>
      <c r="D92" s="182">
        <f>A90</f>
        <v>2000</v>
      </c>
      <c r="E92" s="183">
        <f>E80</f>
        <v>0.0207</v>
      </c>
      <c r="F92" s="356">
        <f>D92*E92</f>
        <v>41.4</v>
      </c>
      <c r="G92" s="168"/>
      <c r="H92" s="185" t="s">
        <v>80</v>
      </c>
      <c r="I92" s="186">
        <f>D92</f>
        <v>2000</v>
      </c>
      <c r="J92" s="229">
        <f>$J$24</f>
        <v>0.022900691302773692</v>
      </c>
      <c r="K92" s="187">
        <f>I92*J92</f>
        <v>45.80138260554738</v>
      </c>
      <c r="L92" s="180"/>
      <c r="M92" s="595"/>
      <c r="N92" s="596"/>
    </row>
    <row r="93" spans="1:14" ht="13.5" customHeight="1" thickBot="1">
      <c r="A93" s="86"/>
      <c r="B93" s="31"/>
      <c r="C93" s="599"/>
      <c r="D93" s="600"/>
      <c r="E93" s="188" t="s">
        <v>50</v>
      </c>
      <c r="F93" s="376">
        <f>SUM(F91:F92)</f>
        <v>49.989999999999995</v>
      </c>
      <c r="G93" s="168"/>
      <c r="H93" s="581"/>
      <c r="I93" s="582"/>
      <c r="J93" s="188" t="s">
        <v>81</v>
      </c>
      <c r="K93" s="190">
        <f>SUM(K91:K92)</f>
        <v>54.99675643964164</v>
      </c>
      <c r="L93" s="180"/>
      <c r="M93" s="191">
        <f>K93-F93</f>
        <v>5.006756439641649</v>
      </c>
      <c r="N93" s="192">
        <f>M93/F93</f>
        <v>0.10015515982479795</v>
      </c>
    </row>
    <row r="94" spans="1:14" ht="25.5">
      <c r="A94" s="86"/>
      <c r="B94" s="31"/>
      <c r="C94" s="181" t="s">
        <v>82</v>
      </c>
      <c r="D94" s="182">
        <f>A90</f>
        <v>2000</v>
      </c>
      <c r="E94" s="193">
        <v>0.0239</v>
      </c>
      <c r="F94" s="377">
        <f>D94*E94</f>
        <v>47.800000000000004</v>
      </c>
      <c r="G94" s="168"/>
      <c r="H94" s="185" t="s">
        <v>82</v>
      </c>
      <c r="I94" s="186">
        <f>D94</f>
        <v>2000</v>
      </c>
      <c r="J94" s="195">
        <f>E94</f>
        <v>0.0239</v>
      </c>
      <c r="K94" s="196">
        <f>F94</f>
        <v>47.800000000000004</v>
      </c>
      <c r="L94" s="180"/>
      <c r="M94" s="593"/>
      <c r="N94" s="594"/>
    </row>
    <row r="95" spans="1:14" ht="25.5">
      <c r="A95" s="86"/>
      <c r="B95" s="31"/>
      <c r="C95" s="197" t="s">
        <v>83</v>
      </c>
      <c r="D95" s="182">
        <v>750</v>
      </c>
      <c r="E95" s="198">
        <v>0.047</v>
      </c>
      <c r="F95" s="356">
        <f>D95*E95</f>
        <v>35.25</v>
      </c>
      <c r="G95" s="168"/>
      <c r="H95" s="197" t="s">
        <v>83</v>
      </c>
      <c r="I95" s="186">
        <f>D95</f>
        <v>750</v>
      </c>
      <c r="J95" s="198">
        <v>0.047</v>
      </c>
      <c r="K95" s="356">
        <f>I95*J95</f>
        <v>35.25</v>
      </c>
      <c r="L95" s="180"/>
      <c r="M95" s="597"/>
      <c r="N95" s="598"/>
    </row>
    <row r="96" spans="1:14" ht="26.25" thickBot="1">
      <c r="A96" s="86"/>
      <c r="B96" s="31"/>
      <c r="C96" s="197" t="s">
        <v>83</v>
      </c>
      <c r="D96" s="236">
        <f>A90-D95</f>
        <v>1250</v>
      </c>
      <c r="E96" s="198">
        <v>0.055</v>
      </c>
      <c r="F96" s="356">
        <f>D96*E96</f>
        <v>68.75</v>
      </c>
      <c r="G96" s="168"/>
      <c r="H96" s="357" t="s">
        <v>83</v>
      </c>
      <c r="I96" s="379">
        <f>D96</f>
        <v>1250</v>
      </c>
      <c r="J96" s="358">
        <v>0.055</v>
      </c>
      <c r="K96" s="359">
        <f>I96*J96</f>
        <v>68.75</v>
      </c>
      <c r="L96" s="180"/>
      <c r="M96" s="597"/>
      <c r="N96" s="598"/>
    </row>
    <row r="97" spans="1:14" ht="13.5" thickBot="1">
      <c r="A97" s="86"/>
      <c r="B97" s="31"/>
      <c r="C97" s="583"/>
      <c r="D97" s="584"/>
      <c r="E97" s="584"/>
      <c r="F97" s="585"/>
      <c r="G97" s="168"/>
      <c r="H97" s="584"/>
      <c r="I97" s="584"/>
      <c r="J97" s="584"/>
      <c r="K97" s="585"/>
      <c r="L97" s="31"/>
      <c r="M97" s="86"/>
      <c r="N97" s="203"/>
    </row>
    <row r="98" spans="1:14" ht="13.5" thickBot="1">
      <c r="A98" s="94"/>
      <c r="B98" s="149"/>
      <c r="C98" s="204" t="s">
        <v>218</v>
      </c>
      <c r="D98" s="205"/>
      <c r="E98" s="205"/>
      <c r="F98" s="190">
        <f>SUM(F94:F96,F93)</f>
        <v>201.79000000000002</v>
      </c>
      <c r="G98" s="207"/>
      <c r="H98" s="592" t="s">
        <v>219</v>
      </c>
      <c r="I98" s="592"/>
      <c r="J98" s="592"/>
      <c r="K98" s="190">
        <f>SUM(K93:K96)</f>
        <v>206.79675643964165</v>
      </c>
      <c r="L98" s="208"/>
      <c r="M98" s="191">
        <f>K98-F98</f>
        <v>5.006756439641634</v>
      </c>
      <c r="N98" s="192">
        <f>M98/F98</f>
        <v>0.024811717328121482</v>
      </c>
    </row>
    <row r="99" spans="1:14" ht="12.75">
      <c r="A99" s="31"/>
      <c r="B99" s="31"/>
      <c r="C99" s="490"/>
      <c r="D99" s="490"/>
      <c r="E99" s="490"/>
      <c r="F99" s="491"/>
      <c r="G99" s="380"/>
      <c r="H99" s="492"/>
      <c r="I99" s="492"/>
      <c r="J99" s="492"/>
      <c r="K99" s="491"/>
      <c r="L99" s="180"/>
      <c r="M99" s="491"/>
      <c r="N99" s="493"/>
    </row>
    <row r="100" spans="1:14" ht="23.25">
      <c r="A100" s="605" t="s">
        <v>233</v>
      </c>
      <c r="B100" s="605"/>
      <c r="C100" s="605"/>
      <c r="D100" s="605"/>
      <c r="E100" s="163"/>
      <c r="F100" s="163"/>
      <c r="G100" s="31"/>
      <c r="H100" s="163"/>
      <c r="I100" s="163"/>
      <c r="J100" s="163"/>
      <c r="K100" s="163"/>
      <c r="L100" s="163"/>
      <c r="M100" s="163"/>
      <c r="N100" s="163"/>
    </row>
    <row r="101" spans="1:11" ht="18">
      <c r="A101" s="55"/>
      <c r="B101" s="131"/>
      <c r="D101" s="31"/>
      <c r="E101" s="556"/>
      <c r="F101" s="556"/>
      <c r="K101" s="162"/>
    </row>
    <row r="102" spans="1:11" ht="15.75">
      <c r="A102" s="141" t="s">
        <v>90</v>
      </c>
      <c r="B102" s="164"/>
      <c r="C102" s="140"/>
      <c r="D102" s="69"/>
      <c r="E102" s="165"/>
      <c r="F102" s="165"/>
      <c r="G102" s="140"/>
      <c r="H102" s="140"/>
      <c r="I102" s="140"/>
      <c r="J102" s="140"/>
      <c r="K102" s="166"/>
    </row>
    <row r="103" spans="1:11" ht="15.75">
      <c r="A103" s="141" t="s">
        <v>46</v>
      </c>
      <c r="B103" s="164"/>
      <c r="C103" s="140"/>
      <c r="D103" s="69"/>
      <c r="E103" s="165"/>
      <c r="F103" s="165"/>
      <c r="G103" s="140"/>
      <c r="H103" s="140"/>
      <c r="I103" s="140"/>
      <c r="J103" s="140"/>
      <c r="K103" s="166"/>
    </row>
    <row r="104" spans="1:11" ht="15.75">
      <c r="A104" s="141" t="s">
        <v>48</v>
      </c>
      <c r="B104" s="164"/>
      <c r="C104" s="140"/>
      <c r="D104" s="69"/>
      <c r="E104" s="165"/>
      <c r="F104" s="165"/>
      <c r="G104" s="69"/>
      <c r="H104" s="140"/>
      <c r="I104" s="140"/>
      <c r="J104" s="140"/>
      <c r="K104" s="166"/>
    </row>
    <row r="105" spans="5:11" ht="16.5" thickBot="1">
      <c r="E105" s="556"/>
      <c r="F105" s="556"/>
      <c r="G105" s="31"/>
      <c r="K105" s="162"/>
    </row>
    <row r="106" spans="1:14" ht="14.25">
      <c r="A106" s="11"/>
      <c r="C106" s="565" t="s">
        <v>94</v>
      </c>
      <c r="D106" s="566"/>
      <c r="E106" s="566"/>
      <c r="F106" s="567"/>
      <c r="G106" s="167"/>
      <c r="H106" s="565" t="s">
        <v>95</v>
      </c>
      <c r="I106" s="566"/>
      <c r="J106" s="566"/>
      <c r="K106" s="566"/>
      <c r="L106" s="566"/>
      <c r="M106" s="566"/>
      <c r="N106" s="567"/>
    </row>
    <row r="107" spans="1:14" ht="13.5" thickBot="1">
      <c r="A107"/>
      <c r="C107" s="568"/>
      <c r="D107" s="569"/>
      <c r="E107" s="569"/>
      <c r="F107" s="570"/>
      <c r="G107" s="168"/>
      <c r="H107" s="568"/>
      <c r="I107" s="569"/>
      <c r="J107" s="569"/>
      <c r="K107" s="569"/>
      <c r="L107" s="569"/>
      <c r="M107" s="569"/>
      <c r="N107" s="570"/>
    </row>
    <row r="108" spans="1:14" ht="60.75" thickBot="1">
      <c r="A108" s="169" t="s">
        <v>76</v>
      </c>
      <c r="B108" s="170"/>
      <c r="C108" s="577"/>
      <c r="D108" s="571" t="s">
        <v>12</v>
      </c>
      <c r="E108" s="573" t="s">
        <v>77</v>
      </c>
      <c r="F108" s="575" t="s">
        <v>199</v>
      </c>
      <c r="G108" s="167"/>
      <c r="H108" s="171"/>
      <c r="I108" s="571" t="s">
        <v>12</v>
      </c>
      <c r="J108" s="573" t="s">
        <v>77</v>
      </c>
      <c r="K108" s="575" t="s">
        <v>199</v>
      </c>
      <c r="L108" s="170"/>
      <c r="M108" s="588" t="s">
        <v>198</v>
      </c>
      <c r="N108" s="590" t="s">
        <v>78</v>
      </c>
    </row>
    <row r="109" spans="1:14" ht="13.5" thickBot="1">
      <c r="A109" s="172">
        <v>100</v>
      </c>
      <c r="B109" s="31"/>
      <c r="C109" s="578"/>
      <c r="D109" s="572"/>
      <c r="E109" s="574"/>
      <c r="F109" s="576"/>
      <c r="G109" s="168"/>
      <c r="H109" s="31"/>
      <c r="I109" s="586"/>
      <c r="J109" s="587"/>
      <c r="K109" s="576"/>
      <c r="L109" s="32"/>
      <c r="M109" s="589"/>
      <c r="N109" s="591"/>
    </row>
    <row r="110" spans="1:14" ht="25.5">
      <c r="A110" s="173"/>
      <c r="B110" s="31"/>
      <c r="C110" s="454" t="s">
        <v>23</v>
      </c>
      <c r="D110" s="175" t="s">
        <v>79</v>
      </c>
      <c r="E110" s="176" t="s">
        <v>79</v>
      </c>
      <c r="F110" s="235">
        <f>'12. Current Rates'!D28</f>
        <v>10.67</v>
      </c>
      <c r="G110" s="168"/>
      <c r="H110" s="457" t="s">
        <v>23</v>
      </c>
      <c r="I110" s="175" t="s">
        <v>79</v>
      </c>
      <c r="J110" s="175" t="s">
        <v>79</v>
      </c>
      <c r="K110" s="235">
        <f>'11. 2005 Final Rate Schedule '!F19</f>
        <v>11.420558946854408</v>
      </c>
      <c r="L110" s="180"/>
      <c r="M110" s="593"/>
      <c r="N110" s="594"/>
    </row>
    <row r="111" spans="1:14" ht="26.25" thickBot="1">
      <c r="A111" s="86"/>
      <c r="B111" s="31"/>
      <c r="C111" s="455" t="s">
        <v>80</v>
      </c>
      <c r="D111" s="236">
        <f>A109</f>
        <v>100</v>
      </c>
      <c r="E111" s="443">
        <f>'12. Current Rates'!D26</f>
        <v>0.0144</v>
      </c>
      <c r="F111" s="356">
        <f>D111*E111</f>
        <v>1.44</v>
      </c>
      <c r="G111" s="168"/>
      <c r="H111" s="458" t="s">
        <v>80</v>
      </c>
      <c r="I111" s="182">
        <f>D111</f>
        <v>100</v>
      </c>
      <c r="J111" s="449">
        <f>'11. 2005 Final Rate Schedule '!F20</f>
        <v>0.01659331877948081</v>
      </c>
      <c r="K111" s="238">
        <f>I111*J111</f>
        <v>1.6593318779480808</v>
      </c>
      <c r="L111" s="180"/>
      <c r="M111" s="595"/>
      <c r="N111" s="596"/>
    </row>
    <row r="112" spans="1:14" ht="13.5" thickBot="1">
      <c r="A112" s="86"/>
      <c r="B112" s="31"/>
      <c r="C112" s="579"/>
      <c r="D112" s="580"/>
      <c r="E112" s="188" t="s">
        <v>50</v>
      </c>
      <c r="F112" s="376">
        <f>SUM(F110:F111)</f>
        <v>12.11</v>
      </c>
      <c r="G112" s="168"/>
      <c r="H112" s="581"/>
      <c r="I112" s="582"/>
      <c r="J112" s="188" t="s">
        <v>81</v>
      </c>
      <c r="K112" s="190">
        <f>SUM(K110:K111)</f>
        <v>13.079890824802488</v>
      </c>
      <c r="L112" s="180"/>
      <c r="M112" s="191">
        <f>K112-F112</f>
        <v>0.9698908248024889</v>
      </c>
      <c r="N112" s="192">
        <f>M112/F112</f>
        <v>0.08009007636684466</v>
      </c>
    </row>
    <row r="113" spans="1:14" ht="25.5">
      <c r="A113" s="86"/>
      <c r="B113" s="31"/>
      <c r="C113" s="455" t="s">
        <v>82</v>
      </c>
      <c r="D113" s="182">
        <f>A109</f>
        <v>100</v>
      </c>
      <c r="E113" s="444">
        <v>0.0239</v>
      </c>
      <c r="F113" s="377">
        <f>D113*E113</f>
        <v>2.39</v>
      </c>
      <c r="G113" s="168"/>
      <c r="H113" s="458" t="s">
        <v>82</v>
      </c>
      <c r="I113" s="182">
        <f aca="true" t="shared" si="4" ref="I113:K114">D113</f>
        <v>100</v>
      </c>
      <c r="J113" s="450">
        <f t="shared" si="4"/>
        <v>0.0239</v>
      </c>
      <c r="K113" s="240">
        <f t="shared" si="4"/>
        <v>2.39</v>
      </c>
      <c r="L113" s="180"/>
      <c r="M113" s="593"/>
      <c r="N113" s="594"/>
    </row>
    <row r="114" spans="1:14" ht="26.25" thickBot="1">
      <c r="A114" s="86"/>
      <c r="B114" s="31"/>
      <c r="C114" s="456" t="s">
        <v>83</v>
      </c>
      <c r="D114" s="182">
        <f>A109</f>
        <v>100</v>
      </c>
      <c r="E114" s="445">
        <v>0.047</v>
      </c>
      <c r="F114" s="356">
        <f>D114*E114</f>
        <v>4.7</v>
      </c>
      <c r="G114" s="168"/>
      <c r="H114" s="459" t="s">
        <v>83</v>
      </c>
      <c r="I114" s="451">
        <f t="shared" si="4"/>
        <v>100</v>
      </c>
      <c r="J114" s="452">
        <f t="shared" si="4"/>
        <v>0.047</v>
      </c>
      <c r="K114" s="244">
        <f t="shared" si="4"/>
        <v>4.7</v>
      </c>
      <c r="L114" s="180"/>
      <c r="M114" s="597"/>
      <c r="N114" s="598"/>
    </row>
    <row r="115" spans="1:14" ht="13.5" thickBot="1">
      <c r="A115" s="86"/>
      <c r="B115" s="31"/>
      <c r="C115" s="583"/>
      <c r="D115" s="584"/>
      <c r="E115" s="584"/>
      <c r="F115" s="585"/>
      <c r="G115" s="168"/>
      <c r="H115" s="584"/>
      <c r="I115" s="584"/>
      <c r="J115" s="584"/>
      <c r="K115" s="585"/>
      <c r="L115" s="31"/>
      <c r="M115" s="86"/>
      <c r="N115" s="203"/>
    </row>
    <row r="116" spans="1:14" ht="13.5" thickBot="1">
      <c r="A116" s="94"/>
      <c r="B116" s="149"/>
      <c r="C116" s="204" t="s">
        <v>218</v>
      </c>
      <c r="D116" s="205"/>
      <c r="E116" s="205"/>
      <c r="F116" s="190">
        <f>SUM(F113:F114,F112)</f>
        <v>19.2</v>
      </c>
      <c r="G116" s="207"/>
      <c r="H116" s="592" t="s">
        <v>219</v>
      </c>
      <c r="I116" s="592"/>
      <c r="J116" s="592"/>
      <c r="K116" s="190">
        <f>SUM(K112:K114)</f>
        <v>20.16989082480249</v>
      </c>
      <c r="L116" s="208"/>
      <c r="M116" s="191">
        <f>K116-F116</f>
        <v>0.9698908248024907</v>
      </c>
      <c r="N116" s="192">
        <f>M116/F116</f>
        <v>0.05051514712512972</v>
      </c>
    </row>
    <row r="117" ht="12.75">
      <c r="K117" s="162"/>
    </row>
    <row r="118" spans="6:11" ht="13.5" thickBot="1">
      <c r="F118" s="162"/>
      <c r="K118" s="162"/>
    </row>
    <row r="119" spans="1:14" ht="60.75" thickBot="1">
      <c r="A119" s="169" t="s">
        <v>76</v>
      </c>
      <c r="B119" s="170"/>
      <c r="C119" s="577"/>
      <c r="D119" s="571" t="s">
        <v>12</v>
      </c>
      <c r="E119" s="573" t="s">
        <v>77</v>
      </c>
      <c r="F119" s="575" t="s">
        <v>199</v>
      </c>
      <c r="G119" s="167"/>
      <c r="H119" s="171"/>
      <c r="I119" s="571" t="s">
        <v>12</v>
      </c>
      <c r="J119" s="573" t="s">
        <v>77</v>
      </c>
      <c r="K119" s="575" t="s">
        <v>199</v>
      </c>
      <c r="L119" s="170"/>
      <c r="M119" s="588" t="s">
        <v>198</v>
      </c>
      <c r="N119" s="590" t="s">
        <v>78</v>
      </c>
    </row>
    <row r="120" spans="1:14" ht="13.5" thickBot="1">
      <c r="A120" s="172">
        <v>250</v>
      </c>
      <c r="B120" s="31"/>
      <c r="C120" s="578"/>
      <c r="D120" s="572"/>
      <c r="E120" s="574"/>
      <c r="F120" s="576"/>
      <c r="G120" s="168"/>
      <c r="H120" s="31"/>
      <c r="I120" s="586"/>
      <c r="J120" s="587"/>
      <c r="K120" s="576"/>
      <c r="L120" s="32"/>
      <c r="M120" s="589"/>
      <c r="N120" s="591"/>
    </row>
    <row r="121" spans="1:14" ht="25.5">
      <c r="A121" s="173"/>
      <c r="B121" s="31"/>
      <c r="C121" s="174" t="s">
        <v>23</v>
      </c>
      <c r="D121" s="175" t="s">
        <v>79</v>
      </c>
      <c r="E121" s="176" t="s">
        <v>79</v>
      </c>
      <c r="F121" s="235">
        <f>F110</f>
        <v>10.67</v>
      </c>
      <c r="G121" s="168"/>
      <c r="H121" s="178" t="s">
        <v>23</v>
      </c>
      <c r="I121" s="209" t="str">
        <f>D121</f>
        <v>N/A</v>
      </c>
      <c r="J121" s="179" t="s">
        <v>79</v>
      </c>
      <c r="K121" s="235">
        <f>K110</f>
        <v>11.420558946854408</v>
      </c>
      <c r="L121" s="180"/>
      <c r="M121" s="593"/>
      <c r="N121" s="594"/>
    </row>
    <row r="122" spans="1:14" ht="26.25" thickBot="1">
      <c r="A122" s="86"/>
      <c r="B122" s="31"/>
      <c r="C122" s="181" t="s">
        <v>80</v>
      </c>
      <c r="D122" s="236">
        <f>A120</f>
        <v>250</v>
      </c>
      <c r="E122" s="183">
        <f>E111</f>
        <v>0.0144</v>
      </c>
      <c r="F122" s="356">
        <f>D122*E122</f>
        <v>3.6</v>
      </c>
      <c r="G122" s="168"/>
      <c r="H122" s="185" t="s">
        <v>80</v>
      </c>
      <c r="I122" s="186">
        <f>D122</f>
        <v>250</v>
      </c>
      <c r="J122" s="448">
        <f>J111</f>
        <v>0.01659331877948081</v>
      </c>
      <c r="K122" s="187">
        <f>I122*J122</f>
        <v>4.148329694870203</v>
      </c>
      <c r="L122" s="180"/>
      <c r="M122" s="595"/>
      <c r="N122" s="596"/>
    </row>
    <row r="123" spans="1:14" ht="13.5" thickBot="1">
      <c r="A123" s="86"/>
      <c r="B123" s="31"/>
      <c r="C123" s="599"/>
      <c r="D123" s="600"/>
      <c r="E123" s="188" t="s">
        <v>50</v>
      </c>
      <c r="F123" s="376">
        <f>SUM(F121:F122)</f>
        <v>14.27</v>
      </c>
      <c r="G123" s="168"/>
      <c r="H123" s="581"/>
      <c r="I123" s="582"/>
      <c r="J123" s="188" t="s">
        <v>81</v>
      </c>
      <c r="K123" s="190">
        <f>SUM(K121:K122)</f>
        <v>15.56888864172461</v>
      </c>
      <c r="L123" s="180"/>
      <c r="M123" s="191">
        <f>K123-F123</f>
        <v>1.298888641724611</v>
      </c>
      <c r="N123" s="192">
        <f>M123/F123</f>
        <v>0.09102232948315425</v>
      </c>
    </row>
    <row r="124" spans="1:14" ht="25.5">
      <c r="A124" s="86"/>
      <c r="B124" s="31"/>
      <c r="C124" s="181" t="s">
        <v>82</v>
      </c>
      <c r="D124" s="182">
        <f>A120</f>
        <v>250</v>
      </c>
      <c r="E124" s="444">
        <v>0.0239</v>
      </c>
      <c r="F124" s="377">
        <f>D124*E124</f>
        <v>5.9750000000000005</v>
      </c>
      <c r="G124" s="168"/>
      <c r="H124" s="185" t="s">
        <v>82</v>
      </c>
      <c r="I124" s="186">
        <f aca="true" t="shared" si="5" ref="I124:K125">D124</f>
        <v>250</v>
      </c>
      <c r="J124" s="446">
        <f t="shared" si="5"/>
        <v>0.0239</v>
      </c>
      <c r="K124" s="196">
        <f t="shared" si="5"/>
        <v>5.9750000000000005</v>
      </c>
      <c r="L124" s="180"/>
      <c r="M124" s="593"/>
      <c r="N124" s="594"/>
    </row>
    <row r="125" spans="1:14" ht="26.25" thickBot="1">
      <c r="A125" s="86"/>
      <c r="B125" s="31"/>
      <c r="C125" s="197" t="s">
        <v>83</v>
      </c>
      <c r="D125" s="182">
        <f>A120</f>
        <v>250</v>
      </c>
      <c r="E125" s="445">
        <v>0.047</v>
      </c>
      <c r="F125" s="356">
        <f>D125*E125</f>
        <v>11.75</v>
      </c>
      <c r="G125" s="168"/>
      <c r="H125" s="199" t="s">
        <v>83</v>
      </c>
      <c r="I125" s="200">
        <f t="shared" si="5"/>
        <v>250</v>
      </c>
      <c r="J125" s="447">
        <f t="shared" si="5"/>
        <v>0.047</v>
      </c>
      <c r="K125" s="202">
        <f t="shared" si="5"/>
        <v>11.75</v>
      </c>
      <c r="L125" s="180"/>
      <c r="M125" s="597"/>
      <c r="N125" s="598"/>
    </row>
    <row r="126" spans="1:14" ht="13.5" thickBot="1">
      <c r="A126" s="86"/>
      <c r="B126" s="31"/>
      <c r="C126" s="583"/>
      <c r="D126" s="584"/>
      <c r="E126" s="584"/>
      <c r="F126" s="585"/>
      <c r="G126" s="168"/>
      <c r="H126" s="584"/>
      <c r="I126" s="584"/>
      <c r="J126" s="584"/>
      <c r="K126" s="585"/>
      <c r="L126" s="31"/>
      <c r="M126" s="86"/>
      <c r="N126" s="203"/>
    </row>
    <row r="127" spans="1:14" ht="13.5" thickBot="1">
      <c r="A127" s="94"/>
      <c r="B127" s="149"/>
      <c r="C127" s="204" t="s">
        <v>218</v>
      </c>
      <c r="D127" s="205"/>
      <c r="E127" s="205"/>
      <c r="F127" s="190">
        <f>SUM(F124:F125,F123)</f>
        <v>31.995</v>
      </c>
      <c r="G127" s="207"/>
      <c r="H127" s="592" t="s">
        <v>219</v>
      </c>
      <c r="I127" s="592"/>
      <c r="J127" s="592"/>
      <c r="K127" s="190">
        <f>SUM(K123:K125)</f>
        <v>33.29388864172461</v>
      </c>
      <c r="L127" s="208"/>
      <c r="M127" s="191">
        <f>K127-F127</f>
        <v>1.2988886417246057</v>
      </c>
      <c r="N127" s="192">
        <f>M127/F127</f>
        <v>0.0405966132747181</v>
      </c>
    </row>
    <row r="128" ht="12.75">
      <c r="K128" s="162"/>
    </row>
    <row r="129" spans="1:14" ht="15.75" thickBot="1">
      <c r="A129" s="47"/>
      <c r="B129" s="12"/>
      <c r="D129" s="10"/>
      <c r="E129" s="10"/>
      <c r="F129" s="210"/>
      <c r="I129" s="10"/>
      <c r="J129" s="10"/>
      <c r="K129" s="211"/>
      <c r="L129" s="12"/>
      <c r="M129" s="12"/>
      <c r="N129" s="212"/>
    </row>
    <row r="130" spans="1:14" ht="60.75" thickBot="1">
      <c r="A130" s="169" t="s">
        <v>76</v>
      </c>
      <c r="B130" s="170"/>
      <c r="C130" s="602"/>
      <c r="D130" s="571" t="s">
        <v>12</v>
      </c>
      <c r="E130" s="573" t="s">
        <v>77</v>
      </c>
      <c r="F130" s="575" t="s">
        <v>199</v>
      </c>
      <c r="G130" s="167"/>
      <c r="H130" s="171"/>
      <c r="I130" s="571" t="s">
        <v>12</v>
      </c>
      <c r="J130" s="573" t="s">
        <v>77</v>
      </c>
      <c r="K130" s="575" t="s">
        <v>199</v>
      </c>
      <c r="L130" s="170"/>
      <c r="M130" s="588" t="s">
        <v>198</v>
      </c>
      <c r="N130" s="590" t="s">
        <v>78</v>
      </c>
    </row>
    <row r="131" spans="1:14" ht="13.5" thickBot="1">
      <c r="A131" s="172">
        <v>500</v>
      </c>
      <c r="B131" s="31"/>
      <c r="C131" s="603"/>
      <c r="D131" s="572"/>
      <c r="E131" s="574"/>
      <c r="F131" s="576"/>
      <c r="G131" s="168"/>
      <c r="H131" s="31"/>
      <c r="I131" s="586"/>
      <c r="J131" s="587"/>
      <c r="K131" s="576"/>
      <c r="L131" s="32"/>
      <c r="M131" s="589"/>
      <c r="N131" s="591"/>
    </row>
    <row r="132" spans="1:14" ht="25.5">
      <c r="A132" s="173"/>
      <c r="B132" s="31"/>
      <c r="C132" s="174" t="s">
        <v>23</v>
      </c>
      <c r="D132" s="175" t="s">
        <v>79</v>
      </c>
      <c r="E132" s="176" t="s">
        <v>79</v>
      </c>
      <c r="F132" s="235">
        <f>F121</f>
        <v>10.67</v>
      </c>
      <c r="G132" s="168"/>
      <c r="H132" s="178" t="s">
        <v>23</v>
      </c>
      <c r="I132" s="209" t="str">
        <f>D132</f>
        <v>N/A</v>
      </c>
      <c r="J132" s="179" t="s">
        <v>79</v>
      </c>
      <c r="K132" s="228">
        <f>K121</f>
        <v>11.420558946854408</v>
      </c>
      <c r="L132" s="180"/>
      <c r="M132" s="593"/>
      <c r="N132" s="594"/>
    </row>
    <row r="133" spans="1:14" ht="26.25" thickBot="1">
      <c r="A133" s="86"/>
      <c r="B133" s="31"/>
      <c r="C133" s="181" t="s">
        <v>80</v>
      </c>
      <c r="D133" s="236">
        <f>A131</f>
        <v>500</v>
      </c>
      <c r="E133" s="183">
        <f>E122</f>
        <v>0.0144</v>
      </c>
      <c r="F133" s="356">
        <f>D133*E133</f>
        <v>7.2</v>
      </c>
      <c r="G133" s="168"/>
      <c r="H133" s="185" t="s">
        <v>80</v>
      </c>
      <c r="I133" s="378">
        <f>D133</f>
        <v>500</v>
      </c>
      <c r="J133" s="448">
        <f>J122</f>
        <v>0.01659331877948081</v>
      </c>
      <c r="K133" s="187">
        <f>I133*J133</f>
        <v>8.296659389740405</v>
      </c>
      <c r="L133" s="180"/>
      <c r="M133" s="595"/>
      <c r="N133" s="596"/>
    </row>
    <row r="134" spans="1:14" ht="13.5" thickBot="1">
      <c r="A134" s="86"/>
      <c r="B134" s="31"/>
      <c r="C134" s="599"/>
      <c r="D134" s="601"/>
      <c r="E134" s="188" t="s">
        <v>50</v>
      </c>
      <c r="F134" s="376">
        <f>SUM(F132:F133)</f>
        <v>17.87</v>
      </c>
      <c r="G134" s="168"/>
      <c r="H134" s="581"/>
      <c r="I134" s="582"/>
      <c r="J134" s="188" t="s">
        <v>81</v>
      </c>
      <c r="K134" s="190">
        <f>SUM(K132:K133)</f>
        <v>19.71721833659481</v>
      </c>
      <c r="L134" s="180"/>
      <c r="M134" s="191">
        <f>K134-F134</f>
        <v>1.8472183365948105</v>
      </c>
      <c r="N134" s="192">
        <f>M134/F134</f>
        <v>0.1033698005928825</v>
      </c>
    </row>
    <row r="135" spans="1:14" ht="25.5">
      <c r="A135" s="86"/>
      <c r="B135" s="31"/>
      <c r="C135" s="181" t="s">
        <v>82</v>
      </c>
      <c r="D135" s="182">
        <f>A131</f>
        <v>500</v>
      </c>
      <c r="E135" s="444">
        <v>0.0239</v>
      </c>
      <c r="F135" s="377">
        <f>D135*E135</f>
        <v>11.950000000000001</v>
      </c>
      <c r="G135" s="168"/>
      <c r="H135" s="185" t="s">
        <v>82</v>
      </c>
      <c r="I135" s="186">
        <f aca="true" t="shared" si="6" ref="I135:K136">D135</f>
        <v>500</v>
      </c>
      <c r="J135" s="446">
        <f t="shared" si="6"/>
        <v>0.0239</v>
      </c>
      <c r="K135" s="196">
        <f t="shared" si="6"/>
        <v>11.950000000000001</v>
      </c>
      <c r="L135" s="180"/>
      <c r="M135" s="593"/>
      <c r="N135" s="594"/>
    </row>
    <row r="136" spans="1:14" ht="26.25" thickBot="1">
      <c r="A136" s="86"/>
      <c r="B136" s="31"/>
      <c r="C136" s="197" t="s">
        <v>83</v>
      </c>
      <c r="D136" s="182">
        <f>A131</f>
        <v>500</v>
      </c>
      <c r="E136" s="445">
        <v>0.047</v>
      </c>
      <c r="F136" s="356">
        <f>D136*E136</f>
        <v>23.5</v>
      </c>
      <c r="G136" s="168"/>
      <c r="H136" s="199" t="s">
        <v>83</v>
      </c>
      <c r="I136" s="200">
        <f t="shared" si="6"/>
        <v>500</v>
      </c>
      <c r="J136" s="447">
        <f t="shared" si="6"/>
        <v>0.047</v>
      </c>
      <c r="K136" s="202">
        <f t="shared" si="6"/>
        <v>23.5</v>
      </c>
      <c r="L136" s="180"/>
      <c r="M136" s="597"/>
      <c r="N136" s="598"/>
    </row>
    <row r="137" spans="1:14" ht="13.5" thickBot="1">
      <c r="A137" s="86"/>
      <c r="B137" s="31"/>
      <c r="C137" s="583"/>
      <c r="D137" s="584"/>
      <c r="E137" s="584"/>
      <c r="F137" s="585"/>
      <c r="G137" s="168"/>
      <c r="H137" s="584"/>
      <c r="I137" s="584"/>
      <c r="J137" s="584"/>
      <c r="K137" s="585"/>
      <c r="L137" s="31"/>
      <c r="M137" s="86"/>
      <c r="N137" s="203"/>
    </row>
    <row r="138" spans="1:14" ht="13.5" thickBot="1">
      <c r="A138" s="94"/>
      <c r="B138" s="149"/>
      <c r="C138" s="204" t="s">
        <v>218</v>
      </c>
      <c r="D138" s="205"/>
      <c r="E138" s="205"/>
      <c r="F138" s="190">
        <f>SUM(F135:F136,F134)</f>
        <v>53.32000000000001</v>
      </c>
      <c r="G138" s="207"/>
      <c r="H138" s="592" t="s">
        <v>219</v>
      </c>
      <c r="I138" s="592"/>
      <c r="J138" s="592"/>
      <c r="K138" s="190">
        <f>SUM(K134:K136)</f>
        <v>55.167218336594814</v>
      </c>
      <c r="L138" s="208"/>
      <c r="M138" s="191">
        <f>K138-F138</f>
        <v>1.847218336594807</v>
      </c>
      <c r="N138" s="192">
        <f>M138/F138</f>
        <v>0.034644004812355716</v>
      </c>
    </row>
    <row r="139" spans="1:14" ht="15">
      <c r="A139" s="47"/>
      <c r="B139" s="12"/>
      <c r="D139" s="10"/>
      <c r="E139" s="10"/>
      <c r="F139" s="210"/>
      <c r="I139" s="10"/>
      <c r="J139" s="10"/>
      <c r="K139" s="211"/>
      <c r="L139" s="12"/>
      <c r="M139" s="12"/>
      <c r="N139" s="212"/>
    </row>
    <row r="140" spans="1:14" ht="13.5" thickBot="1">
      <c r="A140" s="12"/>
      <c r="D140" s="213"/>
      <c r="E140" s="10"/>
      <c r="F140" s="210"/>
      <c r="I140" s="10"/>
      <c r="J140" s="10"/>
      <c r="K140" s="211"/>
      <c r="L140" s="12"/>
      <c r="M140" s="12"/>
      <c r="N140" s="214"/>
    </row>
    <row r="141" spans="1:14" ht="60.75" thickBot="1">
      <c r="A141" s="169" t="s">
        <v>76</v>
      </c>
      <c r="B141" s="170"/>
      <c r="C141" s="577"/>
      <c r="D141" s="571" t="s">
        <v>12</v>
      </c>
      <c r="E141" s="573" t="s">
        <v>77</v>
      </c>
      <c r="F141" s="575" t="s">
        <v>199</v>
      </c>
      <c r="G141" s="167"/>
      <c r="H141" s="171"/>
      <c r="I141" s="571" t="s">
        <v>12</v>
      </c>
      <c r="J141" s="573" t="s">
        <v>77</v>
      </c>
      <c r="K141" s="575" t="s">
        <v>199</v>
      </c>
      <c r="L141" s="170"/>
      <c r="M141" s="588" t="s">
        <v>198</v>
      </c>
      <c r="N141" s="590" t="s">
        <v>78</v>
      </c>
    </row>
    <row r="142" spans="1:14" ht="13.5" thickBot="1">
      <c r="A142" s="172">
        <v>750</v>
      </c>
      <c r="B142" s="31"/>
      <c r="C142" s="578"/>
      <c r="D142" s="572"/>
      <c r="E142" s="574"/>
      <c r="F142" s="576"/>
      <c r="G142" s="168"/>
      <c r="H142" s="31"/>
      <c r="I142" s="586"/>
      <c r="J142" s="587"/>
      <c r="K142" s="576"/>
      <c r="L142" s="32"/>
      <c r="M142" s="589"/>
      <c r="N142" s="591"/>
    </row>
    <row r="143" spans="1:14" ht="25.5">
      <c r="A143" s="173"/>
      <c r="B143" s="31"/>
      <c r="C143" s="174" t="s">
        <v>23</v>
      </c>
      <c r="D143" s="175" t="s">
        <v>79</v>
      </c>
      <c r="E143" s="176" t="s">
        <v>79</v>
      </c>
      <c r="F143" s="235">
        <f>F132</f>
        <v>10.67</v>
      </c>
      <c r="G143" s="168"/>
      <c r="H143" s="178" t="s">
        <v>23</v>
      </c>
      <c r="I143" s="209" t="str">
        <f>D143</f>
        <v>N/A</v>
      </c>
      <c r="J143" s="179" t="s">
        <v>79</v>
      </c>
      <c r="K143" s="228">
        <f>K132</f>
        <v>11.420558946854408</v>
      </c>
      <c r="L143" s="180"/>
      <c r="M143" s="593"/>
      <c r="N143" s="594"/>
    </row>
    <row r="144" spans="1:14" ht="26.25" thickBot="1">
      <c r="A144" s="86"/>
      <c r="B144" s="31"/>
      <c r="C144" s="181" t="s">
        <v>80</v>
      </c>
      <c r="D144" s="236">
        <f>A142</f>
        <v>750</v>
      </c>
      <c r="E144" s="183">
        <f>E133</f>
        <v>0.0144</v>
      </c>
      <c r="F144" s="356">
        <f>D144*E144</f>
        <v>10.799999999999999</v>
      </c>
      <c r="G144" s="168"/>
      <c r="H144" s="185" t="s">
        <v>80</v>
      </c>
      <c r="I144" s="378">
        <f>D144</f>
        <v>750</v>
      </c>
      <c r="J144" s="229">
        <f>J133</f>
        <v>0.01659331877948081</v>
      </c>
      <c r="K144" s="187">
        <f>I144*J144</f>
        <v>12.444989084610606</v>
      </c>
      <c r="L144" s="180"/>
      <c r="M144" s="595"/>
      <c r="N144" s="596"/>
    </row>
    <row r="145" spans="1:14" ht="13.5" thickBot="1">
      <c r="A145" s="86"/>
      <c r="B145" s="31"/>
      <c r="C145" s="599"/>
      <c r="D145" s="600"/>
      <c r="E145" s="188" t="s">
        <v>50</v>
      </c>
      <c r="F145" s="376">
        <f>SUM(F143:F144)</f>
        <v>21.47</v>
      </c>
      <c r="G145" s="168"/>
      <c r="H145" s="581"/>
      <c r="I145" s="582"/>
      <c r="J145" s="188" t="s">
        <v>81</v>
      </c>
      <c r="K145" s="190">
        <f>SUM(K143:K144)</f>
        <v>23.865548031465014</v>
      </c>
      <c r="L145" s="180"/>
      <c r="M145" s="191">
        <f>K145-F145</f>
        <v>2.3955480314650153</v>
      </c>
      <c r="N145" s="192">
        <f>M145/F145</f>
        <v>0.11157652684979112</v>
      </c>
    </row>
    <row r="146" spans="1:14" ht="25.5">
      <c r="A146" s="86"/>
      <c r="B146" s="31"/>
      <c r="C146" s="181" t="s">
        <v>82</v>
      </c>
      <c r="D146" s="182">
        <f>A142</f>
        <v>750</v>
      </c>
      <c r="E146" s="193">
        <v>0.0239</v>
      </c>
      <c r="F146" s="377">
        <f>D146*E146</f>
        <v>17.925</v>
      </c>
      <c r="G146" s="168"/>
      <c r="H146" s="185" t="s">
        <v>82</v>
      </c>
      <c r="I146" s="186">
        <f aca="true" t="shared" si="7" ref="I146:K147">D146</f>
        <v>750</v>
      </c>
      <c r="J146" s="195">
        <f t="shared" si="7"/>
        <v>0.0239</v>
      </c>
      <c r="K146" s="196">
        <f t="shared" si="7"/>
        <v>17.925</v>
      </c>
      <c r="L146" s="180"/>
      <c r="M146" s="593"/>
      <c r="N146" s="594"/>
    </row>
    <row r="147" spans="1:14" ht="26.25" thickBot="1">
      <c r="A147" s="86"/>
      <c r="B147" s="31"/>
      <c r="C147" s="197" t="s">
        <v>83</v>
      </c>
      <c r="D147" s="182">
        <f>A142</f>
        <v>750</v>
      </c>
      <c r="E147" s="198">
        <v>0.047</v>
      </c>
      <c r="F147" s="356">
        <f>D147*E147</f>
        <v>35.25</v>
      </c>
      <c r="G147" s="168"/>
      <c r="H147" s="199" t="s">
        <v>83</v>
      </c>
      <c r="I147" s="200">
        <f t="shared" si="7"/>
        <v>750</v>
      </c>
      <c r="J147" s="201">
        <f t="shared" si="7"/>
        <v>0.047</v>
      </c>
      <c r="K147" s="202">
        <f t="shared" si="7"/>
        <v>35.25</v>
      </c>
      <c r="L147" s="180"/>
      <c r="M147" s="597"/>
      <c r="N147" s="598"/>
    </row>
    <row r="148" spans="1:14" ht="13.5" thickBot="1">
      <c r="A148" s="86"/>
      <c r="B148" s="31"/>
      <c r="C148" s="583"/>
      <c r="D148" s="584"/>
      <c r="E148" s="584"/>
      <c r="F148" s="585"/>
      <c r="G148" s="168"/>
      <c r="H148" s="584"/>
      <c r="I148" s="584"/>
      <c r="J148" s="584"/>
      <c r="K148" s="585"/>
      <c r="L148" s="31"/>
      <c r="M148" s="86"/>
      <c r="N148" s="203"/>
    </row>
    <row r="149" spans="1:14" ht="13.5" thickBot="1">
      <c r="A149" s="94"/>
      <c r="B149" s="149"/>
      <c r="C149" s="204" t="s">
        <v>218</v>
      </c>
      <c r="D149" s="205"/>
      <c r="E149" s="205"/>
      <c r="F149" s="190">
        <f>SUM(F146:F147,F145)</f>
        <v>74.645</v>
      </c>
      <c r="G149" s="207"/>
      <c r="H149" s="592" t="s">
        <v>219</v>
      </c>
      <c r="I149" s="592"/>
      <c r="J149" s="592"/>
      <c r="K149" s="190">
        <f>SUM(K145:K147)</f>
        <v>77.04054803146502</v>
      </c>
      <c r="L149" s="208"/>
      <c r="M149" s="191">
        <f>K149-F149</f>
        <v>2.395548031465026</v>
      </c>
      <c r="N149" s="192">
        <f>M149/F149</f>
        <v>0.03209254513316399</v>
      </c>
    </row>
    <row r="150" spans="1:14" ht="12.75">
      <c r="A150" s="12"/>
      <c r="D150" s="213"/>
      <c r="E150" s="10"/>
      <c r="F150" s="210"/>
      <c r="I150" s="10"/>
      <c r="J150" s="10"/>
      <c r="K150" s="211"/>
      <c r="L150" s="12"/>
      <c r="M150" s="12"/>
      <c r="N150" s="214"/>
    </row>
    <row r="151" spans="1:13" ht="15.75" thickBot="1">
      <c r="A151" s="215"/>
      <c r="B151" s="31"/>
      <c r="C151" s="133"/>
      <c r="D151" s="30"/>
      <c r="E151" s="30"/>
      <c r="F151" s="216"/>
      <c r="H151" s="133"/>
      <c r="I151" s="30"/>
      <c r="J151" s="30"/>
      <c r="K151" s="217"/>
      <c r="L151" s="217"/>
      <c r="M151" s="217"/>
    </row>
    <row r="152" spans="1:14" ht="60.75" thickBot="1">
      <c r="A152" s="169" t="s">
        <v>76</v>
      </c>
      <c r="B152" s="170"/>
      <c r="C152" s="577"/>
      <c r="D152" s="571" t="s">
        <v>12</v>
      </c>
      <c r="E152" s="573" t="s">
        <v>77</v>
      </c>
      <c r="F152" s="575" t="s">
        <v>199</v>
      </c>
      <c r="G152" s="167"/>
      <c r="H152" s="171"/>
      <c r="I152" s="571" t="s">
        <v>12</v>
      </c>
      <c r="J152" s="573" t="s">
        <v>77</v>
      </c>
      <c r="K152" s="575" t="s">
        <v>199</v>
      </c>
      <c r="L152" s="170"/>
      <c r="M152" s="588" t="s">
        <v>198</v>
      </c>
      <c r="N152" s="590" t="s">
        <v>78</v>
      </c>
    </row>
    <row r="153" spans="1:14" ht="13.5" thickBot="1">
      <c r="A153" s="172">
        <v>1000</v>
      </c>
      <c r="B153" s="31"/>
      <c r="C153" s="578"/>
      <c r="D153" s="572"/>
      <c r="E153" s="574"/>
      <c r="F153" s="576"/>
      <c r="G153" s="168"/>
      <c r="H153" s="31"/>
      <c r="I153" s="586"/>
      <c r="J153" s="587"/>
      <c r="K153" s="576"/>
      <c r="L153" s="32"/>
      <c r="M153" s="589"/>
      <c r="N153" s="591"/>
    </row>
    <row r="154" spans="1:14" ht="25.5">
      <c r="A154" s="173"/>
      <c r="B154" s="31"/>
      <c r="C154" s="174" t="s">
        <v>23</v>
      </c>
      <c r="D154" s="175" t="s">
        <v>79</v>
      </c>
      <c r="E154" s="176" t="s">
        <v>79</v>
      </c>
      <c r="F154" s="235">
        <f>F143</f>
        <v>10.67</v>
      </c>
      <c r="G154" s="168"/>
      <c r="H154" s="174" t="s">
        <v>23</v>
      </c>
      <c r="I154" s="209" t="str">
        <f>D154</f>
        <v>N/A</v>
      </c>
      <c r="J154" s="179" t="s">
        <v>79</v>
      </c>
      <c r="K154" s="228">
        <f>K143</f>
        <v>11.420558946854408</v>
      </c>
      <c r="L154" s="180"/>
      <c r="M154" s="593"/>
      <c r="N154" s="594"/>
    </row>
    <row r="155" spans="1:14" ht="26.25" thickBot="1">
      <c r="A155" s="86"/>
      <c r="B155" s="31"/>
      <c r="C155" s="181" t="s">
        <v>80</v>
      </c>
      <c r="D155" s="182">
        <f>A153</f>
        <v>1000</v>
      </c>
      <c r="E155" s="183">
        <f>E144</f>
        <v>0.0144</v>
      </c>
      <c r="F155" s="356">
        <f>D155*E155</f>
        <v>14.4</v>
      </c>
      <c r="G155" s="168"/>
      <c r="H155" s="181" t="s">
        <v>80</v>
      </c>
      <c r="I155" s="186">
        <f>D155</f>
        <v>1000</v>
      </c>
      <c r="J155" s="229">
        <f>J144</f>
        <v>0.01659331877948081</v>
      </c>
      <c r="K155" s="187">
        <f>I155*J155</f>
        <v>16.59331877948081</v>
      </c>
      <c r="L155" s="180"/>
      <c r="M155" s="595"/>
      <c r="N155" s="596"/>
    </row>
    <row r="156" spans="1:14" ht="13.5" thickBot="1">
      <c r="A156" s="86"/>
      <c r="B156" s="31"/>
      <c r="C156" s="599"/>
      <c r="D156" s="600"/>
      <c r="E156" s="188" t="s">
        <v>50</v>
      </c>
      <c r="F156" s="376">
        <f>SUM(F154:F155)</f>
        <v>25.07</v>
      </c>
      <c r="G156" s="168"/>
      <c r="H156" s="604"/>
      <c r="I156" s="582"/>
      <c r="J156" s="188" t="s">
        <v>81</v>
      </c>
      <c r="K156" s="190">
        <f>SUM(K154:K155)</f>
        <v>28.013877726335217</v>
      </c>
      <c r="L156" s="180"/>
      <c r="M156" s="191">
        <f>K156-F156</f>
        <v>2.9438777263352165</v>
      </c>
      <c r="N156" s="192">
        <f>M156/F156</f>
        <v>0.11742631537037161</v>
      </c>
    </row>
    <row r="157" spans="1:14" ht="25.5">
      <c r="A157" s="86"/>
      <c r="B157" s="31"/>
      <c r="C157" s="181" t="s">
        <v>82</v>
      </c>
      <c r="D157" s="182">
        <f>A153</f>
        <v>1000</v>
      </c>
      <c r="E157" s="193">
        <v>0.0239</v>
      </c>
      <c r="F157" s="377">
        <f>D157*E157</f>
        <v>23.900000000000002</v>
      </c>
      <c r="G157" s="168"/>
      <c r="H157" s="181" t="s">
        <v>82</v>
      </c>
      <c r="I157" s="186">
        <f>D157</f>
        <v>1000</v>
      </c>
      <c r="J157" s="195">
        <f>E157</f>
        <v>0.0239</v>
      </c>
      <c r="K157" s="196">
        <f>F157</f>
        <v>23.900000000000002</v>
      </c>
      <c r="L157" s="180"/>
      <c r="M157" s="593"/>
      <c r="N157" s="594"/>
    </row>
    <row r="158" spans="1:14" ht="25.5">
      <c r="A158" s="86"/>
      <c r="B158" s="31"/>
      <c r="C158" s="197" t="s">
        <v>83</v>
      </c>
      <c r="D158" s="182">
        <v>750</v>
      </c>
      <c r="E158" s="198">
        <v>0.047</v>
      </c>
      <c r="F158" s="356">
        <f>D158*E158</f>
        <v>35.25</v>
      </c>
      <c r="G158" s="168"/>
      <c r="H158" s="197" t="s">
        <v>83</v>
      </c>
      <c r="I158" s="182">
        <f>D158</f>
        <v>750</v>
      </c>
      <c r="J158" s="198">
        <v>0.047</v>
      </c>
      <c r="K158" s="356">
        <f>I158*J158</f>
        <v>35.25</v>
      </c>
      <c r="L158" s="180"/>
      <c r="M158" s="597"/>
      <c r="N158" s="598"/>
    </row>
    <row r="159" spans="1:14" ht="26.25" thickBot="1">
      <c r="A159" s="86"/>
      <c r="B159" s="31"/>
      <c r="C159" s="197" t="s">
        <v>83</v>
      </c>
      <c r="D159" s="236">
        <f>A153-D158</f>
        <v>250</v>
      </c>
      <c r="E159" s="198">
        <v>0.055</v>
      </c>
      <c r="F159" s="356">
        <f>D159*E159</f>
        <v>13.75</v>
      </c>
      <c r="G159" s="168"/>
      <c r="H159" s="357" t="s">
        <v>83</v>
      </c>
      <c r="I159" s="379">
        <f>D159</f>
        <v>250</v>
      </c>
      <c r="J159" s="358">
        <v>0.055</v>
      </c>
      <c r="K159" s="359">
        <f>I159*J159</f>
        <v>13.75</v>
      </c>
      <c r="L159" s="180"/>
      <c r="M159" s="597"/>
      <c r="N159" s="598"/>
    </row>
    <row r="160" spans="1:14" ht="13.5" thickBot="1">
      <c r="A160" s="86"/>
      <c r="B160" s="31"/>
      <c r="C160" s="583"/>
      <c r="D160" s="584"/>
      <c r="E160" s="584"/>
      <c r="F160" s="585"/>
      <c r="G160" s="168"/>
      <c r="H160" s="584"/>
      <c r="I160" s="584"/>
      <c r="J160" s="584"/>
      <c r="K160" s="585"/>
      <c r="L160" s="31"/>
      <c r="M160" s="86"/>
      <c r="N160" s="203"/>
    </row>
    <row r="161" spans="1:14" ht="13.5" thickBot="1">
      <c r="A161" s="94"/>
      <c r="B161" s="149"/>
      <c r="C161" s="204" t="s">
        <v>218</v>
      </c>
      <c r="D161" s="205"/>
      <c r="E161" s="205"/>
      <c r="F161" s="190">
        <f>SUM(F157:F159,F156)</f>
        <v>97.97</v>
      </c>
      <c r="G161" s="207"/>
      <c r="H161" s="592" t="s">
        <v>219</v>
      </c>
      <c r="I161" s="592"/>
      <c r="J161" s="592"/>
      <c r="K161" s="190">
        <f>SUM(K156:K159)</f>
        <v>100.91387772633522</v>
      </c>
      <c r="L161" s="208"/>
      <c r="M161" s="191">
        <f>K161-F161</f>
        <v>2.9438777263352165</v>
      </c>
      <c r="N161" s="192">
        <f>M161/F161</f>
        <v>0.03004876723828944</v>
      </c>
    </row>
    <row r="162" spans="1:14" ht="12.75">
      <c r="A162" s="12"/>
      <c r="D162" s="213"/>
      <c r="E162" s="10"/>
      <c r="F162" s="210"/>
      <c r="I162" s="10"/>
      <c r="J162" s="10"/>
      <c r="K162" s="211"/>
      <c r="L162" s="12"/>
      <c r="M162" s="12"/>
      <c r="N162" s="214"/>
    </row>
    <row r="163" spans="1:13" ht="15.75" thickBot="1">
      <c r="A163" s="215"/>
      <c r="B163" s="31"/>
      <c r="C163" s="133"/>
      <c r="D163" s="30"/>
      <c r="E163" s="30"/>
      <c r="F163" s="216"/>
      <c r="H163" s="133"/>
      <c r="I163" s="30"/>
      <c r="J163" s="30"/>
      <c r="K163" s="217"/>
      <c r="L163" s="217"/>
      <c r="M163" s="217"/>
    </row>
    <row r="164" spans="1:14" ht="60.75" thickBot="1">
      <c r="A164" s="169" t="s">
        <v>76</v>
      </c>
      <c r="B164" s="170"/>
      <c r="C164" s="577"/>
      <c r="D164" s="571" t="s">
        <v>12</v>
      </c>
      <c r="E164" s="573" t="s">
        <v>77</v>
      </c>
      <c r="F164" s="575" t="s">
        <v>199</v>
      </c>
      <c r="G164" s="167"/>
      <c r="H164" s="171"/>
      <c r="I164" s="571" t="s">
        <v>12</v>
      </c>
      <c r="J164" s="573" t="s">
        <v>77</v>
      </c>
      <c r="K164" s="575" t="s">
        <v>199</v>
      </c>
      <c r="L164" s="170"/>
      <c r="M164" s="588" t="s">
        <v>198</v>
      </c>
      <c r="N164" s="590" t="s">
        <v>78</v>
      </c>
    </row>
    <row r="165" spans="1:14" ht="13.5" thickBot="1">
      <c r="A165" s="172">
        <v>1500</v>
      </c>
      <c r="B165" s="31"/>
      <c r="C165" s="578"/>
      <c r="D165" s="572"/>
      <c r="E165" s="574"/>
      <c r="F165" s="576"/>
      <c r="G165" s="168"/>
      <c r="H165" s="31"/>
      <c r="I165" s="586"/>
      <c r="J165" s="587"/>
      <c r="K165" s="576"/>
      <c r="L165" s="32"/>
      <c r="M165" s="589"/>
      <c r="N165" s="591"/>
    </row>
    <row r="166" spans="1:14" ht="25.5">
      <c r="A166" s="173"/>
      <c r="B166" s="31"/>
      <c r="C166" s="174" t="s">
        <v>23</v>
      </c>
      <c r="D166" s="175" t="s">
        <v>79</v>
      </c>
      <c r="E166" s="176" t="s">
        <v>79</v>
      </c>
      <c r="F166" s="235">
        <f>F154</f>
        <v>10.67</v>
      </c>
      <c r="G166" s="168"/>
      <c r="H166" s="178" t="s">
        <v>23</v>
      </c>
      <c r="I166" s="209" t="str">
        <f>D166</f>
        <v>N/A</v>
      </c>
      <c r="J166" s="179" t="s">
        <v>79</v>
      </c>
      <c r="K166" s="228">
        <f>K154</f>
        <v>11.420558946854408</v>
      </c>
      <c r="L166" s="180"/>
      <c r="M166" s="593"/>
      <c r="N166" s="594"/>
    </row>
    <row r="167" spans="1:14" ht="26.25" thickBot="1">
      <c r="A167" s="86"/>
      <c r="B167" s="31"/>
      <c r="C167" s="181" t="s">
        <v>80</v>
      </c>
      <c r="D167" s="182">
        <f>A165</f>
        <v>1500</v>
      </c>
      <c r="E167" s="183">
        <f>E155</f>
        <v>0.0144</v>
      </c>
      <c r="F167" s="356">
        <f>D167*E167</f>
        <v>21.599999999999998</v>
      </c>
      <c r="G167" s="168"/>
      <c r="H167" s="185" t="s">
        <v>80</v>
      </c>
      <c r="I167" s="186">
        <f>D167</f>
        <v>1500</v>
      </c>
      <c r="J167" s="229">
        <f>J155</f>
        <v>0.01659331877948081</v>
      </c>
      <c r="K167" s="187">
        <f>I167*J167</f>
        <v>24.889978169221212</v>
      </c>
      <c r="L167" s="180"/>
      <c r="M167" s="595"/>
      <c r="N167" s="596"/>
    </row>
    <row r="168" spans="1:14" ht="13.5" thickBot="1">
      <c r="A168" s="86"/>
      <c r="B168" s="31"/>
      <c r="C168" s="599"/>
      <c r="D168" s="600"/>
      <c r="E168" s="188" t="s">
        <v>50</v>
      </c>
      <c r="F168" s="376">
        <f>SUM(F166:F167)</f>
        <v>32.269999999999996</v>
      </c>
      <c r="G168" s="168"/>
      <c r="H168" s="581"/>
      <c r="I168" s="582"/>
      <c r="J168" s="188" t="s">
        <v>81</v>
      </c>
      <c r="K168" s="190">
        <f>SUM(K166:K167)</f>
        <v>36.31053711607562</v>
      </c>
      <c r="L168" s="180"/>
      <c r="M168" s="191">
        <f>K168-F168</f>
        <v>4.040537116075626</v>
      </c>
      <c r="N168" s="192">
        <f>M168/F168</f>
        <v>0.12521032277891622</v>
      </c>
    </row>
    <row r="169" spans="1:14" ht="25.5">
      <c r="A169" s="86"/>
      <c r="B169" s="31"/>
      <c r="C169" s="181" t="s">
        <v>82</v>
      </c>
      <c r="D169" s="182">
        <f>A165</f>
        <v>1500</v>
      </c>
      <c r="E169" s="193">
        <v>0.0239</v>
      </c>
      <c r="F169" s="377">
        <f>D169*E169</f>
        <v>35.85</v>
      </c>
      <c r="G169" s="168"/>
      <c r="H169" s="185" t="s">
        <v>82</v>
      </c>
      <c r="I169" s="186">
        <f>D169</f>
        <v>1500</v>
      </c>
      <c r="J169" s="195">
        <f>E169</f>
        <v>0.0239</v>
      </c>
      <c r="K169" s="196">
        <f>F169</f>
        <v>35.85</v>
      </c>
      <c r="L169" s="180"/>
      <c r="M169" s="593"/>
      <c r="N169" s="594"/>
    </row>
    <row r="170" spans="1:14" ht="25.5">
      <c r="A170" s="86"/>
      <c r="B170" s="31"/>
      <c r="C170" s="197" t="s">
        <v>83</v>
      </c>
      <c r="D170" s="182">
        <v>750</v>
      </c>
      <c r="E170" s="198">
        <v>0.047</v>
      </c>
      <c r="F170" s="356">
        <f>D170*E170</f>
        <v>35.25</v>
      </c>
      <c r="G170" s="168"/>
      <c r="H170" s="197" t="s">
        <v>83</v>
      </c>
      <c r="I170" s="186">
        <f>D170</f>
        <v>750</v>
      </c>
      <c r="J170" s="198">
        <v>0.047</v>
      </c>
      <c r="K170" s="356">
        <f>I170*J170</f>
        <v>35.25</v>
      </c>
      <c r="L170" s="180"/>
      <c r="M170" s="597"/>
      <c r="N170" s="598"/>
    </row>
    <row r="171" spans="1:14" ht="26.25" thickBot="1">
      <c r="A171" s="86"/>
      <c r="B171" s="31"/>
      <c r="C171" s="197" t="s">
        <v>83</v>
      </c>
      <c r="D171" s="236">
        <f>A165-D170</f>
        <v>750</v>
      </c>
      <c r="E171" s="198">
        <v>0.055</v>
      </c>
      <c r="F171" s="356">
        <f>D171*E171</f>
        <v>41.25</v>
      </c>
      <c r="G171" s="168"/>
      <c r="H171" s="357" t="s">
        <v>83</v>
      </c>
      <c r="I171" s="379">
        <f>D171</f>
        <v>750</v>
      </c>
      <c r="J171" s="358">
        <v>0.055</v>
      </c>
      <c r="K171" s="359">
        <f>I171*J171</f>
        <v>41.25</v>
      </c>
      <c r="L171" s="180"/>
      <c r="M171" s="597"/>
      <c r="N171" s="598"/>
    </row>
    <row r="172" spans="1:14" ht="13.5" thickBot="1">
      <c r="A172" s="86"/>
      <c r="B172" s="31"/>
      <c r="C172" s="583"/>
      <c r="D172" s="584"/>
      <c r="E172" s="584"/>
      <c r="F172" s="585"/>
      <c r="G172" s="168"/>
      <c r="H172" s="584"/>
      <c r="I172" s="584"/>
      <c r="J172" s="584"/>
      <c r="K172" s="585"/>
      <c r="L172" s="31"/>
      <c r="M172" s="86"/>
      <c r="N172" s="203"/>
    </row>
    <row r="173" spans="1:14" ht="13.5" thickBot="1">
      <c r="A173" s="94"/>
      <c r="B173" s="149"/>
      <c r="C173" s="204" t="s">
        <v>218</v>
      </c>
      <c r="D173" s="205"/>
      <c r="E173" s="205"/>
      <c r="F173" s="190">
        <f>SUM(F169:F171,F168)</f>
        <v>144.62</v>
      </c>
      <c r="G173" s="207"/>
      <c r="H173" s="592" t="s">
        <v>219</v>
      </c>
      <c r="I173" s="592"/>
      <c r="J173" s="592"/>
      <c r="K173" s="190">
        <f>SUM(K168:K171)</f>
        <v>148.66053711607563</v>
      </c>
      <c r="L173" s="208"/>
      <c r="M173" s="191">
        <f>K173-F173</f>
        <v>4.040537116075626</v>
      </c>
      <c r="N173" s="192">
        <f>M173/F173</f>
        <v>0.027938992643310925</v>
      </c>
    </row>
    <row r="174" spans="1:14" ht="12.75">
      <c r="A174" s="12"/>
      <c r="D174" s="213"/>
      <c r="E174" s="10"/>
      <c r="F174" s="210"/>
      <c r="I174" s="10"/>
      <c r="J174" s="10"/>
      <c r="K174" s="211"/>
      <c r="L174" s="12"/>
      <c r="M174" s="12"/>
      <c r="N174" s="214"/>
    </row>
    <row r="175" spans="1:13" ht="15.75" thickBot="1">
      <c r="A175" s="215"/>
      <c r="B175" s="31"/>
      <c r="C175" s="133"/>
      <c r="D175" s="30"/>
      <c r="E175" s="30"/>
      <c r="F175" s="216"/>
      <c r="H175" s="133"/>
      <c r="I175" s="30"/>
      <c r="J175" s="30"/>
      <c r="K175" s="217"/>
      <c r="L175" s="217"/>
      <c r="M175" s="217"/>
    </row>
    <row r="176" spans="1:14" ht="60.75" thickBot="1">
      <c r="A176" s="169" t="s">
        <v>76</v>
      </c>
      <c r="B176" s="170"/>
      <c r="C176" s="577"/>
      <c r="D176" s="571" t="s">
        <v>12</v>
      </c>
      <c r="E176" s="573" t="s">
        <v>77</v>
      </c>
      <c r="F176" s="575" t="s">
        <v>199</v>
      </c>
      <c r="G176" s="167"/>
      <c r="H176" s="171"/>
      <c r="I176" s="571" t="s">
        <v>12</v>
      </c>
      <c r="J176" s="573" t="s">
        <v>77</v>
      </c>
      <c r="K176" s="575" t="s">
        <v>199</v>
      </c>
      <c r="L176" s="170"/>
      <c r="M176" s="588" t="s">
        <v>198</v>
      </c>
      <c r="N176" s="590" t="s">
        <v>78</v>
      </c>
    </row>
    <row r="177" spans="1:14" ht="13.5" thickBot="1">
      <c r="A177" s="172">
        <v>2000</v>
      </c>
      <c r="B177" s="31"/>
      <c r="C177" s="578"/>
      <c r="D177" s="572"/>
      <c r="E177" s="574"/>
      <c r="F177" s="576"/>
      <c r="G177" s="168"/>
      <c r="H177" s="31"/>
      <c r="I177" s="586"/>
      <c r="J177" s="587"/>
      <c r="K177" s="576"/>
      <c r="L177" s="32"/>
      <c r="M177" s="589"/>
      <c r="N177" s="591"/>
    </row>
    <row r="178" spans="1:14" ht="25.5">
      <c r="A178" s="173"/>
      <c r="B178" s="31"/>
      <c r="C178" s="174" t="s">
        <v>23</v>
      </c>
      <c r="D178" s="175" t="s">
        <v>79</v>
      </c>
      <c r="E178" s="176" t="s">
        <v>79</v>
      </c>
      <c r="F178" s="235">
        <f>F166</f>
        <v>10.67</v>
      </c>
      <c r="G178" s="168"/>
      <c r="H178" s="178" t="s">
        <v>23</v>
      </c>
      <c r="I178" s="209" t="str">
        <f>D178</f>
        <v>N/A</v>
      </c>
      <c r="J178" s="179" t="s">
        <v>79</v>
      </c>
      <c r="K178" s="228">
        <f>K166</f>
        <v>11.420558946854408</v>
      </c>
      <c r="L178" s="180"/>
      <c r="M178" s="593"/>
      <c r="N178" s="594"/>
    </row>
    <row r="179" spans="1:14" ht="26.25" thickBot="1">
      <c r="A179" s="86"/>
      <c r="B179" s="31"/>
      <c r="C179" s="181" t="s">
        <v>80</v>
      </c>
      <c r="D179" s="182">
        <f>A177</f>
        <v>2000</v>
      </c>
      <c r="E179" s="183">
        <f>E167</f>
        <v>0.0144</v>
      </c>
      <c r="F179" s="356">
        <f>D179*E179</f>
        <v>28.8</v>
      </c>
      <c r="G179" s="168"/>
      <c r="H179" s="185" t="s">
        <v>80</v>
      </c>
      <c r="I179" s="186">
        <f>D179</f>
        <v>2000</v>
      </c>
      <c r="J179" s="229">
        <f>J167</f>
        <v>0.01659331877948081</v>
      </c>
      <c r="K179" s="187">
        <f>I179*J179</f>
        <v>33.18663755896162</v>
      </c>
      <c r="L179" s="180"/>
      <c r="M179" s="595"/>
      <c r="N179" s="596"/>
    </row>
    <row r="180" spans="1:14" ht="13.5" thickBot="1">
      <c r="A180" s="86"/>
      <c r="B180" s="31"/>
      <c r="C180" s="599"/>
      <c r="D180" s="600"/>
      <c r="E180" s="188" t="s">
        <v>50</v>
      </c>
      <c r="F180" s="376">
        <f>SUM(F178:F179)</f>
        <v>39.47</v>
      </c>
      <c r="G180" s="168"/>
      <c r="H180" s="581"/>
      <c r="I180" s="582"/>
      <c r="J180" s="188" t="s">
        <v>81</v>
      </c>
      <c r="K180" s="190">
        <f>SUM(K178:K179)</f>
        <v>44.60719650581603</v>
      </c>
      <c r="L180" s="180"/>
      <c r="M180" s="191">
        <f>K180-F180</f>
        <v>5.1371965058160285</v>
      </c>
      <c r="N180" s="192">
        <f>M180/F180</f>
        <v>0.1301544592302009</v>
      </c>
    </row>
    <row r="181" spans="1:14" ht="25.5">
      <c r="A181" s="86"/>
      <c r="B181" s="31"/>
      <c r="C181" s="181" t="s">
        <v>82</v>
      </c>
      <c r="D181" s="182">
        <f>A177</f>
        <v>2000</v>
      </c>
      <c r="E181" s="193">
        <v>0.0239</v>
      </c>
      <c r="F181" s="377">
        <f>D181*E181</f>
        <v>47.800000000000004</v>
      </c>
      <c r="G181" s="168"/>
      <c r="H181" s="185" t="s">
        <v>82</v>
      </c>
      <c r="I181" s="186">
        <f>D181</f>
        <v>2000</v>
      </c>
      <c r="J181" s="195">
        <f>E181</f>
        <v>0.0239</v>
      </c>
      <c r="K181" s="196">
        <f>F181</f>
        <v>47.800000000000004</v>
      </c>
      <c r="L181" s="180"/>
      <c r="M181" s="593"/>
      <c r="N181" s="594"/>
    </row>
    <row r="182" spans="1:14" ht="25.5">
      <c r="A182" s="86"/>
      <c r="B182" s="31"/>
      <c r="C182" s="197" t="s">
        <v>83</v>
      </c>
      <c r="D182" s="182">
        <v>750</v>
      </c>
      <c r="E182" s="198">
        <v>0.047</v>
      </c>
      <c r="F182" s="356">
        <f>D182*E182</f>
        <v>35.25</v>
      </c>
      <c r="G182" s="168"/>
      <c r="H182" s="197" t="s">
        <v>83</v>
      </c>
      <c r="I182" s="186">
        <f>D182</f>
        <v>750</v>
      </c>
      <c r="J182" s="198">
        <v>0.047</v>
      </c>
      <c r="K182" s="356">
        <f>I182*J182</f>
        <v>35.25</v>
      </c>
      <c r="L182" s="180"/>
      <c r="M182" s="597"/>
      <c r="N182" s="598"/>
    </row>
    <row r="183" spans="1:14" ht="26.25" thickBot="1">
      <c r="A183" s="86"/>
      <c r="B183" s="31"/>
      <c r="C183" s="197" t="s">
        <v>83</v>
      </c>
      <c r="D183" s="236">
        <f>A177-D182</f>
        <v>1250</v>
      </c>
      <c r="E183" s="198">
        <v>0.055</v>
      </c>
      <c r="F183" s="356">
        <f>D183*E183</f>
        <v>68.75</v>
      </c>
      <c r="G183" s="168"/>
      <c r="H183" s="357" t="s">
        <v>83</v>
      </c>
      <c r="I183" s="379">
        <f>D183</f>
        <v>1250</v>
      </c>
      <c r="J183" s="358">
        <v>0.055</v>
      </c>
      <c r="K183" s="359">
        <f>I183*J183</f>
        <v>68.75</v>
      </c>
      <c r="L183" s="180"/>
      <c r="M183" s="597"/>
      <c r="N183" s="598"/>
    </row>
    <row r="184" spans="1:14" ht="13.5" thickBot="1">
      <c r="A184" s="86"/>
      <c r="B184" s="31"/>
      <c r="C184" s="583"/>
      <c r="D184" s="584"/>
      <c r="E184" s="584"/>
      <c r="F184" s="585"/>
      <c r="G184" s="168"/>
      <c r="H184" s="584"/>
      <c r="I184" s="584"/>
      <c r="J184" s="584"/>
      <c r="K184" s="585"/>
      <c r="L184" s="31"/>
      <c r="M184" s="86"/>
      <c r="N184" s="203"/>
    </row>
    <row r="185" spans="1:14" ht="13.5" thickBot="1">
      <c r="A185" s="94"/>
      <c r="B185" s="149"/>
      <c r="C185" s="204" t="s">
        <v>218</v>
      </c>
      <c r="D185" s="205"/>
      <c r="E185" s="205"/>
      <c r="F185" s="190">
        <f>SUM(F181:F183,F180)</f>
        <v>191.27</v>
      </c>
      <c r="G185" s="207"/>
      <c r="H185" s="592" t="s">
        <v>219</v>
      </c>
      <c r="I185" s="592"/>
      <c r="J185" s="592"/>
      <c r="K185" s="190">
        <f>SUM(K180:K183)</f>
        <v>196.40719650581605</v>
      </c>
      <c r="L185" s="208"/>
      <c r="M185" s="191">
        <f>K185-F185</f>
        <v>5.137196505816036</v>
      </c>
      <c r="N185" s="192">
        <f>M185/F185</f>
        <v>0.02685834948405937</v>
      </c>
    </row>
    <row r="186" spans="3:14" ht="12.75">
      <c r="C186" s="32"/>
      <c r="D186" s="32"/>
      <c r="E186" s="32"/>
      <c r="F186" s="218"/>
      <c r="G186" s="31"/>
      <c r="H186" s="219"/>
      <c r="I186" s="219"/>
      <c r="J186" s="219"/>
      <c r="K186" s="218"/>
      <c r="L186" s="217"/>
      <c r="M186" s="218"/>
      <c r="N186" s="220"/>
    </row>
    <row r="187" spans="3:14" ht="12.75">
      <c r="C187" s="32"/>
      <c r="D187" s="32"/>
      <c r="E187" s="32"/>
      <c r="F187" s="218"/>
      <c r="G187" s="31"/>
      <c r="H187" s="219"/>
      <c r="I187" s="219"/>
      <c r="J187" s="219"/>
      <c r="K187" s="218"/>
      <c r="L187" s="217"/>
      <c r="M187" s="218"/>
      <c r="N187" s="220"/>
    </row>
    <row r="188" spans="1:13" ht="23.25">
      <c r="A188" s="221" t="s">
        <v>2</v>
      </c>
      <c r="B188" s="54"/>
      <c r="D188" s="31"/>
      <c r="F188" s="217"/>
      <c r="J188" s="222"/>
      <c r="K188" s="217"/>
      <c r="L188" s="217"/>
      <c r="M188" s="217"/>
    </row>
    <row r="189" spans="1:13" ht="15.75">
      <c r="A189" s="54"/>
      <c r="B189" s="54"/>
      <c r="D189" s="31"/>
      <c r="F189" s="217"/>
      <c r="J189" s="222"/>
      <c r="K189" s="217"/>
      <c r="L189" s="217"/>
      <c r="M189" s="217"/>
    </row>
    <row r="190" spans="1:14" s="144" customFormat="1" ht="15">
      <c r="A190" s="141" t="s">
        <v>91</v>
      </c>
      <c r="B190" s="223"/>
      <c r="D190" s="224"/>
      <c r="F190" s="225"/>
      <c r="J190" s="226"/>
      <c r="K190" s="225"/>
      <c r="L190" s="225"/>
      <c r="M190" s="225"/>
      <c r="N190" s="227"/>
    </row>
    <row r="191" spans="1:14" s="144" customFormat="1" ht="15">
      <c r="A191" s="141" t="s">
        <v>47</v>
      </c>
      <c r="B191" s="223"/>
      <c r="D191" s="224"/>
      <c r="F191" s="225"/>
      <c r="J191" s="226"/>
      <c r="K191" s="225"/>
      <c r="L191" s="225"/>
      <c r="M191" s="225"/>
      <c r="N191" s="227"/>
    </row>
    <row r="192" spans="1:14" s="144" customFormat="1" ht="15">
      <c r="A192" s="141" t="s">
        <v>48</v>
      </c>
      <c r="B192" s="223"/>
      <c r="D192" s="224"/>
      <c r="F192" s="225"/>
      <c r="J192" s="226"/>
      <c r="K192" s="225"/>
      <c r="L192" s="225"/>
      <c r="M192" s="225"/>
      <c r="N192" s="227"/>
    </row>
    <row r="193" spans="1:13" ht="16.5" thickBot="1">
      <c r="A193" s="11"/>
      <c r="B193" s="54"/>
      <c r="D193" s="31"/>
      <c r="F193" s="217"/>
      <c r="J193" s="222"/>
      <c r="K193" s="217"/>
      <c r="L193" s="217"/>
      <c r="M193" s="217"/>
    </row>
    <row r="194" spans="1:15" ht="14.25" customHeight="1">
      <c r="A194" s="11"/>
      <c r="C194" s="565" t="s">
        <v>94</v>
      </c>
      <c r="D194" s="566"/>
      <c r="E194" s="566"/>
      <c r="F194" s="567"/>
      <c r="G194" s="167"/>
      <c r="H194" s="565" t="s">
        <v>95</v>
      </c>
      <c r="I194" s="566"/>
      <c r="J194" s="566"/>
      <c r="K194" s="566"/>
      <c r="L194" s="566"/>
      <c r="M194" s="566"/>
      <c r="N194" s="567"/>
      <c r="O194" s="31"/>
    </row>
    <row r="195" spans="1:14" ht="13.5" customHeight="1" thickBot="1">
      <c r="A195"/>
      <c r="C195" s="568"/>
      <c r="D195" s="569"/>
      <c r="E195" s="569"/>
      <c r="F195" s="570"/>
      <c r="G195" s="168"/>
      <c r="H195" s="568"/>
      <c r="I195" s="569"/>
      <c r="J195" s="569"/>
      <c r="K195" s="569"/>
      <c r="L195" s="569"/>
      <c r="M195" s="569"/>
      <c r="N195" s="570"/>
    </row>
    <row r="196" spans="1:14" ht="60.75" thickBot="1">
      <c r="A196" s="169" t="s">
        <v>76</v>
      </c>
      <c r="B196" s="170"/>
      <c r="C196" s="577"/>
      <c r="D196" s="571" t="s">
        <v>12</v>
      </c>
      <c r="E196" s="573" t="s">
        <v>77</v>
      </c>
      <c r="F196" s="575" t="s">
        <v>199</v>
      </c>
      <c r="G196" s="167"/>
      <c r="H196" s="171"/>
      <c r="I196" s="571" t="s">
        <v>12</v>
      </c>
      <c r="J196" s="573" t="s">
        <v>77</v>
      </c>
      <c r="K196" s="575" t="s">
        <v>199</v>
      </c>
      <c r="L196" s="170"/>
      <c r="M196" s="588" t="s">
        <v>198</v>
      </c>
      <c r="N196" s="590" t="s">
        <v>78</v>
      </c>
    </row>
    <row r="197" spans="1:14" ht="13.5" thickBot="1">
      <c r="A197" s="172">
        <v>1000</v>
      </c>
      <c r="B197" s="31"/>
      <c r="C197" s="578"/>
      <c r="D197" s="572"/>
      <c r="E197" s="574"/>
      <c r="F197" s="576"/>
      <c r="G197" s="168"/>
      <c r="H197" s="31"/>
      <c r="I197" s="586"/>
      <c r="J197" s="587"/>
      <c r="K197" s="576"/>
      <c r="L197" s="32"/>
      <c r="M197" s="589"/>
      <c r="N197" s="591"/>
    </row>
    <row r="198" spans="1:14" ht="25.5">
      <c r="A198" s="173"/>
      <c r="B198" s="31"/>
      <c r="C198" s="174" t="s">
        <v>23</v>
      </c>
      <c r="D198" s="175" t="s">
        <v>79</v>
      </c>
      <c r="E198" s="176" t="s">
        <v>79</v>
      </c>
      <c r="F198" s="235">
        <f>'12. Current Rates'!D35</f>
        <v>10.67</v>
      </c>
      <c r="G198" s="168"/>
      <c r="H198" s="178" t="s">
        <v>23</v>
      </c>
      <c r="I198" s="175" t="str">
        <f>D198</f>
        <v>N/A</v>
      </c>
      <c r="J198" s="175" t="s">
        <v>79</v>
      </c>
      <c r="K198" s="235">
        <f>'11. 2005 Final Rate Schedule '!F25</f>
        <v>11.421658485163704</v>
      </c>
      <c r="L198" s="180"/>
      <c r="M198" s="593"/>
      <c r="N198" s="594"/>
    </row>
    <row r="199" spans="1:14" ht="26.25" thickBot="1">
      <c r="A199" s="86"/>
      <c r="B199" s="31"/>
      <c r="C199" s="181" t="s">
        <v>80</v>
      </c>
      <c r="D199" s="182">
        <f>A197</f>
        <v>1000</v>
      </c>
      <c r="E199" s="443">
        <f>'12. Current Rates'!D33</f>
        <v>0.018</v>
      </c>
      <c r="F199" s="356">
        <f>D199*E199</f>
        <v>18</v>
      </c>
      <c r="G199" s="168"/>
      <c r="H199" s="185" t="s">
        <v>80</v>
      </c>
      <c r="I199" s="182">
        <f>D199</f>
        <v>1000</v>
      </c>
      <c r="J199" s="449">
        <f>'11. 2005 Final Rate Schedule '!F26</f>
        <v>0.02246065360634257</v>
      </c>
      <c r="K199" s="238">
        <f>I199*J199</f>
        <v>22.46065360634257</v>
      </c>
      <c r="L199" s="180"/>
      <c r="M199" s="595"/>
      <c r="N199" s="596"/>
    </row>
    <row r="200" spans="1:14" ht="13.5" thickBot="1">
      <c r="A200" s="86"/>
      <c r="B200" s="31"/>
      <c r="C200" s="599"/>
      <c r="D200" s="600"/>
      <c r="E200" s="188" t="s">
        <v>50</v>
      </c>
      <c r="F200" s="376">
        <f>SUM(F198:F199)</f>
        <v>28.67</v>
      </c>
      <c r="G200" s="168"/>
      <c r="H200" s="581"/>
      <c r="I200" s="582"/>
      <c r="J200" s="188" t="s">
        <v>81</v>
      </c>
      <c r="K200" s="190">
        <f>SUM(K198:K199)</f>
        <v>33.88231209150628</v>
      </c>
      <c r="L200" s="180"/>
      <c r="M200" s="191">
        <f>K200-F200</f>
        <v>5.212312091506277</v>
      </c>
      <c r="N200" s="453">
        <f>M200/F200</f>
        <v>0.18180370043621474</v>
      </c>
    </row>
    <row r="201" spans="1:14" ht="25.5">
      <c r="A201" s="86"/>
      <c r="B201" s="31"/>
      <c r="C201" s="181" t="s">
        <v>82</v>
      </c>
      <c r="D201" s="182">
        <f>A197</f>
        <v>1000</v>
      </c>
      <c r="E201" s="444">
        <v>0.0229</v>
      </c>
      <c r="F201" s="377">
        <f>D201*E201</f>
        <v>22.9</v>
      </c>
      <c r="G201" s="168"/>
      <c r="H201" s="185" t="s">
        <v>82</v>
      </c>
      <c r="I201" s="182">
        <f aca="true" t="shared" si="8" ref="I201:K202">D201</f>
        <v>1000</v>
      </c>
      <c r="J201" s="450">
        <f t="shared" si="8"/>
        <v>0.0229</v>
      </c>
      <c r="K201" s="240">
        <f t="shared" si="8"/>
        <v>22.9</v>
      </c>
      <c r="L201" s="180"/>
      <c r="M201" s="593"/>
      <c r="N201" s="594"/>
    </row>
    <row r="202" spans="1:14" ht="26.25" thickBot="1">
      <c r="A202" s="86"/>
      <c r="B202" s="31"/>
      <c r="C202" s="197" t="s">
        <v>83</v>
      </c>
      <c r="D202" s="182">
        <f>A197</f>
        <v>1000</v>
      </c>
      <c r="E202" s="445">
        <v>0.047</v>
      </c>
      <c r="F202" s="356">
        <f>D202*E202</f>
        <v>47</v>
      </c>
      <c r="G202" s="168"/>
      <c r="H202" s="199" t="s">
        <v>83</v>
      </c>
      <c r="I202" s="451">
        <f t="shared" si="8"/>
        <v>1000</v>
      </c>
      <c r="J202" s="452">
        <f t="shared" si="8"/>
        <v>0.047</v>
      </c>
      <c r="K202" s="244">
        <f t="shared" si="8"/>
        <v>47</v>
      </c>
      <c r="L202" s="180"/>
      <c r="M202" s="597"/>
      <c r="N202" s="598"/>
    </row>
    <row r="203" spans="1:14" ht="13.5" thickBot="1">
      <c r="A203" s="86"/>
      <c r="B203" s="31"/>
      <c r="C203" s="583"/>
      <c r="D203" s="584"/>
      <c r="E203" s="584"/>
      <c r="F203" s="585"/>
      <c r="G203" s="168"/>
      <c r="H203" s="584"/>
      <c r="I203" s="584"/>
      <c r="J203" s="584"/>
      <c r="K203" s="585"/>
      <c r="L203" s="31"/>
      <c r="M203" s="86"/>
      <c r="N203" s="203"/>
    </row>
    <row r="204" spans="1:14" ht="13.5" thickBot="1">
      <c r="A204" s="94"/>
      <c r="B204" s="149"/>
      <c r="C204" s="204" t="s">
        <v>218</v>
      </c>
      <c r="D204" s="205"/>
      <c r="E204" s="205"/>
      <c r="F204" s="190">
        <f>SUM(F201:F202,F200)</f>
        <v>98.57000000000001</v>
      </c>
      <c r="G204" s="207"/>
      <c r="H204" s="592" t="s">
        <v>219</v>
      </c>
      <c r="I204" s="592"/>
      <c r="J204" s="592"/>
      <c r="K204" s="190">
        <f>SUM(K200:K202)</f>
        <v>103.78231209150627</v>
      </c>
      <c r="L204" s="208"/>
      <c r="M204" s="191">
        <f>K204-F204</f>
        <v>5.212312091506263</v>
      </c>
      <c r="N204" s="453">
        <f>M204/F204</f>
        <v>0.05287929483114804</v>
      </c>
    </row>
    <row r="205" ht="12.75">
      <c r="K205" s="162"/>
    </row>
    <row r="206" ht="13.5" thickBot="1">
      <c r="K206" s="162"/>
    </row>
    <row r="207" spans="1:14" ht="60.75" thickBot="1">
      <c r="A207" s="169" t="s">
        <v>76</v>
      </c>
      <c r="B207" s="170"/>
      <c r="C207" s="577"/>
      <c r="D207" s="571" t="s">
        <v>12</v>
      </c>
      <c r="E207" s="573" t="s">
        <v>77</v>
      </c>
      <c r="F207" s="575" t="s">
        <v>199</v>
      </c>
      <c r="G207" s="167"/>
      <c r="H207" s="171"/>
      <c r="I207" s="571" t="s">
        <v>12</v>
      </c>
      <c r="J207" s="573" t="s">
        <v>77</v>
      </c>
      <c r="K207" s="575" t="s">
        <v>199</v>
      </c>
      <c r="L207" s="170"/>
      <c r="M207" s="588" t="s">
        <v>198</v>
      </c>
      <c r="N207" s="590" t="s">
        <v>78</v>
      </c>
    </row>
    <row r="208" spans="1:14" ht="13.5" thickBot="1">
      <c r="A208" s="172">
        <v>2000</v>
      </c>
      <c r="B208" s="31"/>
      <c r="C208" s="578"/>
      <c r="D208" s="572"/>
      <c r="E208" s="574"/>
      <c r="F208" s="576"/>
      <c r="G208" s="168"/>
      <c r="H208" s="31"/>
      <c r="I208" s="586"/>
      <c r="J208" s="587"/>
      <c r="K208" s="576"/>
      <c r="L208" s="32"/>
      <c r="M208" s="589"/>
      <c r="N208" s="591"/>
    </row>
    <row r="209" spans="1:14" ht="25.5">
      <c r="A209" s="173"/>
      <c r="B209" s="31"/>
      <c r="C209" s="174" t="s">
        <v>23</v>
      </c>
      <c r="D209" s="175" t="s">
        <v>79</v>
      </c>
      <c r="E209" s="176" t="s">
        <v>79</v>
      </c>
      <c r="F209" s="235">
        <f>F198</f>
        <v>10.67</v>
      </c>
      <c r="G209" s="168"/>
      <c r="H209" s="178" t="s">
        <v>23</v>
      </c>
      <c r="I209" s="179" t="str">
        <f>D209</f>
        <v>N/A</v>
      </c>
      <c r="J209" s="179" t="s">
        <v>79</v>
      </c>
      <c r="K209" s="228">
        <f>$K$198</f>
        <v>11.421658485163704</v>
      </c>
      <c r="L209" s="180"/>
      <c r="M209" s="593"/>
      <c r="N209" s="594"/>
    </row>
    <row r="210" spans="1:14" ht="26.25" thickBot="1">
      <c r="A210" s="86"/>
      <c r="B210" s="31"/>
      <c r="C210" s="181" t="s">
        <v>80</v>
      </c>
      <c r="D210" s="182">
        <f>A208</f>
        <v>2000</v>
      </c>
      <c r="E210" s="183">
        <f>E199</f>
        <v>0.018</v>
      </c>
      <c r="F210" s="356">
        <f>D210*E210</f>
        <v>36</v>
      </c>
      <c r="G210" s="168"/>
      <c r="H210" s="185" t="s">
        <v>80</v>
      </c>
      <c r="I210" s="186">
        <f>D210</f>
        <v>2000</v>
      </c>
      <c r="J210" s="436">
        <f>$J$199</f>
        <v>0.02246065360634257</v>
      </c>
      <c r="K210" s="187">
        <f>I210*J210</f>
        <v>44.92130721268514</v>
      </c>
      <c r="L210" s="180"/>
      <c r="M210" s="595"/>
      <c r="N210" s="596"/>
    </row>
    <row r="211" spans="1:14" ht="13.5" thickBot="1">
      <c r="A211" s="86"/>
      <c r="B211" s="31"/>
      <c r="C211" s="599"/>
      <c r="D211" s="600"/>
      <c r="E211" s="188" t="s">
        <v>50</v>
      </c>
      <c r="F211" s="376">
        <f>SUM(F209:F210)</f>
        <v>46.67</v>
      </c>
      <c r="G211" s="168"/>
      <c r="H211" s="581"/>
      <c r="I211" s="582"/>
      <c r="J211" s="188" t="s">
        <v>81</v>
      </c>
      <c r="K211" s="190">
        <f>SUM(K209:K210)</f>
        <v>56.34296569784885</v>
      </c>
      <c r="L211" s="180"/>
      <c r="M211" s="191">
        <f>K211-F211</f>
        <v>9.672965697848845</v>
      </c>
      <c r="N211" s="192">
        <f>M211/F211</f>
        <v>0.2072630318801981</v>
      </c>
    </row>
    <row r="212" spans="1:14" ht="25.5">
      <c r="A212" s="86"/>
      <c r="B212" s="31"/>
      <c r="C212" s="181" t="s">
        <v>82</v>
      </c>
      <c r="D212" s="182">
        <f>A208</f>
        <v>2000</v>
      </c>
      <c r="E212" s="433">
        <v>0.0229</v>
      </c>
      <c r="F212" s="377">
        <f>D212*E212</f>
        <v>45.8</v>
      </c>
      <c r="G212" s="168"/>
      <c r="H212" s="185" t="s">
        <v>82</v>
      </c>
      <c r="I212" s="236">
        <f>D212</f>
        <v>2000</v>
      </c>
      <c r="J212" s="435">
        <f>E212</f>
        <v>0.0229</v>
      </c>
      <c r="K212" s="196">
        <f>F212</f>
        <v>45.8</v>
      </c>
      <c r="L212" s="180"/>
      <c r="M212" s="593"/>
      <c r="N212" s="594"/>
    </row>
    <row r="213" spans="1:14" ht="25.5">
      <c r="A213" s="86"/>
      <c r="B213" s="31"/>
      <c r="C213" s="197" t="s">
        <v>83</v>
      </c>
      <c r="D213" s="182">
        <v>750</v>
      </c>
      <c r="E213" s="434">
        <v>0.047</v>
      </c>
      <c r="F213" s="356">
        <f>D213*E213</f>
        <v>35.25</v>
      </c>
      <c r="G213" s="168"/>
      <c r="H213" s="197" t="s">
        <v>83</v>
      </c>
      <c r="I213" s="236">
        <f>D213</f>
        <v>750</v>
      </c>
      <c r="J213" s="434">
        <v>0.047</v>
      </c>
      <c r="K213" s="356">
        <f>I213*J213</f>
        <v>35.25</v>
      </c>
      <c r="L213" s="180"/>
      <c r="M213" s="597"/>
      <c r="N213" s="598"/>
    </row>
    <row r="214" spans="1:14" ht="26.25" thickBot="1">
      <c r="A214" s="86"/>
      <c r="B214" s="31"/>
      <c r="C214" s="197" t="s">
        <v>83</v>
      </c>
      <c r="D214" s="236">
        <f>A208-D213</f>
        <v>1250</v>
      </c>
      <c r="E214" s="434">
        <v>0.055</v>
      </c>
      <c r="F214" s="356">
        <f>D214*E214</f>
        <v>68.75</v>
      </c>
      <c r="G214" s="168"/>
      <c r="H214" s="357" t="s">
        <v>83</v>
      </c>
      <c r="I214" s="242">
        <f>D214</f>
        <v>1250</v>
      </c>
      <c r="J214" s="437">
        <v>0.055</v>
      </c>
      <c r="K214" s="359">
        <f>I214*J214</f>
        <v>68.75</v>
      </c>
      <c r="L214" s="180"/>
      <c r="M214" s="597"/>
      <c r="N214" s="598"/>
    </row>
    <row r="215" spans="1:14" ht="13.5" thickBot="1">
      <c r="A215" s="86"/>
      <c r="B215" s="31"/>
      <c r="C215" s="583"/>
      <c r="D215" s="584"/>
      <c r="E215" s="584"/>
      <c r="F215" s="585"/>
      <c r="G215" s="168"/>
      <c r="H215" s="584"/>
      <c r="I215" s="584"/>
      <c r="J215" s="584"/>
      <c r="K215" s="585"/>
      <c r="L215" s="31"/>
      <c r="M215" s="86"/>
      <c r="N215" s="203"/>
    </row>
    <row r="216" spans="1:14" ht="13.5" thickBot="1">
      <c r="A216" s="94"/>
      <c r="B216" s="149"/>
      <c r="C216" s="204" t="s">
        <v>218</v>
      </c>
      <c r="D216" s="205"/>
      <c r="E216" s="205"/>
      <c r="F216" s="190">
        <f>SUM(F212:F214,F211)</f>
        <v>196.47000000000003</v>
      </c>
      <c r="G216" s="207"/>
      <c r="H216" s="592" t="s">
        <v>219</v>
      </c>
      <c r="I216" s="592"/>
      <c r="J216" s="592"/>
      <c r="K216" s="190">
        <f>SUM(K211:K214)</f>
        <v>206.14296569784884</v>
      </c>
      <c r="L216" s="208"/>
      <c r="M216" s="191">
        <f>K216-F216</f>
        <v>9.67296569784881</v>
      </c>
      <c r="N216" s="192">
        <f>M216/F216</f>
        <v>0.04923380515014408</v>
      </c>
    </row>
    <row r="217" ht="12.75">
      <c r="K217" s="162"/>
    </row>
    <row r="218" ht="13.5" thickBot="1">
      <c r="K218" s="162"/>
    </row>
    <row r="219" spans="1:14" ht="60.75" thickBot="1">
      <c r="A219" s="169" t="s">
        <v>76</v>
      </c>
      <c r="B219" s="170"/>
      <c r="C219" s="577"/>
      <c r="D219" s="571" t="s">
        <v>12</v>
      </c>
      <c r="E219" s="573" t="s">
        <v>77</v>
      </c>
      <c r="F219" s="575" t="s">
        <v>199</v>
      </c>
      <c r="G219" s="167"/>
      <c r="H219" s="171"/>
      <c r="I219" s="571" t="s">
        <v>12</v>
      </c>
      <c r="J219" s="573" t="s">
        <v>77</v>
      </c>
      <c r="K219" s="575" t="s">
        <v>199</v>
      </c>
      <c r="L219" s="170"/>
      <c r="M219" s="588" t="s">
        <v>198</v>
      </c>
      <c r="N219" s="590" t="s">
        <v>78</v>
      </c>
    </row>
    <row r="220" spans="1:14" ht="13.5" thickBot="1">
      <c r="A220" s="172">
        <v>5000</v>
      </c>
      <c r="B220" s="31"/>
      <c r="C220" s="578"/>
      <c r="D220" s="572"/>
      <c r="E220" s="574"/>
      <c r="F220" s="576"/>
      <c r="G220" s="168"/>
      <c r="H220" s="31"/>
      <c r="I220" s="586"/>
      <c r="J220" s="587"/>
      <c r="K220" s="576"/>
      <c r="L220" s="32"/>
      <c r="M220" s="589"/>
      <c r="N220" s="591"/>
    </row>
    <row r="221" spans="1:14" ht="25.5">
      <c r="A221" s="173"/>
      <c r="B221" s="31"/>
      <c r="C221" s="174" t="s">
        <v>23</v>
      </c>
      <c r="D221" s="175" t="s">
        <v>79</v>
      </c>
      <c r="E221" s="176" t="s">
        <v>79</v>
      </c>
      <c r="F221" s="235">
        <f>F209</f>
        <v>10.67</v>
      </c>
      <c r="G221" s="168"/>
      <c r="H221" s="178" t="s">
        <v>23</v>
      </c>
      <c r="I221" s="179" t="str">
        <f>D221</f>
        <v>N/A</v>
      </c>
      <c r="J221" s="179" t="s">
        <v>79</v>
      </c>
      <c r="K221" s="228">
        <f>$K$198</f>
        <v>11.421658485163704</v>
      </c>
      <c r="L221" s="180"/>
      <c r="M221" s="593"/>
      <c r="N221" s="594"/>
    </row>
    <row r="222" spans="1:14" ht="26.25" thickBot="1">
      <c r="A222" s="86"/>
      <c r="B222" s="31"/>
      <c r="C222" s="181" t="s">
        <v>80</v>
      </c>
      <c r="D222" s="182">
        <f>A220</f>
        <v>5000</v>
      </c>
      <c r="E222" s="183">
        <f>E210</f>
        <v>0.018</v>
      </c>
      <c r="F222" s="356">
        <f>D222*E222</f>
        <v>90</v>
      </c>
      <c r="G222" s="168"/>
      <c r="H222" s="185" t="s">
        <v>80</v>
      </c>
      <c r="I222" s="186">
        <f>D222</f>
        <v>5000</v>
      </c>
      <c r="J222" s="436">
        <f>$J$199</f>
        <v>0.02246065360634257</v>
      </c>
      <c r="K222" s="187">
        <f>I222*J222</f>
        <v>112.30326803171285</v>
      </c>
      <c r="L222" s="180"/>
      <c r="M222" s="595"/>
      <c r="N222" s="596"/>
    </row>
    <row r="223" spans="1:14" ht="13.5" thickBot="1">
      <c r="A223" s="86"/>
      <c r="B223" s="31"/>
      <c r="C223" s="599"/>
      <c r="D223" s="600"/>
      <c r="E223" s="188" t="s">
        <v>50</v>
      </c>
      <c r="F223" s="376">
        <f>SUM(F221:F222)</f>
        <v>100.67</v>
      </c>
      <c r="G223" s="168"/>
      <c r="H223" s="581"/>
      <c r="I223" s="582"/>
      <c r="J223" s="188" t="s">
        <v>81</v>
      </c>
      <c r="K223" s="190">
        <f>SUM(K221:K222)</f>
        <v>123.72492651687655</v>
      </c>
      <c r="L223" s="180"/>
      <c r="M223" s="191">
        <f>K223-F223</f>
        <v>23.05492651687655</v>
      </c>
      <c r="N223" s="192">
        <f>M223/F223</f>
        <v>0.22901486556945017</v>
      </c>
    </row>
    <row r="224" spans="1:14" ht="25.5">
      <c r="A224" s="86"/>
      <c r="B224" s="31"/>
      <c r="C224" s="181" t="s">
        <v>82</v>
      </c>
      <c r="D224" s="182">
        <f>A220</f>
        <v>5000</v>
      </c>
      <c r="E224" s="433">
        <v>0.0229</v>
      </c>
      <c r="F224" s="377">
        <f>D224*E224</f>
        <v>114.5</v>
      </c>
      <c r="G224" s="168"/>
      <c r="H224" s="185" t="s">
        <v>82</v>
      </c>
      <c r="I224" s="236">
        <f>D224</f>
        <v>5000</v>
      </c>
      <c r="J224" s="435">
        <f>E224</f>
        <v>0.0229</v>
      </c>
      <c r="K224" s="196">
        <f>F224</f>
        <v>114.5</v>
      </c>
      <c r="L224" s="180"/>
      <c r="M224" s="593"/>
      <c r="N224" s="594"/>
    </row>
    <row r="225" spans="1:14" ht="25.5">
      <c r="A225" s="86"/>
      <c r="B225" s="31"/>
      <c r="C225" s="197" t="s">
        <v>83</v>
      </c>
      <c r="D225" s="182">
        <v>750</v>
      </c>
      <c r="E225" s="434">
        <v>0.047</v>
      </c>
      <c r="F225" s="356">
        <f>D225*E225</f>
        <v>35.25</v>
      </c>
      <c r="G225" s="168"/>
      <c r="H225" s="197" t="s">
        <v>83</v>
      </c>
      <c r="I225" s="236">
        <f>D225</f>
        <v>750</v>
      </c>
      <c r="J225" s="434">
        <v>0.047</v>
      </c>
      <c r="K225" s="356">
        <f>I225*J225</f>
        <v>35.25</v>
      </c>
      <c r="L225" s="180"/>
      <c r="M225" s="597"/>
      <c r="N225" s="598"/>
    </row>
    <row r="226" spans="1:14" ht="26.25" thickBot="1">
      <c r="A226" s="86"/>
      <c r="B226" s="31"/>
      <c r="C226" s="197" t="s">
        <v>83</v>
      </c>
      <c r="D226" s="236">
        <f>A220-D225</f>
        <v>4250</v>
      </c>
      <c r="E226" s="434">
        <v>0.055</v>
      </c>
      <c r="F226" s="356">
        <f>D226*E226</f>
        <v>233.75</v>
      </c>
      <c r="G226" s="168"/>
      <c r="H226" s="357" t="s">
        <v>83</v>
      </c>
      <c r="I226" s="242">
        <f>D226</f>
        <v>4250</v>
      </c>
      <c r="J226" s="437">
        <v>0.055</v>
      </c>
      <c r="K226" s="359">
        <f>I226*J226</f>
        <v>233.75</v>
      </c>
      <c r="L226" s="180"/>
      <c r="M226" s="597"/>
      <c r="N226" s="598"/>
    </row>
    <row r="227" spans="1:14" ht="13.5" thickBot="1">
      <c r="A227" s="86"/>
      <c r="B227" s="31"/>
      <c r="C227" s="583"/>
      <c r="D227" s="584"/>
      <c r="E227" s="584"/>
      <c r="F227" s="585"/>
      <c r="G227" s="168"/>
      <c r="H227" s="584"/>
      <c r="I227" s="584"/>
      <c r="J227" s="584"/>
      <c r="K227" s="585"/>
      <c r="L227" s="31"/>
      <c r="M227" s="86"/>
      <c r="N227" s="203"/>
    </row>
    <row r="228" spans="1:14" ht="13.5" thickBot="1">
      <c r="A228" s="94"/>
      <c r="B228" s="149"/>
      <c r="C228" s="204" t="s">
        <v>218</v>
      </c>
      <c r="D228" s="205"/>
      <c r="E228" s="205"/>
      <c r="F228" s="190">
        <f>SUM(F224:F226,F223)</f>
        <v>484.17</v>
      </c>
      <c r="G228" s="207"/>
      <c r="H228" s="592" t="s">
        <v>219</v>
      </c>
      <c r="I228" s="592"/>
      <c r="J228" s="592"/>
      <c r="K228" s="190">
        <f>SUM(K223:K226)</f>
        <v>507.22492651687656</v>
      </c>
      <c r="L228" s="208"/>
      <c r="M228" s="191">
        <f>K228-F228</f>
        <v>23.05492651687655</v>
      </c>
      <c r="N228" s="192">
        <f>M228/F228</f>
        <v>0.047617420568966576</v>
      </c>
    </row>
    <row r="229" spans="6:14" ht="12.75">
      <c r="F229" s="180"/>
      <c r="K229" s="180"/>
      <c r="L229" s="217"/>
      <c r="M229" s="217"/>
      <c r="N229" s="230"/>
    </row>
    <row r="230" spans="6:14" ht="13.5" thickBot="1">
      <c r="F230" s="180"/>
      <c r="K230" s="180"/>
      <c r="L230" s="217"/>
      <c r="M230" s="217"/>
      <c r="N230" s="230"/>
    </row>
    <row r="231" spans="1:14" ht="60.75" thickBot="1">
      <c r="A231" s="169" t="s">
        <v>76</v>
      </c>
      <c r="B231" s="170"/>
      <c r="C231" s="577"/>
      <c r="D231" s="571" t="s">
        <v>12</v>
      </c>
      <c r="E231" s="573" t="s">
        <v>77</v>
      </c>
      <c r="F231" s="575" t="s">
        <v>199</v>
      </c>
      <c r="G231" s="167"/>
      <c r="H231" s="171"/>
      <c r="I231" s="571" t="s">
        <v>12</v>
      </c>
      <c r="J231" s="573" t="s">
        <v>77</v>
      </c>
      <c r="K231" s="575" t="s">
        <v>199</v>
      </c>
      <c r="L231" s="170"/>
      <c r="M231" s="588" t="s">
        <v>198</v>
      </c>
      <c r="N231" s="590" t="s">
        <v>78</v>
      </c>
    </row>
    <row r="232" spans="1:14" ht="13.5" thickBot="1">
      <c r="A232" s="172">
        <v>10000</v>
      </c>
      <c r="B232" s="31"/>
      <c r="C232" s="578"/>
      <c r="D232" s="572"/>
      <c r="E232" s="574"/>
      <c r="F232" s="576"/>
      <c r="G232" s="168"/>
      <c r="H232" s="31"/>
      <c r="I232" s="586"/>
      <c r="J232" s="587"/>
      <c r="K232" s="576"/>
      <c r="L232" s="32"/>
      <c r="M232" s="589"/>
      <c r="N232" s="591"/>
    </row>
    <row r="233" spans="1:14" ht="25.5">
      <c r="A233" s="173"/>
      <c r="B233" s="31"/>
      <c r="C233" s="174" t="s">
        <v>23</v>
      </c>
      <c r="D233" s="175" t="s">
        <v>79</v>
      </c>
      <c r="E233" s="176" t="s">
        <v>79</v>
      </c>
      <c r="F233" s="235">
        <f>F221</f>
        <v>10.67</v>
      </c>
      <c r="G233" s="168"/>
      <c r="H233" s="178" t="s">
        <v>23</v>
      </c>
      <c r="I233" s="179" t="str">
        <f>D233</f>
        <v>N/A</v>
      </c>
      <c r="J233" s="179" t="s">
        <v>79</v>
      </c>
      <c r="K233" s="228">
        <f>$K$198</f>
        <v>11.421658485163704</v>
      </c>
      <c r="L233" s="180"/>
      <c r="M233" s="593"/>
      <c r="N233" s="594"/>
    </row>
    <row r="234" spans="1:14" ht="26.25" thickBot="1">
      <c r="A234" s="86"/>
      <c r="B234" s="31"/>
      <c r="C234" s="181" t="s">
        <v>80</v>
      </c>
      <c r="D234" s="182">
        <f>A232</f>
        <v>10000</v>
      </c>
      <c r="E234" s="183">
        <f>E222</f>
        <v>0.018</v>
      </c>
      <c r="F234" s="356">
        <f>D234*E234</f>
        <v>180</v>
      </c>
      <c r="G234" s="168"/>
      <c r="H234" s="185" t="s">
        <v>80</v>
      </c>
      <c r="I234" s="186">
        <f>D234</f>
        <v>10000</v>
      </c>
      <c r="J234" s="436">
        <f>$J$199</f>
        <v>0.02246065360634257</v>
      </c>
      <c r="K234" s="187">
        <f>I234*J234</f>
        <v>224.6065360634257</v>
      </c>
      <c r="L234" s="180"/>
      <c r="M234" s="595"/>
      <c r="N234" s="596"/>
    </row>
    <row r="235" spans="1:14" ht="13.5" thickBot="1">
      <c r="A235" s="86"/>
      <c r="B235" s="31"/>
      <c r="C235" s="599"/>
      <c r="D235" s="600"/>
      <c r="E235" s="188" t="s">
        <v>50</v>
      </c>
      <c r="F235" s="376">
        <f>SUM(F233:F234)</f>
        <v>190.67</v>
      </c>
      <c r="G235" s="168"/>
      <c r="H235" s="581"/>
      <c r="I235" s="582"/>
      <c r="J235" s="188" t="s">
        <v>81</v>
      </c>
      <c r="K235" s="190">
        <f>SUM(K233:K234)</f>
        <v>236.0281945485894</v>
      </c>
      <c r="L235" s="180"/>
      <c r="M235" s="191">
        <f>K235-F235</f>
        <v>45.35819454858941</v>
      </c>
      <c r="N235" s="192">
        <f>M235/F235</f>
        <v>0.23788846986200982</v>
      </c>
    </row>
    <row r="236" spans="1:14" ht="25.5">
      <c r="A236" s="86"/>
      <c r="B236" s="31"/>
      <c r="C236" s="181" t="s">
        <v>82</v>
      </c>
      <c r="D236" s="182">
        <f>A232</f>
        <v>10000</v>
      </c>
      <c r="E236" s="433">
        <v>0.0229</v>
      </c>
      <c r="F236" s="377">
        <f>D236*E236</f>
        <v>229</v>
      </c>
      <c r="G236" s="168"/>
      <c r="H236" s="185" t="s">
        <v>82</v>
      </c>
      <c r="I236" s="236">
        <f>D236</f>
        <v>10000</v>
      </c>
      <c r="J236" s="435">
        <f>E236</f>
        <v>0.0229</v>
      </c>
      <c r="K236" s="196">
        <f>F236</f>
        <v>229</v>
      </c>
      <c r="L236" s="180"/>
      <c r="M236" s="593"/>
      <c r="N236" s="594"/>
    </row>
    <row r="237" spans="1:14" ht="25.5">
      <c r="A237" s="86"/>
      <c r="B237" s="31"/>
      <c r="C237" s="197" t="s">
        <v>83</v>
      </c>
      <c r="D237" s="182">
        <v>750</v>
      </c>
      <c r="E237" s="434">
        <v>0.047</v>
      </c>
      <c r="F237" s="356">
        <f>D237*E237</f>
        <v>35.25</v>
      </c>
      <c r="G237" s="168"/>
      <c r="H237" s="197" t="s">
        <v>83</v>
      </c>
      <c r="I237" s="236">
        <f>D237</f>
        <v>750</v>
      </c>
      <c r="J237" s="434">
        <v>0.047</v>
      </c>
      <c r="K237" s="356">
        <f>I237*J237</f>
        <v>35.25</v>
      </c>
      <c r="L237" s="180"/>
      <c r="M237" s="597"/>
      <c r="N237" s="598"/>
    </row>
    <row r="238" spans="1:14" ht="26.25" thickBot="1">
      <c r="A238" s="86"/>
      <c r="B238" s="31"/>
      <c r="C238" s="197" t="s">
        <v>83</v>
      </c>
      <c r="D238" s="236">
        <f>A232-D237</f>
        <v>9250</v>
      </c>
      <c r="E238" s="434">
        <v>0.055</v>
      </c>
      <c r="F238" s="356">
        <f>D238*E238</f>
        <v>508.75</v>
      </c>
      <c r="G238" s="168"/>
      <c r="H238" s="357" t="s">
        <v>83</v>
      </c>
      <c r="I238" s="242">
        <f>D238</f>
        <v>9250</v>
      </c>
      <c r="J238" s="437">
        <v>0.055</v>
      </c>
      <c r="K238" s="359">
        <f>I238*J238</f>
        <v>508.75</v>
      </c>
      <c r="L238" s="180"/>
      <c r="M238" s="597"/>
      <c r="N238" s="598"/>
    </row>
    <row r="239" spans="1:14" ht="13.5" thickBot="1">
      <c r="A239" s="86"/>
      <c r="B239" s="31"/>
      <c r="C239" s="583"/>
      <c r="D239" s="584"/>
      <c r="E239" s="584"/>
      <c r="F239" s="585"/>
      <c r="G239" s="168"/>
      <c r="H239" s="584"/>
      <c r="I239" s="584"/>
      <c r="J239" s="584"/>
      <c r="K239" s="585"/>
      <c r="L239" s="31"/>
      <c r="M239" s="86"/>
      <c r="N239" s="203"/>
    </row>
    <row r="240" spans="1:14" ht="13.5" thickBot="1">
      <c r="A240" s="94"/>
      <c r="B240" s="149"/>
      <c r="C240" s="204" t="s">
        <v>218</v>
      </c>
      <c r="D240" s="205"/>
      <c r="E240" s="205"/>
      <c r="F240" s="190">
        <f>SUM(F236:F238,F235)</f>
        <v>963.67</v>
      </c>
      <c r="G240" s="207"/>
      <c r="H240" s="592" t="s">
        <v>219</v>
      </c>
      <c r="I240" s="592"/>
      <c r="J240" s="592"/>
      <c r="K240" s="190">
        <f>SUM(K235:K238)</f>
        <v>1009.0281945485895</v>
      </c>
      <c r="L240" s="208"/>
      <c r="M240" s="191">
        <f>K240-F240</f>
        <v>45.358194548589495</v>
      </c>
      <c r="N240" s="192">
        <f>M240/F240</f>
        <v>0.04706818158559413</v>
      </c>
    </row>
    <row r="241" spans="6:14" ht="12.75">
      <c r="F241" s="180"/>
      <c r="K241" s="180"/>
      <c r="L241" s="217"/>
      <c r="M241" s="217"/>
      <c r="N241" s="230"/>
    </row>
    <row r="242" spans="6:14" ht="13.5" thickBot="1">
      <c r="F242" s="180"/>
      <c r="K242" s="180"/>
      <c r="L242" s="217"/>
      <c r="M242" s="217"/>
      <c r="N242" s="230"/>
    </row>
    <row r="243" spans="1:14" ht="60.75" thickBot="1">
      <c r="A243" s="169" t="s">
        <v>76</v>
      </c>
      <c r="B243" s="170"/>
      <c r="C243" s="577"/>
      <c r="D243" s="571" t="s">
        <v>12</v>
      </c>
      <c r="E243" s="573" t="s">
        <v>77</v>
      </c>
      <c r="F243" s="575" t="s">
        <v>199</v>
      </c>
      <c r="G243" s="167"/>
      <c r="H243" s="171"/>
      <c r="I243" s="571" t="s">
        <v>12</v>
      </c>
      <c r="J243" s="573" t="s">
        <v>77</v>
      </c>
      <c r="K243" s="575" t="s">
        <v>199</v>
      </c>
      <c r="L243" s="170"/>
      <c r="M243" s="588" t="s">
        <v>198</v>
      </c>
      <c r="N243" s="590" t="s">
        <v>78</v>
      </c>
    </row>
    <row r="244" spans="1:14" ht="13.5" thickBot="1">
      <c r="A244" s="172">
        <v>15000</v>
      </c>
      <c r="B244" s="31"/>
      <c r="C244" s="578"/>
      <c r="D244" s="572"/>
      <c r="E244" s="574"/>
      <c r="F244" s="576"/>
      <c r="G244" s="168"/>
      <c r="H244" s="31"/>
      <c r="I244" s="586"/>
      <c r="J244" s="587"/>
      <c r="K244" s="576"/>
      <c r="L244" s="32"/>
      <c r="M244" s="589"/>
      <c r="N244" s="591"/>
    </row>
    <row r="245" spans="1:14" ht="25.5">
      <c r="A245" s="173"/>
      <c r="B245" s="31"/>
      <c r="C245" s="174" t="s">
        <v>23</v>
      </c>
      <c r="D245" s="175" t="s">
        <v>79</v>
      </c>
      <c r="E245" s="176" t="s">
        <v>79</v>
      </c>
      <c r="F245" s="177">
        <f>F233</f>
        <v>10.67</v>
      </c>
      <c r="G245" s="168"/>
      <c r="H245" s="178" t="s">
        <v>23</v>
      </c>
      <c r="I245" s="179" t="str">
        <f>D245</f>
        <v>N/A</v>
      </c>
      <c r="J245" s="179" t="s">
        <v>79</v>
      </c>
      <c r="K245" s="228">
        <f>$K$198</f>
        <v>11.421658485163704</v>
      </c>
      <c r="L245" s="180"/>
      <c r="M245" s="593"/>
      <c r="N245" s="594"/>
    </row>
    <row r="246" spans="1:14" ht="26.25" thickBot="1">
      <c r="A246" s="86"/>
      <c r="B246" s="31"/>
      <c r="C246" s="181" t="s">
        <v>80</v>
      </c>
      <c r="D246" s="182">
        <f>A244</f>
        <v>15000</v>
      </c>
      <c r="E246" s="183">
        <f>E234</f>
        <v>0.018</v>
      </c>
      <c r="F246" s="184">
        <f>D246*E246</f>
        <v>270</v>
      </c>
      <c r="G246" s="168"/>
      <c r="H246" s="185" t="s">
        <v>80</v>
      </c>
      <c r="I246" s="186">
        <f>D246</f>
        <v>15000</v>
      </c>
      <c r="J246" s="436">
        <f>$J$199</f>
        <v>0.02246065360634257</v>
      </c>
      <c r="K246" s="187">
        <f>I246*J246</f>
        <v>336.90980409513855</v>
      </c>
      <c r="L246" s="180"/>
      <c r="M246" s="595"/>
      <c r="N246" s="596"/>
    </row>
    <row r="247" spans="1:14" ht="13.5" thickBot="1">
      <c r="A247" s="86"/>
      <c r="B247" s="31"/>
      <c r="C247" s="599"/>
      <c r="D247" s="600"/>
      <c r="E247" s="188" t="s">
        <v>50</v>
      </c>
      <c r="F247" s="189">
        <f>SUM(F245:F246)</f>
        <v>280.67</v>
      </c>
      <c r="G247" s="168"/>
      <c r="H247" s="581"/>
      <c r="I247" s="582"/>
      <c r="J247" s="188" t="s">
        <v>81</v>
      </c>
      <c r="K247" s="190">
        <f>SUM(K245:K246)</f>
        <v>348.3314625803023</v>
      </c>
      <c r="L247" s="180"/>
      <c r="M247" s="191">
        <f>K247-F247</f>
        <v>67.66146258030227</v>
      </c>
      <c r="N247" s="192">
        <f>M247/F247</f>
        <v>0.24107123162540445</v>
      </c>
    </row>
    <row r="248" spans="1:14" ht="25.5">
      <c r="A248" s="86"/>
      <c r="B248" s="31"/>
      <c r="C248" s="181" t="s">
        <v>82</v>
      </c>
      <c r="D248" s="182">
        <f>A244</f>
        <v>15000</v>
      </c>
      <c r="E248" s="433">
        <v>0.0229</v>
      </c>
      <c r="F248" s="194">
        <f>D248*E248</f>
        <v>343.5</v>
      </c>
      <c r="G248" s="168"/>
      <c r="H248" s="185" t="s">
        <v>82</v>
      </c>
      <c r="I248" s="236">
        <f>D248</f>
        <v>15000</v>
      </c>
      <c r="J248" s="438">
        <f>E248</f>
        <v>0.0229</v>
      </c>
      <c r="K248" s="196">
        <f>F248</f>
        <v>343.5</v>
      </c>
      <c r="L248" s="180"/>
      <c r="M248" s="593"/>
      <c r="N248" s="594"/>
    </row>
    <row r="249" spans="1:14" ht="25.5">
      <c r="A249" s="86"/>
      <c r="B249" s="31"/>
      <c r="C249" s="197" t="s">
        <v>83</v>
      </c>
      <c r="D249" s="182">
        <v>750</v>
      </c>
      <c r="E249" s="434">
        <v>0.047</v>
      </c>
      <c r="F249" s="184">
        <f>D249*E249</f>
        <v>35.25</v>
      </c>
      <c r="G249" s="168"/>
      <c r="H249" s="197" t="s">
        <v>83</v>
      </c>
      <c r="I249" s="236">
        <f>D249</f>
        <v>750</v>
      </c>
      <c r="J249" s="439">
        <v>0.047</v>
      </c>
      <c r="K249" s="356">
        <f>I249*J249</f>
        <v>35.25</v>
      </c>
      <c r="L249" s="180"/>
      <c r="M249" s="597"/>
      <c r="N249" s="598"/>
    </row>
    <row r="250" spans="1:14" ht="26.25" thickBot="1">
      <c r="A250" s="86"/>
      <c r="B250" s="31"/>
      <c r="C250" s="197" t="s">
        <v>83</v>
      </c>
      <c r="D250" s="236">
        <f>A244-D249</f>
        <v>14250</v>
      </c>
      <c r="E250" s="434">
        <v>0.055</v>
      </c>
      <c r="F250" s="184">
        <f>D250*E250</f>
        <v>783.75</v>
      </c>
      <c r="G250" s="168"/>
      <c r="H250" s="357" t="s">
        <v>83</v>
      </c>
      <c r="I250" s="242">
        <f>D250</f>
        <v>14250</v>
      </c>
      <c r="J250" s="440">
        <v>0.055</v>
      </c>
      <c r="K250" s="359">
        <f>I250*J250</f>
        <v>783.75</v>
      </c>
      <c r="L250" s="180"/>
      <c r="M250" s="597"/>
      <c r="N250" s="598"/>
    </row>
    <row r="251" spans="1:14" ht="13.5" thickBot="1">
      <c r="A251" s="86"/>
      <c r="B251" s="31"/>
      <c r="C251" s="583"/>
      <c r="D251" s="584"/>
      <c r="E251" s="584"/>
      <c r="F251" s="584"/>
      <c r="G251" s="168"/>
      <c r="H251" s="584"/>
      <c r="I251" s="584"/>
      <c r="J251" s="584"/>
      <c r="K251" s="585"/>
      <c r="L251" s="31"/>
      <c r="M251" s="86"/>
      <c r="N251" s="203"/>
    </row>
    <row r="252" spans="1:14" ht="13.5" thickBot="1">
      <c r="A252" s="94"/>
      <c r="B252" s="149"/>
      <c r="C252" s="204" t="s">
        <v>218</v>
      </c>
      <c r="D252" s="205"/>
      <c r="E252" s="205"/>
      <c r="F252" s="206">
        <f>SUM(F248:F250,F247)</f>
        <v>1443.17</v>
      </c>
      <c r="G252" s="207"/>
      <c r="H252" s="592" t="s">
        <v>219</v>
      </c>
      <c r="I252" s="592"/>
      <c r="J252" s="592"/>
      <c r="K252" s="190">
        <f>SUM(K247:K250)</f>
        <v>1510.8314625803023</v>
      </c>
      <c r="L252" s="208"/>
      <c r="M252" s="191">
        <f>K252-F252</f>
        <v>67.66146258030221</v>
      </c>
      <c r="N252" s="192">
        <f>M252/F252</f>
        <v>0.04688391705779791</v>
      </c>
    </row>
    <row r="253" spans="6:14" ht="12.75">
      <c r="F253" s="180"/>
      <c r="K253" s="180"/>
      <c r="L253" s="217"/>
      <c r="M253" s="217"/>
      <c r="N253" s="230"/>
    </row>
    <row r="254" spans="1:14" ht="13.5" thickBot="1">
      <c r="A254" s="149"/>
      <c r="B254" s="149"/>
      <c r="C254" s="149"/>
      <c r="D254" s="149"/>
      <c r="E254" s="149"/>
      <c r="F254" s="149"/>
      <c r="G254" s="149"/>
      <c r="H254" s="149"/>
      <c r="I254" s="149"/>
      <c r="J254" s="149"/>
      <c r="K254" s="231"/>
      <c r="L254" s="149"/>
      <c r="M254" s="149"/>
      <c r="N254" s="232"/>
    </row>
    <row r="255" ht="12.75">
      <c r="K255" s="162"/>
    </row>
    <row r="256" spans="1:13" ht="23.25">
      <c r="A256" s="221" t="s">
        <v>84</v>
      </c>
      <c r="B256" s="131"/>
      <c r="F256" s="217"/>
      <c r="J256" s="222"/>
      <c r="K256" s="217"/>
      <c r="L256" s="217"/>
      <c r="M256" s="217"/>
    </row>
    <row r="257" spans="1:13" ht="15.75">
      <c r="A257" s="131"/>
      <c r="B257" s="131"/>
      <c r="D257" s="31"/>
      <c r="F257" s="217"/>
      <c r="J257" s="222"/>
      <c r="K257" s="217"/>
      <c r="L257" s="217"/>
      <c r="M257" s="217"/>
    </row>
    <row r="258" spans="1:14" s="144" customFormat="1" ht="15">
      <c r="A258" s="141" t="s">
        <v>92</v>
      </c>
      <c r="B258" s="233"/>
      <c r="D258" s="224"/>
      <c r="F258" s="225"/>
      <c r="J258" s="226"/>
      <c r="K258" s="225"/>
      <c r="L258" s="225"/>
      <c r="M258" s="225"/>
      <c r="N258" s="227"/>
    </row>
    <row r="259" spans="1:14" s="144" customFormat="1" ht="15">
      <c r="A259" s="141" t="s">
        <v>49</v>
      </c>
      <c r="B259" s="233"/>
      <c r="D259" s="224"/>
      <c r="F259" s="225"/>
      <c r="J259" s="226"/>
      <c r="K259" s="225"/>
      <c r="L259" s="225"/>
      <c r="M259" s="225"/>
      <c r="N259" s="227"/>
    </row>
    <row r="260" spans="1:14" s="144" customFormat="1" ht="15">
      <c r="A260" s="141" t="s">
        <v>160</v>
      </c>
      <c r="B260" s="233"/>
      <c r="D260" s="224"/>
      <c r="F260" s="225"/>
      <c r="J260" s="226"/>
      <c r="K260" s="225"/>
      <c r="L260" s="225"/>
      <c r="M260" s="225"/>
      <c r="N260" s="227"/>
    </row>
    <row r="261" spans="1:14" s="144" customFormat="1" ht="15">
      <c r="A261" s="141" t="s">
        <v>159</v>
      </c>
      <c r="B261" s="233"/>
      <c r="D261" s="224"/>
      <c r="F261" s="225"/>
      <c r="J261" s="226"/>
      <c r="K261" s="225"/>
      <c r="L261" s="225"/>
      <c r="M261" s="225"/>
      <c r="N261" s="227"/>
    </row>
    <row r="262" spans="1:13" ht="16.5" thickBot="1">
      <c r="A262" s="131"/>
      <c r="B262" s="131"/>
      <c r="D262" s="31"/>
      <c r="F262" s="217"/>
      <c r="J262" s="222"/>
      <c r="K262" s="217"/>
      <c r="L262" s="217"/>
      <c r="M262" s="217"/>
    </row>
    <row r="263" spans="1:15" ht="14.25" customHeight="1">
      <c r="A263" s="11"/>
      <c r="C263" s="565" t="s">
        <v>94</v>
      </c>
      <c r="D263" s="566"/>
      <c r="E263" s="566"/>
      <c r="F263" s="567"/>
      <c r="G263" s="167"/>
      <c r="H263" s="565" t="s">
        <v>95</v>
      </c>
      <c r="I263" s="566"/>
      <c r="J263" s="566"/>
      <c r="K263" s="566"/>
      <c r="L263" s="566"/>
      <c r="M263" s="566"/>
      <c r="N263" s="567"/>
      <c r="O263" s="31"/>
    </row>
    <row r="264" spans="1:14" ht="13.5" customHeight="1" thickBot="1">
      <c r="A264"/>
      <c r="C264" s="568"/>
      <c r="D264" s="569"/>
      <c r="E264" s="569"/>
      <c r="F264" s="570"/>
      <c r="G264" s="168"/>
      <c r="H264" s="568"/>
      <c r="I264" s="569"/>
      <c r="J264" s="569"/>
      <c r="K264" s="569"/>
      <c r="L264" s="569"/>
      <c r="M264" s="569"/>
      <c r="N264" s="570"/>
    </row>
    <row r="265" spans="1:14" ht="60">
      <c r="A265" s="169" t="s">
        <v>19</v>
      </c>
      <c r="B265" s="170"/>
      <c r="C265" s="577"/>
      <c r="D265" s="571" t="s">
        <v>85</v>
      </c>
      <c r="E265" s="573" t="s">
        <v>86</v>
      </c>
      <c r="F265" s="575" t="s">
        <v>199</v>
      </c>
      <c r="G265" s="167"/>
      <c r="H265" s="171"/>
      <c r="I265" s="571" t="s">
        <v>85</v>
      </c>
      <c r="J265" s="573" t="s">
        <v>86</v>
      </c>
      <c r="K265" s="575" t="s">
        <v>199</v>
      </c>
      <c r="L265" s="170"/>
      <c r="M265" s="588" t="s">
        <v>198</v>
      </c>
      <c r="N265" s="590" t="s">
        <v>78</v>
      </c>
    </row>
    <row r="266" spans="1:14" ht="13.5" thickBot="1">
      <c r="A266" s="12" t="s">
        <v>11</v>
      </c>
      <c r="B266" s="31"/>
      <c r="C266" s="578"/>
      <c r="D266" s="572"/>
      <c r="E266" s="574"/>
      <c r="F266" s="576"/>
      <c r="G266" s="168"/>
      <c r="H266" s="31"/>
      <c r="I266" s="572"/>
      <c r="J266" s="574"/>
      <c r="K266" s="576"/>
      <c r="L266" s="32"/>
      <c r="M266" s="589"/>
      <c r="N266" s="591"/>
    </row>
    <row r="267" spans="1:14" ht="26.25" thickBot="1">
      <c r="A267" s="234">
        <v>60</v>
      </c>
      <c r="B267" s="31"/>
      <c r="C267" s="174" t="s">
        <v>23</v>
      </c>
      <c r="D267" s="175" t="s">
        <v>79</v>
      </c>
      <c r="E267" s="176" t="s">
        <v>79</v>
      </c>
      <c r="F267" s="177">
        <f>'12. Current Rates'!$D$42</f>
        <v>22.18</v>
      </c>
      <c r="G267" s="168"/>
      <c r="H267" s="178" t="s">
        <v>23</v>
      </c>
      <c r="I267" s="175" t="str">
        <f>D267</f>
        <v>N/A</v>
      </c>
      <c r="J267" s="175" t="s">
        <v>79</v>
      </c>
      <c r="K267" s="235">
        <f>'11. 2005 Final Rate Schedule '!$F$31</f>
        <v>23.742060347832695</v>
      </c>
      <c r="L267" s="180"/>
      <c r="M267" s="593"/>
      <c r="N267" s="594"/>
    </row>
    <row r="268" spans="1:14" ht="13.5" thickBot="1">
      <c r="A268" s="12" t="s">
        <v>12</v>
      </c>
      <c r="B268" s="31"/>
      <c r="C268" s="181" t="s">
        <v>87</v>
      </c>
      <c r="D268" s="236">
        <f>A267</f>
        <v>60</v>
      </c>
      <c r="E268" s="183">
        <f>'12. Current Rates'!$D$40</f>
        <v>6.6073</v>
      </c>
      <c r="F268" s="184">
        <f>D268*E268</f>
        <v>396.43800000000005</v>
      </c>
      <c r="G268" s="168"/>
      <c r="H268" s="185" t="s">
        <v>87</v>
      </c>
      <c r="I268" s="186">
        <f>D268</f>
        <v>60</v>
      </c>
      <c r="J268" s="385">
        <f>'11. 2005 Final Rate Schedule '!$F$32</f>
        <v>7.261998896649955</v>
      </c>
      <c r="K268" s="238">
        <f>I268*J268</f>
        <v>435.7199337989973</v>
      </c>
      <c r="L268" s="180"/>
      <c r="M268" s="595"/>
      <c r="N268" s="596"/>
    </row>
    <row r="269" spans="1:14" ht="13.5" thickBot="1">
      <c r="A269" s="234">
        <v>15000</v>
      </c>
      <c r="B269" s="31"/>
      <c r="C269" s="599"/>
      <c r="D269" s="600"/>
      <c r="E269" s="188" t="s">
        <v>50</v>
      </c>
      <c r="F269" s="189">
        <f>SUM(F267:F268)</f>
        <v>418.61800000000005</v>
      </c>
      <c r="G269" s="168"/>
      <c r="H269" s="581"/>
      <c r="I269" s="582"/>
      <c r="J269" s="188" t="s">
        <v>81</v>
      </c>
      <c r="K269" s="190">
        <f>SUM(K267:K268)</f>
        <v>459.46199414683</v>
      </c>
      <c r="L269" s="180"/>
      <c r="M269" s="191">
        <f>K269-F269</f>
        <v>40.84399414682997</v>
      </c>
      <c r="N269" s="192">
        <f>M269/F269</f>
        <v>0.09756865243928824</v>
      </c>
    </row>
    <row r="270" spans="1:14" ht="25.5">
      <c r="A270" s="86"/>
      <c r="B270" s="31"/>
      <c r="C270" s="181" t="s">
        <v>88</v>
      </c>
      <c r="D270" s="236">
        <f>A267</f>
        <v>60</v>
      </c>
      <c r="E270" s="433">
        <v>3.91</v>
      </c>
      <c r="F270" s="194">
        <f>D270*E270</f>
        <v>234.60000000000002</v>
      </c>
      <c r="G270" s="168"/>
      <c r="H270" s="185" t="s">
        <v>88</v>
      </c>
      <c r="I270" s="262">
        <f aca="true" t="shared" si="9" ref="I270:K271">D270</f>
        <v>60</v>
      </c>
      <c r="J270" s="441">
        <f t="shared" si="9"/>
        <v>3.91</v>
      </c>
      <c r="K270" s="240">
        <f t="shared" si="9"/>
        <v>234.60000000000002</v>
      </c>
      <c r="L270" s="180"/>
      <c r="M270" s="241"/>
      <c r="N270" s="260"/>
    </row>
    <row r="271" spans="1:14" ht="25.5">
      <c r="A271" s="86"/>
      <c r="B271" s="31"/>
      <c r="C271" s="181" t="s">
        <v>82</v>
      </c>
      <c r="D271" s="236">
        <f>A269</f>
        <v>15000</v>
      </c>
      <c r="E271" s="433">
        <v>0.0132</v>
      </c>
      <c r="F271" s="194">
        <f>D271*E271</f>
        <v>198</v>
      </c>
      <c r="G271" s="168"/>
      <c r="H271" s="185" t="s">
        <v>82</v>
      </c>
      <c r="I271" s="236">
        <f t="shared" si="9"/>
        <v>15000</v>
      </c>
      <c r="J271" s="441">
        <f t="shared" si="9"/>
        <v>0.0132</v>
      </c>
      <c r="K271" s="240">
        <f t="shared" si="9"/>
        <v>198</v>
      </c>
      <c r="L271" s="180"/>
      <c r="M271" s="597"/>
      <c r="N271" s="598"/>
    </row>
    <row r="272" spans="1:14" ht="26.25" thickBot="1">
      <c r="A272" s="86"/>
      <c r="B272" s="31"/>
      <c r="C272" s="197" t="s">
        <v>83</v>
      </c>
      <c r="D272" s="182">
        <v>750</v>
      </c>
      <c r="E272" s="434">
        <v>0.055</v>
      </c>
      <c r="F272" s="184">
        <f>D272*E272</f>
        <v>41.25</v>
      </c>
      <c r="G272" s="168"/>
      <c r="H272" s="197" t="s">
        <v>83</v>
      </c>
      <c r="I272" s="242">
        <f>D272</f>
        <v>750</v>
      </c>
      <c r="J272" s="434">
        <f>E272</f>
        <v>0.055</v>
      </c>
      <c r="K272" s="356">
        <f>I272*J272</f>
        <v>41.25</v>
      </c>
      <c r="L272" s="180"/>
      <c r="M272" s="597"/>
      <c r="N272" s="598"/>
    </row>
    <row r="273" spans="1:14" ht="8.25" customHeight="1" thickBot="1">
      <c r="A273" s="86"/>
      <c r="B273" s="31"/>
      <c r="C273" s="583"/>
      <c r="D273" s="584"/>
      <c r="E273" s="584"/>
      <c r="F273" s="584"/>
      <c r="G273" s="168"/>
      <c r="H273" s="584"/>
      <c r="I273" s="584"/>
      <c r="J273" s="584"/>
      <c r="K273" s="585"/>
      <c r="L273" s="31"/>
      <c r="M273" s="86"/>
      <c r="N273" s="203"/>
    </row>
    <row r="274" spans="1:14" ht="13.5" thickBot="1">
      <c r="A274" s="94"/>
      <c r="B274" s="149"/>
      <c r="C274" s="204" t="s">
        <v>218</v>
      </c>
      <c r="D274" s="205"/>
      <c r="E274" s="205"/>
      <c r="F274" s="206">
        <f>SUM(F270:F272)+F269</f>
        <v>892.4680000000001</v>
      </c>
      <c r="G274" s="207"/>
      <c r="H274" s="592" t="s">
        <v>219</v>
      </c>
      <c r="I274" s="592"/>
      <c r="J274" s="592"/>
      <c r="K274" s="190">
        <f>SUM(K270:K272)+K269</f>
        <v>933.3119941468301</v>
      </c>
      <c r="L274" s="208"/>
      <c r="M274" s="191">
        <f>K274-F274</f>
        <v>40.84399414683003</v>
      </c>
      <c r="N274" s="192">
        <f>M274/F274</f>
        <v>0.04576521975782888</v>
      </c>
    </row>
    <row r="275" spans="6:14" ht="12.75">
      <c r="F275" s="180"/>
      <c r="K275" s="180"/>
      <c r="L275" s="217"/>
      <c r="M275" s="217"/>
      <c r="N275" s="230"/>
    </row>
    <row r="276" spans="6:14" ht="13.5" thickBot="1">
      <c r="F276" s="180"/>
      <c r="K276" s="180"/>
      <c r="L276" s="217"/>
      <c r="M276" s="217"/>
      <c r="N276" s="230"/>
    </row>
    <row r="277" spans="1:14" ht="60">
      <c r="A277" s="169" t="s">
        <v>19</v>
      </c>
      <c r="B277" s="170"/>
      <c r="C277" s="577"/>
      <c r="D277" s="571" t="s">
        <v>85</v>
      </c>
      <c r="E277" s="573" t="s">
        <v>86</v>
      </c>
      <c r="F277" s="575" t="s">
        <v>199</v>
      </c>
      <c r="G277" s="167"/>
      <c r="H277" s="171"/>
      <c r="I277" s="571" t="s">
        <v>85</v>
      </c>
      <c r="J277" s="573" t="s">
        <v>86</v>
      </c>
      <c r="K277" s="575" t="s">
        <v>199</v>
      </c>
      <c r="L277" s="170"/>
      <c r="M277" s="588" t="s">
        <v>198</v>
      </c>
      <c r="N277" s="590" t="s">
        <v>78</v>
      </c>
    </row>
    <row r="278" spans="1:14" ht="13.5" thickBot="1">
      <c r="A278" s="12" t="s">
        <v>11</v>
      </c>
      <c r="B278" s="31"/>
      <c r="C278" s="578"/>
      <c r="D278" s="572"/>
      <c r="E278" s="574"/>
      <c r="F278" s="576"/>
      <c r="G278" s="168"/>
      <c r="H278" s="31"/>
      <c r="I278" s="572"/>
      <c r="J278" s="574"/>
      <c r="K278" s="576"/>
      <c r="L278" s="32"/>
      <c r="M278" s="589"/>
      <c r="N278" s="591"/>
    </row>
    <row r="279" spans="1:14" ht="26.25" thickBot="1">
      <c r="A279" s="234">
        <v>100</v>
      </c>
      <c r="B279" s="31"/>
      <c r="C279" s="174" t="s">
        <v>23</v>
      </c>
      <c r="D279" s="175" t="s">
        <v>79</v>
      </c>
      <c r="E279" s="176" t="s">
        <v>79</v>
      </c>
      <c r="F279" s="177">
        <f>'12. Current Rates'!$D$42</f>
        <v>22.18</v>
      </c>
      <c r="G279" s="168"/>
      <c r="H279" s="178" t="s">
        <v>23</v>
      </c>
      <c r="I279" s="175" t="str">
        <f>D279</f>
        <v>N/A</v>
      </c>
      <c r="J279" s="175" t="s">
        <v>79</v>
      </c>
      <c r="K279" s="235">
        <f>'11. 2005 Final Rate Schedule '!$F$31</f>
        <v>23.742060347832695</v>
      </c>
      <c r="L279" s="180"/>
      <c r="M279" s="593"/>
      <c r="N279" s="594"/>
    </row>
    <row r="280" spans="1:14" ht="13.5" thickBot="1">
      <c r="A280" s="12" t="s">
        <v>12</v>
      </c>
      <c r="B280" s="31"/>
      <c r="C280" s="181" t="s">
        <v>87</v>
      </c>
      <c r="D280" s="236">
        <f>A279</f>
        <v>100</v>
      </c>
      <c r="E280" s="183">
        <f>'12. Current Rates'!$D$40</f>
        <v>6.6073</v>
      </c>
      <c r="F280" s="184">
        <f>D280*E280</f>
        <v>660.73</v>
      </c>
      <c r="G280" s="168"/>
      <c r="H280" s="185" t="s">
        <v>87</v>
      </c>
      <c r="I280" s="186">
        <f>D280</f>
        <v>100</v>
      </c>
      <c r="J280" s="385">
        <f>'11. 2005 Final Rate Schedule '!$F$32</f>
        <v>7.261998896649955</v>
      </c>
      <c r="K280" s="238">
        <f>I280*J280</f>
        <v>726.1998896649956</v>
      </c>
      <c r="L280" s="180"/>
      <c r="M280" s="595"/>
      <c r="N280" s="596"/>
    </row>
    <row r="281" spans="1:14" ht="13.5" thickBot="1">
      <c r="A281" s="234">
        <v>40000</v>
      </c>
      <c r="B281" s="31"/>
      <c r="C281" s="599"/>
      <c r="D281" s="600"/>
      <c r="E281" s="188" t="s">
        <v>50</v>
      </c>
      <c r="F281" s="189">
        <f>SUM(F279:F280)</f>
        <v>682.91</v>
      </c>
      <c r="G281" s="168"/>
      <c r="H281" s="581"/>
      <c r="I281" s="582"/>
      <c r="J281" s="188" t="s">
        <v>81</v>
      </c>
      <c r="K281" s="190">
        <f>SUM(K279:K280)</f>
        <v>749.9419500128282</v>
      </c>
      <c r="L281" s="180"/>
      <c r="M281" s="191">
        <f>K281-F281</f>
        <v>67.03195001282825</v>
      </c>
      <c r="N281" s="192">
        <f>M281/F281</f>
        <v>0.0981563456573022</v>
      </c>
    </row>
    <row r="282" spans="1:14" ht="25.5">
      <c r="A282" s="86"/>
      <c r="B282" s="31"/>
      <c r="C282" s="181" t="s">
        <v>88</v>
      </c>
      <c r="D282" s="236">
        <f>A279</f>
        <v>100</v>
      </c>
      <c r="E282" s="433">
        <v>3.91</v>
      </c>
      <c r="F282" s="194">
        <f>D282*E282</f>
        <v>391</v>
      </c>
      <c r="G282" s="168"/>
      <c r="H282" s="185" t="s">
        <v>88</v>
      </c>
      <c r="I282" s="262">
        <f>D282</f>
        <v>100</v>
      </c>
      <c r="J282" s="441">
        <f aca="true" t="shared" si="10" ref="J282:K284">E282</f>
        <v>3.91</v>
      </c>
      <c r="K282" s="240">
        <f t="shared" si="10"/>
        <v>391</v>
      </c>
      <c r="L282" s="180"/>
      <c r="M282" s="241"/>
      <c r="N282" s="260"/>
    </row>
    <row r="283" spans="1:14" ht="25.5">
      <c r="A283" s="86"/>
      <c r="B283" s="31"/>
      <c r="C283" s="181" t="s">
        <v>82</v>
      </c>
      <c r="D283" s="236">
        <f>A281</f>
        <v>40000</v>
      </c>
      <c r="E283" s="433">
        <v>0.0132</v>
      </c>
      <c r="F283" s="194">
        <f>D283*E283</f>
        <v>528</v>
      </c>
      <c r="G283" s="168"/>
      <c r="H283" s="185" t="s">
        <v>82</v>
      </c>
      <c r="I283" s="236">
        <f>D283</f>
        <v>40000</v>
      </c>
      <c r="J283" s="441">
        <f t="shared" si="10"/>
        <v>0.0132</v>
      </c>
      <c r="K283" s="240">
        <f t="shared" si="10"/>
        <v>528</v>
      </c>
      <c r="L283" s="180"/>
      <c r="M283" s="597"/>
      <c r="N283" s="598"/>
    </row>
    <row r="284" spans="1:14" ht="26.25" thickBot="1">
      <c r="A284" s="86"/>
      <c r="B284" s="31"/>
      <c r="C284" s="197" t="s">
        <v>83</v>
      </c>
      <c r="D284" s="236">
        <f>A281</f>
        <v>40000</v>
      </c>
      <c r="E284" s="434">
        <v>0.055</v>
      </c>
      <c r="F284" s="184">
        <f>D284*E284</f>
        <v>2200</v>
      </c>
      <c r="G284" s="168"/>
      <c r="H284" s="197" t="s">
        <v>83</v>
      </c>
      <c r="I284" s="242">
        <f>D284</f>
        <v>40000</v>
      </c>
      <c r="J284" s="442">
        <v>0.055</v>
      </c>
      <c r="K284" s="244">
        <f t="shared" si="10"/>
        <v>2200</v>
      </c>
      <c r="L284" s="180"/>
      <c r="M284" s="597"/>
      <c r="N284" s="598"/>
    </row>
    <row r="285" spans="1:14" ht="8.25" customHeight="1" thickBot="1">
      <c r="A285" s="86"/>
      <c r="B285" s="31"/>
      <c r="C285" s="583"/>
      <c r="D285" s="584"/>
      <c r="E285" s="584"/>
      <c r="F285" s="584"/>
      <c r="G285" s="168"/>
      <c r="H285" s="584"/>
      <c r="I285" s="584"/>
      <c r="J285" s="584"/>
      <c r="K285" s="585"/>
      <c r="L285" s="31"/>
      <c r="M285" s="86"/>
      <c r="N285" s="203"/>
    </row>
    <row r="286" spans="1:14" ht="13.5" thickBot="1">
      <c r="A286" s="94"/>
      <c r="B286" s="149"/>
      <c r="C286" s="204" t="s">
        <v>218</v>
      </c>
      <c r="D286" s="205"/>
      <c r="E286" s="205"/>
      <c r="F286" s="206">
        <f>SUM(F282:F284)+F281</f>
        <v>3801.91</v>
      </c>
      <c r="G286" s="207"/>
      <c r="H286" s="592" t="s">
        <v>219</v>
      </c>
      <c r="I286" s="592"/>
      <c r="J286" s="592"/>
      <c r="K286" s="190">
        <f>SUM(K282:K284)+K281</f>
        <v>3868.9419500128283</v>
      </c>
      <c r="L286" s="208"/>
      <c r="M286" s="191">
        <f>K286-F286</f>
        <v>67.03195001282847</v>
      </c>
      <c r="N286" s="192">
        <f>M286/F286</f>
        <v>0.01763112488534144</v>
      </c>
    </row>
    <row r="287" spans="1:13" ht="12" customHeight="1">
      <c r="A287" s="131"/>
      <c r="B287" s="131"/>
      <c r="F287" s="217"/>
      <c r="J287" s="222"/>
      <c r="K287" s="217"/>
      <c r="L287" s="217"/>
      <c r="M287" s="217"/>
    </row>
    <row r="288" spans="6:13" ht="13.5" thickBot="1">
      <c r="F288" s="217"/>
      <c r="J288" s="222"/>
      <c r="K288" s="217"/>
      <c r="L288" s="217"/>
      <c r="M288" s="217"/>
    </row>
    <row r="289" spans="1:14" ht="60">
      <c r="A289" s="169" t="s">
        <v>19</v>
      </c>
      <c r="B289" s="170"/>
      <c r="C289" s="577"/>
      <c r="D289" s="571" t="s">
        <v>85</v>
      </c>
      <c r="E289" s="573" t="s">
        <v>86</v>
      </c>
      <c r="F289" s="575" t="s">
        <v>199</v>
      </c>
      <c r="G289" s="167"/>
      <c r="H289" s="171"/>
      <c r="I289" s="571" t="s">
        <v>85</v>
      </c>
      <c r="J289" s="573" t="s">
        <v>86</v>
      </c>
      <c r="K289" s="575" t="s">
        <v>199</v>
      </c>
      <c r="L289" s="170"/>
      <c r="M289" s="588" t="s">
        <v>198</v>
      </c>
      <c r="N289" s="590" t="s">
        <v>78</v>
      </c>
    </row>
    <row r="290" spans="1:14" ht="13.5" thickBot="1">
      <c r="A290" s="12" t="s">
        <v>11</v>
      </c>
      <c r="B290" s="31"/>
      <c r="C290" s="578"/>
      <c r="D290" s="572"/>
      <c r="E290" s="574"/>
      <c r="F290" s="576"/>
      <c r="G290" s="168"/>
      <c r="H290" s="31"/>
      <c r="I290" s="572"/>
      <c r="J290" s="574"/>
      <c r="K290" s="576"/>
      <c r="L290" s="32"/>
      <c r="M290" s="589"/>
      <c r="N290" s="591"/>
    </row>
    <row r="291" spans="1:14" ht="26.25" thickBot="1">
      <c r="A291" s="234">
        <v>500</v>
      </c>
      <c r="B291" s="31"/>
      <c r="C291" s="174" t="s">
        <v>23</v>
      </c>
      <c r="D291" s="175" t="s">
        <v>79</v>
      </c>
      <c r="E291" s="176" t="s">
        <v>79</v>
      </c>
      <c r="F291" s="177">
        <f>'12. Current Rates'!$D$42</f>
        <v>22.18</v>
      </c>
      <c r="G291" s="168"/>
      <c r="H291" s="178" t="s">
        <v>23</v>
      </c>
      <c r="I291" s="175" t="str">
        <f>D291</f>
        <v>N/A</v>
      </c>
      <c r="J291" s="175" t="s">
        <v>79</v>
      </c>
      <c r="K291" s="235">
        <f>'11. 2005 Final Rate Schedule '!$F$31</f>
        <v>23.742060347832695</v>
      </c>
      <c r="L291" s="180"/>
      <c r="M291" s="593"/>
      <c r="N291" s="594"/>
    </row>
    <row r="292" spans="1:14" ht="13.5" thickBot="1">
      <c r="A292" s="12" t="s">
        <v>12</v>
      </c>
      <c r="B292" s="31"/>
      <c r="C292" s="181" t="s">
        <v>87</v>
      </c>
      <c r="D292" s="236">
        <f>A291</f>
        <v>500</v>
      </c>
      <c r="E292" s="183">
        <f>'12. Current Rates'!$D$40</f>
        <v>6.6073</v>
      </c>
      <c r="F292" s="184">
        <f>D292*E292</f>
        <v>3303.65</v>
      </c>
      <c r="G292" s="168"/>
      <c r="H292" s="185" t="s">
        <v>87</v>
      </c>
      <c r="I292" s="186">
        <f>D292</f>
        <v>500</v>
      </c>
      <c r="J292" s="385">
        <f>'11. 2005 Final Rate Schedule '!$F$32</f>
        <v>7.261998896649955</v>
      </c>
      <c r="K292" s="238">
        <f>I292*J292</f>
        <v>3630.9994483249775</v>
      </c>
      <c r="L292" s="180"/>
      <c r="M292" s="595"/>
      <c r="N292" s="596"/>
    </row>
    <row r="293" spans="1:14" ht="13.5" thickBot="1">
      <c r="A293" s="234">
        <v>100000</v>
      </c>
      <c r="B293" s="31"/>
      <c r="C293" s="599"/>
      <c r="D293" s="600"/>
      <c r="E293" s="188" t="s">
        <v>50</v>
      </c>
      <c r="F293" s="189">
        <f>SUM(F291:F292)</f>
        <v>3325.83</v>
      </c>
      <c r="G293" s="168"/>
      <c r="H293" s="581"/>
      <c r="I293" s="582"/>
      <c r="J293" s="188" t="s">
        <v>81</v>
      </c>
      <c r="K293" s="190">
        <f>SUM(K291:K292)</f>
        <v>3654.74150867281</v>
      </c>
      <c r="L293" s="180"/>
      <c r="M293" s="191">
        <f>K293-F293</f>
        <v>328.9115086728102</v>
      </c>
      <c r="N293" s="192">
        <f>M293/F293</f>
        <v>0.0988960676501235</v>
      </c>
    </row>
    <row r="294" spans="1:14" ht="25.5">
      <c r="A294" s="86"/>
      <c r="B294" s="31"/>
      <c r="C294" s="181" t="s">
        <v>88</v>
      </c>
      <c r="D294" s="236">
        <f>A291</f>
        <v>500</v>
      </c>
      <c r="E294" s="433">
        <v>3.91</v>
      </c>
      <c r="F294" s="194">
        <f>D294*E294</f>
        <v>1955</v>
      </c>
      <c r="G294" s="168"/>
      <c r="H294" s="185" t="s">
        <v>88</v>
      </c>
      <c r="I294" s="262">
        <f>D294</f>
        <v>500</v>
      </c>
      <c r="J294" s="441">
        <f aca="true" t="shared" si="11" ref="J294:K296">E294</f>
        <v>3.91</v>
      </c>
      <c r="K294" s="240">
        <f t="shared" si="11"/>
        <v>1955</v>
      </c>
      <c r="L294" s="180"/>
      <c r="M294" s="241"/>
      <c r="N294" s="260"/>
    </row>
    <row r="295" spans="1:14" ht="25.5">
      <c r="A295" s="86"/>
      <c r="B295" s="31"/>
      <c r="C295" s="181" t="s">
        <v>82</v>
      </c>
      <c r="D295" s="236">
        <f>A293</f>
        <v>100000</v>
      </c>
      <c r="E295" s="433">
        <v>0.0132</v>
      </c>
      <c r="F295" s="194">
        <f>D295*E295</f>
        <v>1320</v>
      </c>
      <c r="G295" s="168"/>
      <c r="H295" s="185" t="s">
        <v>82</v>
      </c>
      <c r="I295" s="236">
        <f>D295</f>
        <v>100000</v>
      </c>
      <c r="J295" s="441">
        <f t="shared" si="11"/>
        <v>0.0132</v>
      </c>
      <c r="K295" s="240">
        <f t="shared" si="11"/>
        <v>1320</v>
      </c>
      <c r="L295" s="180"/>
      <c r="M295" s="597"/>
      <c r="N295" s="598"/>
    </row>
    <row r="296" spans="1:14" ht="26.25" thickBot="1">
      <c r="A296" s="86"/>
      <c r="B296" s="31"/>
      <c r="C296" s="197" t="s">
        <v>83</v>
      </c>
      <c r="D296" s="236">
        <f>A293</f>
        <v>100000</v>
      </c>
      <c r="E296" s="434">
        <v>0.055</v>
      </c>
      <c r="F296" s="184">
        <f>D296*E296</f>
        <v>5500</v>
      </c>
      <c r="G296" s="168"/>
      <c r="H296" s="197" t="s">
        <v>83</v>
      </c>
      <c r="I296" s="242">
        <f>D296</f>
        <v>100000</v>
      </c>
      <c r="J296" s="442">
        <f t="shared" si="11"/>
        <v>0.055</v>
      </c>
      <c r="K296" s="244">
        <f t="shared" si="11"/>
        <v>5500</v>
      </c>
      <c r="L296" s="180"/>
      <c r="M296" s="597"/>
      <c r="N296" s="598"/>
    </row>
    <row r="297" spans="1:14" ht="8.25" customHeight="1" thickBot="1">
      <c r="A297" s="86"/>
      <c r="B297" s="31"/>
      <c r="C297" s="583"/>
      <c r="D297" s="584"/>
      <c r="E297" s="584"/>
      <c r="F297" s="584"/>
      <c r="G297" s="168"/>
      <c r="H297" s="584"/>
      <c r="I297" s="584"/>
      <c r="J297" s="584"/>
      <c r="K297" s="585"/>
      <c r="L297" s="31"/>
      <c r="M297" s="86"/>
      <c r="N297" s="203"/>
    </row>
    <row r="298" spans="1:14" ht="13.5" thickBot="1">
      <c r="A298" s="94"/>
      <c r="B298" s="149"/>
      <c r="C298" s="204" t="s">
        <v>218</v>
      </c>
      <c r="D298" s="205"/>
      <c r="E298" s="205"/>
      <c r="F298" s="206">
        <f>SUM(F294:F296)+F293</f>
        <v>12100.83</v>
      </c>
      <c r="G298" s="207"/>
      <c r="H298" s="592" t="s">
        <v>219</v>
      </c>
      <c r="I298" s="592"/>
      <c r="J298" s="592"/>
      <c r="K298" s="190">
        <f>SUM(K294:K296)+K293</f>
        <v>12429.74150867281</v>
      </c>
      <c r="L298" s="208"/>
      <c r="M298" s="191">
        <f>K298-F298</f>
        <v>328.91150867281067</v>
      </c>
      <c r="N298" s="192">
        <f>M298/F298</f>
        <v>0.027180904836512098</v>
      </c>
    </row>
    <row r="299" ht="12.75">
      <c r="K299" s="162"/>
    </row>
    <row r="300" spans="6:13" ht="13.5" thickBot="1">
      <c r="F300" s="217"/>
      <c r="J300" s="222"/>
      <c r="K300" s="217"/>
      <c r="L300" s="217"/>
      <c r="M300" s="217"/>
    </row>
    <row r="301" spans="1:14" ht="60">
      <c r="A301" s="169" t="s">
        <v>19</v>
      </c>
      <c r="B301" s="170"/>
      <c r="C301" s="577"/>
      <c r="D301" s="571" t="s">
        <v>85</v>
      </c>
      <c r="E301" s="573" t="s">
        <v>86</v>
      </c>
      <c r="F301" s="575" t="s">
        <v>199</v>
      </c>
      <c r="G301" s="167"/>
      <c r="H301" s="171"/>
      <c r="I301" s="571" t="s">
        <v>85</v>
      </c>
      <c r="J301" s="573" t="s">
        <v>86</v>
      </c>
      <c r="K301" s="575" t="s">
        <v>199</v>
      </c>
      <c r="L301" s="170"/>
      <c r="M301" s="588" t="s">
        <v>198</v>
      </c>
      <c r="N301" s="590" t="s">
        <v>78</v>
      </c>
    </row>
    <row r="302" spans="1:14" ht="13.5" thickBot="1">
      <c r="A302" s="12" t="s">
        <v>11</v>
      </c>
      <c r="B302" s="31"/>
      <c r="C302" s="578"/>
      <c r="D302" s="572"/>
      <c r="E302" s="574"/>
      <c r="F302" s="576"/>
      <c r="G302" s="168"/>
      <c r="H302" s="31"/>
      <c r="I302" s="572"/>
      <c r="J302" s="574"/>
      <c r="K302" s="576"/>
      <c r="L302" s="32"/>
      <c r="M302" s="589"/>
      <c r="N302" s="591"/>
    </row>
    <row r="303" spans="1:14" ht="26.25" thickBot="1">
      <c r="A303" s="234">
        <v>1000</v>
      </c>
      <c r="B303" s="31"/>
      <c r="C303" s="174" t="s">
        <v>23</v>
      </c>
      <c r="D303" s="175" t="s">
        <v>79</v>
      </c>
      <c r="E303" s="176" t="s">
        <v>79</v>
      </c>
      <c r="F303" s="177">
        <f>'12. Current Rates'!$D$42</f>
        <v>22.18</v>
      </c>
      <c r="G303" s="168"/>
      <c r="H303" s="178" t="s">
        <v>23</v>
      </c>
      <c r="I303" s="175" t="str">
        <f>D303</f>
        <v>N/A</v>
      </c>
      <c r="J303" s="175" t="s">
        <v>79</v>
      </c>
      <c r="K303" s="235">
        <f>'11. 2005 Final Rate Schedule '!$F$31</f>
        <v>23.742060347832695</v>
      </c>
      <c r="L303" s="180"/>
      <c r="M303" s="593"/>
      <c r="N303" s="594"/>
    </row>
    <row r="304" spans="1:14" ht="13.5" thickBot="1">
      <c r="A304" s="12" t="s">
        <v>12</v>
      </c>
      <c r="B304" s="31"/>
      <c r="C304" s="181" t="s">
        <v>87</v>
      </c>
      <c r="D304" s="236">
        <f>A303</f>
        <v>1000</v>
      </c>
      <c r="E304" s="183">
        <f>'12. Current Rates'!$D$40</f>
        <v>6.6073</v>
      </c>
      <c r="F304" s="184">
        <f>D304*E304</f>
        <v>6607.3</v>
      </c>
      <c r="G304" s="168"/>
      <c r="H304" s="185" t="s">
        <v>87</v>
      </c>
      <c r="I304" s="186">
        <f>D304</f>
        <v>1000</v>
      </c>
      <c r="J304" s="237">
        <f>'11. 2005 Final Rate Schedule '!$F$32</f>
        <v>7.261998896649955</v>
      </c>
      <c r="K304" s="238">
        <f>I304*J304</f>
        <v>7261.998896649955</v>
      </c>
      <c r="L304" s="180"/>
      <c r="M304" s="595"/>
      <c r="N304" s="596"/>
    </row>
    <row r="305" spans="1:14" ht="13.5" thickBot="1">
      <c r="A305" s="234">
        <v>400000</v>
      </c>
      <c r="B305" s="31"/>
      <c r="C305" s="599"/>
      <c r="D305" s="600"/>
      <c r="E305" s="188" t="s">
        <v>50</v>
      </c>
      <c r="F305" s="189">
        <f>SUM(F303:F304)</f>
        <v>6629.4800000000005</v>
      </c>
      <c r="G305" s="168"/>
      <c r="H305" s="581"/>
      <c r="I305" s="582"/>
      <c r="J305" s="188" t="s">
        <v>81</v>
      </c>
      <c r="K305" s="190">
        <f>SUM(K303:K304)</f>
        <v>7285.740956997788</v>
      </c>
      <c r="L305" s="180"/>
      <c r="M305" s="191">
        <f>K305-F305</f>
        <v>656.2609569977876</v>
      </c>
      <c r="N305" s="192">
        <f>M305/F305</f>
        <v>0.09899131711654421</v>
      </c>
    </row>
    <row r="306" spans="1:14" ht="25.5">
      <c r="A306" s="86"/>
      <c r="B306" s="31"/>
      <c r="C306" s="181" t="s">
        <v>88</v>
      </c>
      <c r="D306" s="236">
        <f>A303</f>
        <v>1000</v>
      </c>
      <c r="E306" s="193">
        <v>3.91</v>
      </c>
      <c r="F306" s="194">
        <f>D306*E306</f>
        <v>3910</v>
      </c>
      <c r="G306" s="168"/>
      <c r="H306" s="185" t="s">
        <v>88</v>
      </c>
      <c r="I306" s="262">
        <f>D306</f>
        <v>1000</v>
      </c>
      <c r="J306" s="239">
        <f aca="true" t="shared" si="12" ref="J306:K308">E306</f>
        <v>3.91</v>
      </c>
      <c r="K306" s="240">
        <f t="shared" si="12"/>
        <v>3910</v>
      </c>
      <c r="L306" s="180"/>
      <c r="M306" s="241"/>
      <c r="N306" s="260"/>
    </row>
    <row r="307" spans="1:14" ht="25.5">
      <c r="A307" s="86"/>
      <c r="B307" s="31"/>
      <c r="C307" s="181" t="s">
        <v>82</v>
      </c>
      <c r="D307" s="236">
        <f>A305</f>
        <v>400000</v>
      </c>
      <c r="E307" s="193">
        <v>0.0132</v>
      </c>
      <c r="F307" s="194">
        <f>D307*E307</f>
        <v>5280</v>
      </c>
      <c r="G307" s="168"/>
      <c r="H307" s="185" t="s">
        <v>82</v>
      </c>
      <c r="I307" s="236">
        <f>D307</f>
        <v>400000</v>
      </c>
      <c r="J307" s="239">
        <f t="shared" si="12"/>
        <v>0.0132</v>
      </c>
      <c r="K307" s="240">
        <f t="shared" si="12"/>
        <v>5280</v>
      </c>
      <c r="L307" s="180"/>
      <c r="M307" s="597"/>
      <c r="N307" s="598"/>
    </row>
    <row r="308" spans="1:14" ht="26.25" thickBot="1">
      <c r="A308" s="86"/>
      <c r="B308" s="31"/>
      <c r="C308" s="197" t="s">
        <v>83</v>
      </c>
      <c r="D308" s="236">
        <f>A305</f>
        <v>400000</v>
      </c>
      <c r="E308" s="198">
        <v>0.055</v>
      </c>
      <c r="F308" s="184">
        <f>D308*E308</f>
        <v>22000</v>
      </c>
      <c r="G308" s="168"/>
      <c r="H308" s="197" t="s">
        <v>83</v>
      </c>
      <c r="I308" s="242">
        <f>D308</f>
        <v>400000</v>
      </c>
      <c r="J308" s="243">
        <f t="shared" si="12"/>
        <v>0.055</v>
      </c>
      <c r="K308" s="244">
        <f t="shared" si="12"/>
        <v>22000</v>
      </c>
      <c r="L308" s="180"/>
      <c r="M308" s="597"/>
      <c r="N308" s="598"/>
    </row>
    <row r="309" spans="1:14" ht="8.25" customHeight="1" thickBot="1">
      <c r="A309" s="86"/>
      <c r="B309" s="31"/>
      <c r="C309" s="583"/>
      <c r="D309" s="584"/>
      <c r="E309" s="584"/>
      <c r="F309" s="584"/>
      <c r="G309" s="168"/>
      <c r="H309" s="584"/>
      <c r="I309" s="584"/>
      <c r="J309" s="584"/>
      <c r="K309" s="585"/>
      <c r="L309" s="31"/>
      <c r="M309" s="86"/>
      <c r="N309" s="203"/>
    </row>
    <row r="310" spans="1:14" ht="13.5" thickBot="1">
      <c r="A310" s="94"/>
      <c r="B310" s="149"/>
      <c r="C310" s="204" t="s">
        <v>218</v>
      </c>
      <c r="D310" s="205"/>
      <c r="E310" s="205"/>
      <c r="F310" s="206">
        <f>SUM(F306:F308)+F305</f>
        <v>37819.48</v>
      </c>
      <c r="G310" s="207"/>
      <c r="H310" s="592" t="s">
        <v>219</v>
      </c>
      <c r="I310" s="592"/>
      <c r="J310" s="592"/>
      <c r="K310" s="190">
        <f>SUM(K306:K308)+K305</f>
        <v>38475.74095699779</v>
      </c>
      <c r="L310" s="208"/>
      <c r="M310" s="191">
        <f>K310-F310</f>
        <v>656.2609569977867</v>
      </c>
      <c r="N310" s="192">
        <f>M310/F310</f>
        <v>0.017352458494875832</v>
      </c>
    </row>
    <row r="311" spans="6:14" ht="12.75">
      <c r="F311" s="180"/>
      <c r="K311" s="180"/>
      <c r="L311" s="217"/>
      <c r="M311" s="217"/>
      <c r="N311" s="230"/>
    </row>
    <row r="312" spans="3:13" ht="13.5" thickBot="1">
      <c r="C312" s="53"/>
      <c r="E312" s="245"/>
      <c r="F312" s="217"/>
      <c r="J312" s="222"/>
      <c r="K312" s="217"/>
      <c r="L312" s="217"/>
      <c r="M312" s="217"/>
    </row>
    <row r="313" spans="1:14" ht="60">
      <c r="A313" s="169" t="s">
        <v>19</v>
      </c>
      <c r="B313" s="170"/>
      <c r="C313" s="577"/>
      <c r="D313" s="571" t="s">
        <v>85</v>
      </c>
      <c r="E313" s="573" t="s">
        <v>86</v>
      </c>
      <c r="F313" s="575" t="s">
        <v>199</v>
      </c>
      <c r="G313" s="167"/>
      <c r="H313" s="171"/>
      <c r="I313" s="571" t="s">
        <v>85</v>
      </c>
      <c r="J313" s="573" t="s">
        <v>86</v>
      </c>
      <c r="K313" s="575" t="s">
        <v>199</v>
      </c>
      <c r="L313" s="170"/>
      <c r="M313" s="588" t="s">
        <v>198</v>
      </c>
      <c r="N313" s="590" t="s">
        <v>78</v>
      </c>
    </row>
    <row r="314" spans="1:14" ht="13.5" thickBot="1">
      <c r="A314" s="12" t="s">
        <v>11</v>
      </c>
      <c r="B314" s="31"/>
      <c r="C314" s="578"/>
      <c r="D314" s="572"/>
      <c r="E314" s="574"/>
      <c r="F314" s="576"/>
      <c r="G314" s="168"/>
      <c r="H314" s="31"/>
      <c r="I314" s="572"/>
      <c r="J314" s="574"/>
      <c r="K314" s="576"/>
      <c r="L314" s="32"/>
      <c r="M314" s="589"/>
      <c r="N314" s="591"/>
    </row>
    <row r="315" spans="1:14" ht="26.25" thickBot="1">
      <c r="A315" s="234">
        <v>3000</v>
      </c>
      <c r="B315" s="31"/>
      <c r="C315" s="174" t="s">
        <v>23</v>
      </c>
      <c r="D315" s="175" t="s">
        <v>79</v>
      </c>
      <c r="E315" s="176" t="s">
        <v>79</v>
      </c>
      <c r="F315" s="177">
        <f>'12. Current Rates'!$D$42</f>
        <v>22.18</v>
      </c>
      <c r="G315" s="168"/>
      <c r="H315" s="178" t="s">
        <v>23</v>
      </c>
      <c r="I315" s="175" t="str">
        <f>D315</f>
        <v>N/A</v>
      </c>
      <c r="J315" s="175" t="s">
        <v>79</v>
      </c>
      <c r="K315" s="235">
        <f>'11. 2005 Final Rate Schedule '!$F$31</f>
        <v>23.742060347832695</v>
      </c>
      <c r="L315" s="180"/>
      <c r="M315" s="593"/>
      <c r="N315" s="594"/>
    </row>
    <row r="316" spans="1:14" ht="13.5" thickBot="1">
      <c r="A316" s="12" t="s">
        <v>12</v>
      </c>
      <c r="B316" s="31"/>
      <c r="C316" s="181" t="s">
        <v>87</v>
      </c>
      <c r="D316" s="236">
        <f>A315</f>
        <v>3000</v>
      </c>
      <c r="E316" s="183">
        <f>'12. Current Rates'!$D$40</f>
        <v>6.6073</v>
      </c>
      <c r="F316" s="184">
        <f>D316*E316</f>
        <v>19821.9</v>
      </c>
      <c r="G316" s="168"/>
      <c r="H316" s="185" t="s">
        <v>87</v>
      </c>
      <c r="I316" s="186">
        <f>D316</f>
        <v>3000</v>
      </c>
      <c r="J316" s="237">
        <f>'11. 2005 Final Rate Schedule '!$F$32</f>
        <v>7.261998896649955</v>
      </c>
      <c r="K316" s="238">
        <f>I316*J316</f>
        <v>21785.996689949865</v>
      </c>
      <c r="L316" s="180"/>
      <c r="M316" s="595"/>
      <c r="N316" s="596"/>
    </row>
    <row r="317" spans="1:14" ht="13.5" thickBot="1">
      <c r="A317" s="234">
        <v>1000000</v>
      </c>
      <c r="B317" s="31"/>
      <c r="C317" s="599"/>
      <c r="D317" s="600"/>
      <c r="E317" s="188" t="s">
        <v>50</v>
      </c>
      <c r="F317" s="189">
        <f>SUM(F315:F316)</f>
        <v>19844.08</v>
      </c>
      <c r="G317" s="168"/>
      <c r="H317" s="581"/>
      <c r="I317" s="582"/>
      <c r="J317" s="188" t="s">
        <v>81</v>
      </c>
      <c r="K317" s="190">
        <f>SUM(K315:K316)</f>
        <v>21809.738750297696</v>
      </c>
      <c r="L317" s="180"/>
      <c r="M317" s="191">
        <f>K317-F317</f>
        <v>1965.6587502976945</v>
      </c>
      <c r="N317" s="192">
        <f>M317/F317</f>
        <v>0.09905517163293508</v>
      </c>
    </row>
    <row r="318" spans="1:14" ht="25.5">
      <c r="A318" s="86"/>
      <c r="B318" s="31"/>
      <c r="C318" s="181" t="s">
        <v>88</v>
      </c>
      <c r="D318" s="236">
        <f>A315</f>
        <v>3000</v>
      </c>
      <c r="E318" s="193">
        <v>3.91</v>
      </c>
      <c r="F318" s="194">
        <f>D318*E318</f>
        <v>11730</v>
      </c>
      <c r="G318" s="168"/>
      <c r="H318" s="185" t="s">
        <v>88</v>
      </c>
      <c r="I318" s="262">
        <f>D318</f>
        <v>3000</v>
      </c>
      <c r="J318" s="239">
        <f aca="true" t="shared" si="13" ref="J318:K320">E318</f>
        <v>3.91</v>
      </c>
      <c r="K318" s="240">
        <f t="shared" si="13"/>
        <v>11730</v>
      </c>
      <c r="L318" s="180"/>
      <c r="M318" s="241"/>
      <c r="N318" s="260"/>
    </row>
    <row r="319" spans="1:14" ht="25.5">
      <c r="A319" s="86"/>
      <c r="B319" s="31"/>
      <c r="C319" s="181" t="s">
        <v>82</v>
      </c>
      <c r="D319" s="236">
        <f>A317</f>
        <v>1000000</v>
      </c>
      <c r="E319" s="193">
        <v>0.0132</v>
      </c>
      <c r="F319" s="194">
        <f>D319*E319</f>
        <v>13200</v>
      </c>
      <c r="G319" s="168"/>
      <c r="H319" s="185" t="s">
        <v>82</v>
      </c>
      <c r="I319" s="236">
        <f>D319</f>
        <v>1000000</v>
      </c>
      <c r="J319" s="239">
        <f t="shared" si="13"/>
        <v>0.0132</v>
      </c>
      <c r="K319" s="240">
        <f t="shared" si="13"/>
        <v>13200</v>
      </c>
      <c r="L319" s="180"/>
      <c r="M319" s="597"/>
      <c r="N319" s="598"/>
    </row>
    <row r="320" spans="1:14" ht="26.25" thickBot="1">
      <c r="A320" s="86"/>
      <c r="B320" s="31"/>
      <c r="C320" s="197" t="s">
        <v>83</v>
      </c>
      <c r="D320" s="236">
        <f>A317</f>
        <v>1000000</v>
      </c>
      <c r="E320" s="198">
        <v>0.055</v>
      </c>
      <c r="F320" s="184">
        <f>D320*E320</f>
        <v>55000</v>
      </c>
      <c r="G320" s="168"/>
      <c r="H320" s="197" t="s">
        <v>83</v>
      </c>
      <c r="I320" s="242">
        <f>D320</f>
        <v>1000000</v>
      </c>
      <c r="J320" s="243">
        <f t="shared" si="13"/>
        <v>0.055</v>
      </c>
      <c r="K320" s="244">
        <f t="shared" si="13"/>
        <v>55000</v>
      </c>
      <c r="L320" s="180"/>
      <c r="M320" s="597"/>
      <c r="N320" s="598"/>
    </row>
    <row r="321" spans="1:14" ht="8.25" customHeight="1" thickBot="1">
      <c r="A321" s="86"/>
      <c r="B321" s="31"/>
      <c r="C321" s="583"/>
      <c r="D321" s="584"/>
      <c r="E321" s="584"/>
      <c r="F321" s="584"/>
      <c r="G321" s="168"/>
      <c r="H321" s="584"/>
      <c r="I321" s="584"/>
      <c r="J321" s="584"/>
      <c r="K321" s="585"/>
      <c r="L321" s="31"/>
      <c r="M321" s="86"/>
      <c r="N321" s="203"/>
    </row>
    <row r="322" spans="1:14" ht="13.5" thickBot="1">
      <c r="A322" s="94"/>
      <c r="B322" s="149"/>
      <c r="C322" s="204" t="s">
        <v>218</v>
      </c>
      <c r="D322" s="205"/>
      <c r="E322" s="205"/>
      <c r="F322" s="206">
        <f>SUM(F318:F320)+F317</f>
        <v>99774.08</v>
      </c>
      <c r="G322" s="207"/>
      <c r="H322" s="592" t="s">
        <v>219</v>
      </c>
      <c r="I322" s="592"/>
      <c r="J322" s="592"/>
      <c r="K322" s="190">
        <f>SUM(K318:K320)+K317</f>
        <v>101739.73875029769</v>
      </c>
      <c r="L322" s="208"/>
      <c r="M322" s="191">
        <f>K322-F322</f>
        <v>1965.6587502976909</v>
      </c>
      <c r="N322" s="192">
        <f>M322/F322</f>
        <v>0.019701096219556128</v>
      </c>
    </row>
    <row r="323" spans="6:14" ht="12.75">
      <c r="F323" s="180"/>
      <c r="K323" s="180"/>
      <c r="L323" s="217"/>
      <c r="M323" s="217"/>
      <c r="N323" s="230"/>
    </row>
    <row r="324" spans="1:14" s="246" customFormat="1" ht="23.25">
      <c r="A324" s="221" t="s">
        <v>217</v>
      </c>
      <c r="B324" s="54"/>
      <c r="F324" s="247"/>
      <c r="J324" s="248"/>
      <c r="K324" s="247"/>
      <c r="L324" s="247"/>
      <c r="M324" s="247"/>
      <c r="N324" s="249"/>
    </row>
    <row r="325" spans="1:13" ht="15.75">
      <c r="A325" s="131"/>
      <c r="B325" s="131"/>
      <c r="F325" s="217"/>
      <c r="J325" s="222"/>
      <c r="K325" s="217"/>
      <c r="L325" s="217"/>
      <c r="M325" s="217"/>
    </row>
    <row r="326" spans="1:14" s="144" customFormat="1" ht="15">
      <c r="A326" s="141" t="s">
        <v>93</v>
      </c>
      <c r="B326" s="233"/>
      <c r="F326" s="225"/>
      <c r="J326" s="226"/>
      <c r="K326" s="225"/>
      <c r="L326" s="225"/>
      <c r="M326" s="225"/>
      <c r="N326" s="227"/>
    </row>
    <row r="327" spans="1:14" s="144" customFormat="1" ht="15">
      <c r="A327" s="141" t="s">
        <v>49</v>
      </c>
      <c r="B327" s="233"/>
      <c r="F327" s="225"/>
      <c r="J327" s="226"/>
      <c r="K327" s="225"/>
      <c r="L327" s="225"/>
      <c r="M327" s="225"/>
      <c r="N327" s="227"/>
    </row>
    <row r="328" spans="1:14" s="144" customFormat="1" ht="15">
      <c r="A328" s="141" t="s">
        <v>160</v>
      </c>
      <c r="B328" s="233"/>
      <c r="F328" s="225"/>
      <c r="J328" s="226"/>
      <c r="K328" s="225"/>
      <c r="L328" s="225"/>
      <c r="M328" s="225"/>
      <c r="N328" s="227"/>
    </row>
    <row r="329" spans="1:14" s="144" customFormat="1" ht="14.25">
      <c r="A329" s="141" t="s">
        <v>159</v>
      </c>
      <c r="F329" s="225"/>
      <c r="J329" s="226"/>
      <c r="K329" s="225"/>
      <c r="L329" s="225"/>
      <c r="M329" s="225"/>
      <c r="N329" s="227"/>
    </row>
    <row r="330" spans="1:14" s="144" customFormat="1" ht="15" thickBot="1">
      <c r="A330" s="141"/>
      <c r="F330" s="225"/>
      <c r="J330" s="226"/>
      <c r="K330" s="225"/>
      <c r="L330" s="225"/>
      <c r="M330" s="225"/>
      <c r="N330" s="227"/>
    </row>
    <row r="331" spans="1:15" ht="14.25" customHeight="1">
      <c r="A331" s="11"/>
      <c r="C331" s="565" t="s">
        <v>94</v>
      </c>
      <c r="D331" s="566"/>
      <c r="E331" s="566"/>
      <c r="F331" s="567"/>
      <c r="G331" s="167"/>
      <c r="H331" s="565" t="s">
        <v>95</v>
      </c>
      <c r="I331" s="566"/>
      <c r="J331" s="566"/>
      <c r="K331" s="566"/>
      <c r="L331" s="566"/>
      <c r="M331" s="566"/>
      <c r="N331" s="567"/>
      <c r="O331" s="31"/>
    </row>
    <row r="332" spans="1:14" ht="13.5" customHeight="1" thickBot="1">
      <c r="A332"/>
      <c r="C332" s="568"/>
      <c r="D332" s="569"/>
      <c r="E332" s="569"/>
      <c r="F332" s="570"/>
      <c r="G332" s="168"/>
      <c r="H332" s="568"/>
      <c r="I332" s="569"/>
      <c r="J332" s="569"/>
      <c r="K332" s="569"/>
      <c r="L332" s="569"/>
      <c r="M332" s="569"/>
      <c r="N332" s="570"/>
    </row>
    <row r="333" spans="1:14" ht="60">
      <c r="A333" s="169" t="s">
        <v>19</v>
      </c>
      <c r="B333" s="170"/>
      <c r="C333" s="577"/>
      <c r="D333" s="571" t="s">
        <v>85</v>
      </c>
      <c r="E333" s="573" t="s">
        <v>86</v>
      </c>
      <c r="F333" s="575" t="s">
        <v>197</v>
      </c>
      <c r="G333" s="167"/>
      <c r="H333" s="171"/>
      <c r="I333" s="571" t="s">
        <v>85</v>
      </c>
      <c r="J333" s="573" t="s">
        <v>86</v>
      </c>
      <c r="K333" s="575" t="s">
        <v>199</v>
      </c>
      <c r="L333" s="170"/>
      <c r="M333" s="588" t="s">
        <v>198</v>
      </c>
      <c r="N333" s="590" t="s">
        <v>78</v>
      </c>
    </row>
    <row r="334" spans="1:14" ht="13.5" thickBot="1">
      <c r="A334" s="12" t="s">
        <v>11</v>
      </c>
      <c r="B334" s="31"/>
      <c r="C334" s="578"/>
      <c r="D334" s="572"/>
      <c r="E334" s="574"/>
      <c r="F334" s="576"/>
      <c r="G334" s="168"/>
      <c r="H334" s="31"/>
      <c r="I334" s="572"/>
      <c r="J334" s="574"/>
      <c r="K334" s="576"/>
      <c r="L334" s="32"/>
      <c r="M334" s="589"/>
      <c r="N334" s="591"/>
    </row>
    <row r="335" spans="1:14" ht="26.25" thickBot="1">
      <c r="A335" s="234">
        <v>3000</v>
      </c>
      <c r="B335" s="31"/>
      <c r="C335" s="174" t="s">
        <v>23</v>
      </c>
      <c r="D335" s="175" t="s">
        <v>79</v>
      </c>
      <c r="E335" s="176" t="s">
        <v>79</v>
      </c>
      <c r="F335" s="177">
        <f>'12. Current Rates'!$D$56</f>
        <v>0</v>
      </c>
      <c r="G335" s="168"/>
      <c r="H335" s="178" t="s">
        <v>23</v>
      </c>
      <c r="I335" s="175" t="str">
        <f>D335</f>
        <v>N/A</v>
      </c>
      <c r="J335" s="175" t="s">
        <v>79</v>
      </c>
      <c r="K335" s="235" t="e">
        <f>'11. 2005 Final Rate Schedule '!#REF!</f>
        <v>#REF!</v>
      </c>
      <c r="L335" s="180"/>
      <c r="M335" s="593"/>
      <c r="N335" s="594"/>
    </row>
    <row r="336" spans="1:14" ht="13.5" thickBot="1">
      <c r="A336" s="12" t="s">
        <v>12</v>
      </c>
      <c r="B336" s="31"/>
      <c r="C336" s="181" t="s">
        <v>87</v>
      </c>
      <c r="D336" s="236">
        <f>A335</f>
        <v>3000</v>
      </c>
      <c r="E336" s="183">
        <f>'12. Current Rates'!$D$54</f>
        <v>0</v>
      </c>
      <c r="F336" s="184">
        <f>D336*E336</f>
        <v>0</v>
      </c>
      <c r="G336" s="168"/>
      <c r="H336" s="185" t="s">
        <v>87</v>
      </c>
      <c r="I336" s="186">
        <f>D336</f>
        <v>3000</v>
      </c>
      <c r="J336" s="250" t="e">
        <f>'11. 2005 Final Rate Schedule '!#REF!</f>
        <v>#REF!</v>
      </c>
      <c r="K336" s="238" t="e">
        <f>I336*J336</f>
        <v>#REF!</v>
      </c>
      <c r="L336" s="180"/>
      <c r="M336" s="595"/>
      <c r="N336" s="596"/>
    </row>
    <row r="337" spans="1:14" ht="13.5" thickBot="1">
      <c r="A337" s="234">
        <v>800000</v>
      </c>
      <c r="B337" s="31"/>
      <c r="C337" s="599"/>
      <c r="D337" s="600"/>
      <c r="E337" s="188" t="s">
        <v>50</v>
      </c>
      <c r="F337" s="189">
        <f>SUM(F335:F336)</f>
        <v>0</v>
      </c>
      <c r="G337" s="168"/>
      <c r="H337" s="581"/>
      <c r="I337" s="582"/>
      <c r="J337" s="188" t="s">
        <v>81</v>
      </c>
      <c r="K337" s="190" t="e">
        <f>SUM(K335:K336)</f>
        <v>#REF!</v>
      </c>
      <c r="L337" s="180"/>
      <c r="M337" s="191" t="e">
        <f>K337-F337</f>
        <v>#REF!</v>
      </c>
      <c r="N337" s="192" t="e">
        <f>M337/F337</f>
        <v>#REF!</v>
      </c>
    </row>
    <row r="338" spans="1:14" ht="25.5">
      <c r="A338" s="86"/>
      <c r="B338" s="31"/>
      <c r="C338" s="181" t="s">
        <v>88</v>
      </c>
      <c r="D338" s="236">
        <f>A335</f>
        <v>3000</v>
      </c>
      <c r="E338" s="193">
        <v>4.2138</v>
      </c>
      <c r="F338" s="194">
        <f>D338*E338</f>
        <v>12641.4</v>
      </c>
      <c r="G338" s="168"/>
      <c r="H338" s="185" t="s">
        <v>82</v>
      </c>
      <c r="I338" s="262">
        <f>D338</f>
        <v>3000</v>
      </c>
      <c r="J338" s="239">
        <f aca="true" t="shared" si="14" ref="J338:K340">E338</f>
        <v>4.2138</v>
      </c>
      <c r="K338" s="240">
        <f t="shared" si="14"/>
        <v>12641.4</v>
      </c>
      <c r="L338" s="180"/>
      <c r="M338" s="241"/>
      <c r="N338" s="260"/>
    </row>
    <row r="339" spans="1:14" ht="25.5">
      <c r="A339" s="86"/>
      <c r="B339" s="31"/>
      <c r="C339" s="181" t="s">
        <v>82</v>
      </c>
      <c r="D339" s="236">
        <f>A337</f>
        <v>800000</v>
      </c>
      <c r="E339" s="193">
        <v>0.0132</v>
      </c>
      <c r="F339" s="194">
        <f>D339*E339</f>
        <v>10560</v>
      </c>
      <c r="G339" s="168"/>
      <c r="H339" s="185" t="s">
        <v>82</v>
      </c>
      <c r="I339" s="236">
        <f>D339</f>
        <v>800000</v>
      </c>
      <c r="J339" s="239">
        <f t="shared" si="14"/>
        <v>0.0132</v>
      </c>
      <c r="K339" s="240">
        <f t="shared" si="14"/>
        <v>10560</v>
      </c>
      <c r="L339" s="180"/>
      <c r="M339" s="597"/>
      <c r="N339" s="598"/>
    </row>
    <row r="340" spans="1:14" ht="26.25" thickBot="1">
      <c r="A340" s="86"/>
      <c r="B340" s="31"/>
      <c r="C340" s="197" t="s">
        <v>83</v>
      </c>
      <c r="D340" s="236">
        <f>A337</f>
        <v>800000</v>
      </c>
      <c r="E340" s="198">
        <v>0.055</v>
      </c>
      <c r="F340" s="184">
        <f>D340*E340</f>
        <v>44000</v>
      </c>
      <c r="G340" s="168"/>
      <c r="H340" s="199" t="s">
        <v>83</v>
      </c>
      <c r="I340" s="242">
        <f>D340</f>
        <v>800000</v>
      </c>
      <c r="J340" s="243">
        <f t="shared" si="14"/>
        <v>0.055</v>
      </c>
      <c r="K340" s="244">
        <f t="shared" si="14"/>
        <v>44000</v>
      </c>
      <c r="L340" s="180"/>
      <c r="M340" s="597"/>
      <c r="N340" s="598"/>
    </row>
    <row r="341" spans="1:14" ht="8.25" customHeight="1" thickBot="1">
      <c r="A341" s="86"/>
      <c r="B341" s="31"/>
      <c r="C341" s="583"/>
      <c r="D341" s="584"/>
      <c r="E341" s="584"/>
      <c r="F341" s="584"/>
      <c r="G341" s="168"/>
      <c r="H341" s="584"/>
      <c r="I341" s="584"/>
      <c r="J341" s="584"/>
      <c r="K341" s="585"/>
      <c r="L341" s="31"/>
      <c r="M341" s="86"/>
      <c r="N341" s="203"/>
    </row>
    <row r="342" spans="1:14" ht="13.5" thickBot="1">
      <c r="A342" s="94"/>
      <c r="B342" s="149"/>
      <c r="C342" s="204" t="s">
        <v>218</v>
      </c>
      <c r="D342" s="205"/>
      <c r="E342" s="205"/>
      <c r="F342" s="206">
        <f>SUM(F338:F340)+F337</f>
        <v>67201.4</v>
      </c>
      <c r="G342" s="207"/>
      <c r="H342" s="592" t="s">
        <v>219</v>
      </c>
      <c r="I342" s="592"/>
      <c r="J342" s="592"/>
      <c r="K342" s="190" t="e">
        <f>SUM(K338:K340)+K337</f>
        <v>#REF!</v>
      </c>
      <c r="L342" s="208"/>
      <c r="M342" s="191" t="e">
        <f>K342-F342</f>
        <v>#REF!</v>
      </c>
      <c r="N342" s="386" t="e">
        <f>M342/F342</f>
        <v>#REF!</v>
      </c>
    </row>
    <row r="343" spans="6:14" ht="12.75">
      <c r="F343" s="180"/>
      <c r="K343" s="180"/>
      <c r="L343" s="217"/>
      <c r="M343" s="217"/>
      <c r="N343" s="230"/>
    </row>
    <row r="344" spans="1:14" ht="13.5" thickBot="1">
      <c r="A344" s="149"/>
      <c r="B344" s="149"/>
      <c r="C344" s="251"/>
      <c r="D344" s="149"/>
      <c r="E344" s="252"/>
      <c r="F344" s="208"/>
      <c r="G344" s="149"/>
      <c r="H344" s="251"/>
      <c r="I344" s="149"/>
      <c r="J344" s="253"/>
      <c r="K344" s="208"/>
      <c r="L344" s="208"/>
      <c r="M344" s="208"/>
      <c r="N344" s="232"/>
    </row>
    <row r="345" spans="1:14" ht="60">
      <c r="A345" s="169" t="s">
        <v>19</v>
      </c>
      <c r="B345" s="170"/>
      <c r="C345" s="577"/>
      <c r="D345" s="571" t="s">
        <v>85</v>
      </c>
      <c r="E345" s="573" t="s">
        <v>86</v>
      </c>
      <c r="F345" s="575" t="s">
        <v>199</v>
      </c>
      <c r="G345" s="167"/>
      <c r="H345" s="171"/>
      <c r="I345" s="571" t="s">
        <v>85</v>
      </c>
      <c r="J345" s="573" t="s">
        <v>86</v>
      </c>
      <c r="K345" s="575" t="s">
        <v>199</v>
      </c>
      <c r="L345" s="170"/>
      <c r="M345" s="588" t="s">
        <v>198</v>
      </c>
      <c r="N345" s="590" t="s">
        <v>78</v>
      </c>
    </row>
    <row r="346" spans="1:14" ht="13.5" thickBot="1">
      <c r="A346" s="12" t="s">
        <v>11</v>
      </c>
      <c r="B346" s="31"/>
      <c r="C346" s="578"/>
      <c r="D346" s="572"/>
      <c r="E346" s="574"/>
      <c r="F346" s="576"/>
      <c r="G346" s="168"/>
      <c r="H346" s="31"/>
      <c r="I346" s="572"/>
      <c r="J346" s="574"/>
      <c r="K346" s="576"/>
      <c r="L346" s="32"/>
      <c r="M346" s="589"/>
      <c r="N346" s="591"/>
    </row>
    <row r="347" spans="1:14" ht="26.25" thickBot="1">
      <c r="A347" s="234">
        <v>3000</v>
      </c>
      <c r="B347" s="31"/>
      <c r="C347" s="174" t="s">
        <v>23</v>
      </c>
      <c r="D347" s="175" t="s">
        <v>79</v>
      </c>
      <c r="E347" s="176" t="s">
        <v>79</v>
      </c>
      <c r="F347" s="177">
        <f>'12. Current Rates'!$D$56</f>
        <v>0</v>
      </c>
      <c r="G347" s="168"/>
      <c r="H347" s="178" t="s">
        <v>23</v>
      </c>
      <c r="I347" s="175" t="str">
        <f>D347</f>
        <v>N/A</v>
      </c>
      <c r="J347" s="175" t="s">
        <v>79</v>
      </c>
      <c r="K347" s="235" t="e">
        <f>'11. 2005 Final Rate Schedule '!#REF!</f>
        <v>#REF!</v>
      </c>
      <c r="L347" s="180"/>
      <c r="M347" s="593"/>
      <c r="N347" s="594"/>
    </row>
    <row r="348" spans="1:14" ht="13.5" thickBot="1">
      <c r="A348" s="12" t="s">
        <v>12</v>
      </c>
      <c r="B348" s="31"/>
      <c r="C348" s="181" t="s">
        <v>87</v>
      </c>
      <c r="D348" s="236">
        <f>A347</f>
        <v>3000</v>
      </c>
      <c r="E348" s="183">
        <f>'12. Current Rates'!$D$54</f>
        <v>0</v>
      </c>
      <c r="F348" s="184">
        <f>D348*E348</f>
        <v>0</v>
      </c>
      <c r="G348" s="168"/>
      <c r="H348" s="185" t="s">
        <v>87</v>
      </c>
      <c r="I348" s="186">
        <f>D348</f>
        <v>3000</v>
      </c>
      <c r="J348" s="250" t="e">
        <f>'11. 2005 Final Rate Schedule '!#REF!</f>
        <v>#REF!</v>
      </c>
      <c r="K348" s="238" t="e">
        <f>I348*J348</f>
        <v>#REF!</v>
      </c>
      <c r="L348" s="180"/>
      <c r="M348" s="595"/>
      <c r="N348" s="596"/>
    </row>
    <row r="349" spans="1:14" ht="13.5" thickBot="1">
      <c r="A349" s="234">
        <v>1000000</v>
      </c>
      <c r="B349" s="31"/>
      <c r="C349" s="599"/>
      <c r="D349" s="600"/>
      <c r="E349" s="188" t="s">
        <v>50</v>
      </c>
      <c r="F349" s="189">
        <f>SUM(F347:F348)</f>
        <v>0</v>
      </c>
      <c r="G349" s="168"/>
      <c r="H349" s="581"/>
      <c r="I349" s="582"/>
      <c r="J349" s="188" t="s">
        <v>81</v>
      </c>
      <c r="K349" s="190" t="e">
        <f>SUM(K347:K348)</f>
        <v>#REF!</v>
      </c>
      <c r="L349" s="180"/>
      <c r="M349" s="191" t="e">
        <f>K349-F349</f>
        <v>#REF!</v>
      </c>
      <c r="N349" s="192" t="e">
        <f>M349/F349</f>
        <v>#REF!</v>
      </c>
    </row>
    <row r="350" spans="1:14" ht="25.5">
      <c r="A350" s="86"/>
      <c r="B350" s="31"/>
      <c r="C350" s="181" t="s">
        <v>88</v>
      </c>
      <c r="D350" s="236">
        <f>A347</f>
        <v>3000</v>
      </c>
      <c r="E350" s="193">
        <v>4.2138</v>
      </c>
      <c r="F350" s="194">
        <f>D350*E350</f>
        <v>12641.4</v>
      </c>
      <c r="G350" s="168"/>
      <c r="H350" s="185" t="s">
        <v>82</v>
      </c>
      <c r="I350" s="262">
        <f>D350</f>
        <v>3000</v>
      </c>
      <c r="J350" s="239">
        <f aca="true" t="shared" si="15" ref="J350:K352">E350</f>
        <v>4.2138</v>
      </c>
      <c r="K350" s="240">
        <f t="shared" si="15"/>
        <v>12641.4</v>
      </c>
      <c r="L350" s="180"/>
      <c r="M350" s="241"/>
      <c r="N350" s="260"/>
    </row>
    <row r="351" spans="1:14" ht="25.5">
      <c r="A351" s="86"/>
      <c r="B351" s="31"/>
      <c r="C351" s="181" t="s">
        <v>82</v>
      </c>
      <c r="D351" s="236">
        <f>A349</f>
        <v>1000000</v>
      </c>
      <c r="E351" s="193">
        <v>0.0132</v>
      </c>
      <c r="F351" s="194">
        <f>D351*E351</f>
        <v>13200</v>
      </c>
      <c r="G351" s="168"/>
      <c r="H351" s="185" t="s">
        <v>82</v>
      </c>
      <c r="I351" s="236">
        <f>D351</f>
        <v>1000000</v>
      </c>
      <c r="J351" s="239">
        <f t="shared" si="15"/>
        <v>0.0132</v>
      </c>
      <c r="K351" s="240">
        <f t="shared" si="15"/>
        <v>13200</v>
      </c>
      <c r="L351" s="180"/>
      <c r="M351" s="597"/>
      <c r="N351" s="598"/>
    </row>
    <row r="352" spans="1:14" ht="26.25" thickBot="1">
      <c r="A352" s="86"/>
      <c r="B352" s="31"/>
      <c r="C352" s="197" t="s">
        <v>83</v>
      </c>
      <c r="D352" s="236">
        <f>A349</f>
        <v>1000000</v>
      </c>
      <c r="E352" s="198">
        <v>0.055</v>
      </c>
      <c r="F352" s="184">
        <f>D352*E352</f>
        <v>55000</v>
      </c>
      <c r="G352" s="168"/>
      <c r="H352" s="199" t="s">
        <v>83</v>
      </c>
      <c r="I352" s="242">
        <f>D352</f>
        <v>1000000</v>
      </c>
      <c r="J352" s="243">
        <f t="shared" si="15"/>
        <v>0.055</v>
      </c>
      <c r="K352" s="244">
        <f t="shared" si="15"/>
        <v>55000</v>
      </c>
      <c r="L352" s="180"/>
      <c r="M352" s="597"/>
      <c r="N352" s="598"/>
    </row>
    <row r="353" spans="1:14" ht="8.25" customHeight="1" thickBot="1">
      <c r="A353" s="86"/>
      <c r="B353" s="31"/>
      <c r="C353" s="583"/>
      <c r="D353" s="584"/>
      <c r="E353" s="584"/>
      <c r="F353" s="584"/>
      <c r="G353" s="168"/>
      <c r="H353" s="584"/>
      <c r="I353" s="584"/>
      <c r="J353" s="584"/>
      <c r="K353" s="585"/>
      <c r="L353" s="31"/>
      <c r="M353" s="86"/>
      <c r="N353" s="203"/>
    </row>
    <row r="354" spans="1:14" ht="13.5" thickBot="1">
      <c r="A354" s="94"/>
      <c r="B354" s="149"/>
      <c r="C354" s="204" t="s">
        <v>218</v>
      </c>
      <c r="D354" s="205"/>
      <c r="E354" s="205"/>
      <c r="F354" s="206">
        <f>SUM(F350:F352)+F349</f>
        <v>80841.4</v>
      </c>
      <c r="G354" s="207"/>
      <c r="H354" s="592" t="s">
        <v>219</v>
      </c>
      <c r="I354" s="592"/>
      <c r="J354" s="592"/>
      <c r="K354" s="190" t="e">
        <f>SUM(K350:K352)+K349</f>
        <v>#REF!</v>
      </c>
      <c r="L354" s="208"/>
      <c r="M354" s="191" t="e">
        <f>K354-F354</f>
        <v>#REF!</v>
      </c>
      <c r="N354" s="386" t="e">
        <f>M354/F354</f>
        <v>#REF!</v>
      </c>
    </row>
    <row r="355" spans="1:13" ht="14.25">
      <c r="A355" s="11"/>
      <c r="F355" s="217"/>
      <c r="J355" s="222"/>
      <c r="K355" s="217"/>
      <c r="L355" s="217"/>
      <c r="M355" s="217"/>
    </row>
    <row r="356" spans="1:13" ht="15" thickBot="1">
      <c r="A356" s="11"/>
      <c r="F356" s="217"/>
      <c r="J356" s="222"/>
      <c r="K356" s="217"/>
      <c r="L356" s="217"/>
      <c r="M356" s="217"/>
    </row>
    <row r="357" spans="1:14" ht="60">
      <c r="A357" s="169" t="s">
        <v>19</v>
      </c>
      <c r="B357" s="170"/>
      <c r="C357" s="577"/>
      <c r="D357" s="571" t="s">
        <v>85</v>
      </c>
      <c r="E357" s="573" t="s">
        <v>86</v>
      </c>
      <c r="F357" s="575" t="s">
        <v>199</v>
      </c>
      <c r="G357" s="167"/>
      <c r="H357" s="171"/>
      <c r="I357" s="571" t="s">
        <v>85</v>
      </c>
      <c r="J357" s="573" t="s">
        <v>86</v>
      </c>
      <c r="K357" s="575" t="s">
        <v>199</v>
      </c>
      <c r="L357" s="170"/>
      <c r="M357" s="588" t="s">
        <v>198</v>
      </c>
      <c r="N357" s="590" t="s">
        <v>78</v>
      </c>
    </row>
    <row r="358" spans="1:14" ht="13.5" thickBot="1">
      <c r="A358" s="12" t="s">
        <v>11</v>
      </c>
      <c r="B358" s="31"/>
      <c r="C358" s="578"/>
      <c r="D358" s="572"/>
      <c r="E358" s="574"/>
      <c r="F358" s="576"/>
      <c r="G358" s="168"/>
      <c r="H358" s="31"/>
      <c r="I358" s="572"/>
      <c r="J358" s="574"/>
      <c r="K358" s="576"/>
      <c r="L358" s="32"/>
      <c r="M358" s="589"/>
      <c r="N358" s="591"/>
    </row>
    <row r="359" spans="1:14" ht="26.25" thickBot="1">
      <c r="A359" s="234">
        <v>4000</v>
      </c>
      <c r="B359" s="31"/>
      <c r="C359" s="174" t="s">
        <v>23</v>
      </c>
      <c r="D359" s="175" t="s">
        <v>79</v>
      </c>
      <c r="E359" s="176" t="s">
        <v>79</v>
      </c>
      <c r="F359" s="177">
        <f>'12. Current Rates'!$D$56</f>
        <v>0</v>
      </c>
      <c r="G359" s="168"/>
      <c r="H359" s="178" t="s">
        <v>23</v>
      </c>
      <c r="I359" s="175" t="str">
        <f>D359</f>
        <v>N/A</v>
      </c>
      <c r="J359" s="175" t="s">
        <v>79</v>
      </c>
      <c r="K359" s="235" t="e">
        <f>'11. 2005 Final Rate Schedule '!#REF!</f>
        <v>#REF!</v>
      </c>
      <c r="L359" s="180"/>
      <c r="M359" s="593"/>
      <c r="N359" s="594"/>
    </row>
    <row r="360" spans="1:14" ht="13.5" thickBot="1">
      <c r="A360" s="12" t="s">
        <v>12</v>
      </c>
      <c r="B360" s="31"/>
      <c r="C360" s="181" t="s">
        <v>87</v>
      </c>
      <c r="D360" s="236">
        <f>A359</f>
        <v>4000</v>
      </c>
      <c r="E360" s="183">
        <f>'12. Current Rates'!$D$54</f>
        <v>0</v>
      </c>
      <c r="F360" s="184">
        <f>D360*E360</f>
        <v>0</v>
      </c>
      <c r="G360" s="168"/>
      <c r="H360" s="185" t="s">
        <v>87</v>
      </c>
      <c r="I360" s="186">
        <f>D360</f>
        <v>4000</v>
      </c>
      <c r="J360" s="250" t="e">
        <f>'11. 2005 Final Rate Schedule '!#REF!</f>
        <v>#REF!</v>
      </c>
      <c r="K360" s="238" t="e">
        <f>I360*J360</f>
        <v>#REF!</v>
      </c>
      <c r="L360" s="180"/>
      <c r="M360" s="595"/>
      <c r="N360" s="596"/>
    </row>
    <row r="361" spans="1:14" ht="13.5" thickBot="1">
      <c r="A361" s="234">
        <v>1200000</v>
      </c>
      <c r="B361" s="31"/>
      <c r="C361" s="599"/>
      <c r="D361" s="600"/>
      <c r="E361" s="188" t="s">
        <v>50</v>
      </c>
      <c r="F361" s="189">
        <f>SUM(F359:F360)</f>
        <v>0</v>
      </c>
      <c r="G361" s="168"/>
      <c r="H361" s="581"/>
      <c r="I361" s="582"/>
      <c r="J361" s="188" t="s">
        <v>81</v>
      </c>
      <c r="K361" s="190" t="e">
        <f>SUM(K359:K360)</f>
        <v>#REF!</v>
      </c>
      <c r="L361" s="180"/>
      <c r="M361" s="191" t="e">
        <f>K361-F361</f>
        <v>#REF!</v>
      </c>
      <c r="N361" s="192" t="e">
        <f>M361/F361</f>
        <v>#REF!</v>
      </c>
    </row>
    <row r="362" spans="1:14" ht="25.5">
      <c r="A362" s="86"/>
      <c r="B362" s="31"/>
      <c r="C362" s="181" t="s">
        <v>88</v>
      </c>
      <c r="D362" s="236">
        <f>A359</f>
        <v>4000</v>
      </c>
      <c r="E362" s="193">
        <v>4.2138</v>
      </c>
      <c r="F362" s="194">
        <f>D362*E362</f>
        <v>16855.2</v>
      </c>
      <c r="G362" s="168"/>
      <c r="H362" s="185" t="s">
        <v>82</v>
      </c>
      <c r="I362" s="262">
        <f>D362</f>
        <v>4000</v>
      </c>
      <c r="J362" s="239">
        <f aca="true" t="shared" si="16" ref="J362:K364">E362</f>
        <v>4.2138</v>
      </c>
      <c r="K362" s="240">
        <f t="shared" si="16"/>
        <v>16855.2</v>
      </c>
      <c r="L362" s="180"/>
      <c r="M362" s="241"/>
      <c r="N362" s="260"/>
    </row>
    <row r="363" spans="1:14" ht="25.5">
      <c r="A363" s="86"/>
      <c r="B363" s="31"/>
      <c r="C363" s="181" t="s">
        <v>82</v>
      </c>
      <c r="D363" s="236">
        <f>A361</f>
        <v>1200000</v>
      </c>
      <c r="E363" s="193">
        <v>0.0132</v>
      </c>
      <c r="F363" s="194">
        <f>D363*E363</f>
        <v>15840</v>
      </c>
      <c r="G363" s="168"/>
      <c r="H363" s="185" t="s">
        <v>82</v>
      </c>
      <c r="I363" s="236">
        <f>D363</f>
        <v>1200000</v>
      </c>
      <c r="J363" s="239">
        <f t="shared" si="16"/>
        <v>0.0132</v>
      </c>
      <c r="K363" s="240">
        <f t="shared" si="16"/>
        <v>15840</v>
      </c>
      <c r="L363" s="180"/>
      <c r="M363" s="597"/>
      <c r="N363" s="598"/>
    </row>
    <row r="364" spans="1:14" ht="26.25" thickBot="1">
      <c r="A364" s="86"/>
      <c r="B364" s="31"/>
      <c r="C364" s="197" t="s">
        <v>83</v>
      </c>
      <c r="D364" s="236">
        <f>A361</f>
        <v>1200000</v>
      </c>
      <c r="E364" s="198">
        <v>0.055</v>
      </c>
      <c r="F364" s="184">
        <f>D364*E364</f>
        <v>66000</v>
      </c>
      <c r="G364" s="168"/>
      <c r="H364" s="199" t="s">
        <v>83</v>
      </c>
      <c r="I364" s="242">
        <f>D364</f>
        <v>1200000</v>
      </c>
      <c r="J364" s="243">
        <f t="shared" si="16"/>
        <v>0.055</v>
      </c>
      <c r="K364" s="244">
        <f t="shared" si="16"/>
        <v>66000</v>
      </c>
      <c r="L364" s="180"/>
      <c r="M364" s="597"/>
      <c r="N364" s="598"/>
    </row>
    <row r="365" spans="1:14" ht="8.25" customHeight="1" thickBot="1">
      <c r="A365" s="86"/>
      <c r="B365" s="31"/>
      <c r="C365" s="583"/>
      <c r="D365" s="584"/>
      <c r="E365" s="584"/>
      <c r="F365" s="584"/>
      <c r="G365" s="168"/>
      <c r="H365" s="584"/>
      <c r="I365" s="584"/>
      <c r="J365" s="584"/>
      <c r="K365" s="585"/>
      <c r="L365" s="31"/>
      <c r="M365" s="86"/>
      <c r="N365" s="203"/>
    </row>
    <row r="366" spans="1:14" ht="13.5" thickBot="1">
      <c r="A366" s="94"/>
      <c r="B366" s="149"/>
      <c r="C366" s="204" t="s">
        <v>218</v>
      </c>
      <c r="D366" s="205"/>
      <c r="E366" s="205"/>
      <c r="F366" s="206">
        <f>SUM(F362:F364)+F361</f>
        <v>98695.2</v>
      </c>
      <c r="G366" s="207"/>
      <c r="H366" s="592" t="s">
        <v>219</v>
      </c>
      <c r="I366" s="592"/>
      <c r="J366" s="592"/>
      <c r="K366" s="190" t="e">
        <f>SUM(K362:K364)+K361</f>
        <v>#REF!</v>
      </c>
      <c r="L366" s="208"/>
      <c r="M366" s="191" t="e">
        <f>K366-F366</f>
        <v>#REF!</v>
      </c>
      <c r="N366" s="192" t="e">
        <f>M366/F366</f>
        <v>#REF!</v>
      </c>
    </row>
    <row r="367" spans="6:13" ht="12.75">
      <c r="F367" s="217"/>
      <c r="J367" s="222"/>
      <c r="K367" s="217"/>
      <c r="L367" s="217"/>
      <c r="M367" s="217"/>
    </row>
    <row r="368" spans="1:14" ht="13.5" thickBot="1">
      <c r="A368" s="31"/>
      <c r="B368" s="31"/>
      <c r="C368" s="254"/>
      <c r="D368" s="123"/>
      <c r="E368" s="255"/>
      <c r="F368" s="180"/>
      <c r="G368" s="31"/>
      <c r="H368" s="254"/>
      <c r="I368" s="123"/>
      <c r="J368" s="256"/>
      <c r="K368" s="180"/>
      <c r="L368" s="180"/>
      <c r="M368" s="180"/>
      <c r="N368" s="230"/>
    </row>
    <row r="369" spans="1:14" ht="60">
      <c r="A369" s="169" t="s">
        <v>19</v>
      </c>
      <c r="B369" s="170"/>
      <c r="C369" s="577"/>
      <c r="D369" s="571" t="s">
        <v>85</v>
      </c>
      <c r="E369" s="573" t="s">
        <v>86</v>
      </c>
      <c r="F369" s="575" t="s">
        <v>199</v>
      </c>
      <c r="G369" s="167"/>
      <c r="H369" s="171"/>
      <c r="I369" s="571" t="s">
        <v>85</v>
      </c>
      <c r="J369" s="573" t="s">
        <v>86</v>
      </c>
      <c r="K369" s="575" t="s">
        <v>199</v>
      </c>
      <c r="L369" s="170"/>
      <c r="M369" s="588" t="s">
        <v>198</v>
      </c>
      <c r="N369" s="590" t="s">
        <v>78</v>
      </c>
    </row>
    <row r="370" spans="1:14" ht="13.5" thickBot="1">
      <c r="A370" s="12" t="s">
        <v>11</v>
      </c>
      <c r="B370" s="31"/>
      <c r="C370" s="578"/>
      <c r="D370" s="572"/>
      <c r="E370" s="574"/>
      <c r="F370" s="576"/>
      <c r="G370" s="168"/>
      <c r="H370" s="31"/>
      <c r="I370" s="572"/>
      <c r="J370" s="574"/>
      <c r="K370" s="576"/>
      <c r="L370" s="32"/>
      <c r="M370" s="589"/>
      <c r="N370" s="591"/>
    </row>
    <row r="371" spans="1:14" ht="26.25" thickBot="1">
      <c r="A371" s="234">
        <v>4000</v>
      </c>
      <c r="B371" s="31"/>
      <c r="C371" s="174" t="s">
        <v>23</v>
      </c>
      <c r="D371" s="175" t="s">
        <v>79</v>
      </c>
      <c r="E371" s="176" t="s">
        <v>79</v>
      </c>
      <c r="F371" s="177">
        <f>'12. Current Rates'!$D$56</f>
        <v>0</v>
      </c>
      <c r="G371" s="168"/>
      <c r="H371" s="178" t="s">
        <v>23</v>
      </c>
      <c r="I371" s="175" t="str">
        <f>D371</f>
        <v>N/A</v>
      </c>
      <c r="J371" s="175" t="s">
        <v>79</v>
      </c>
      <c r="K371" s="235" t="e">
        <f>'11. 2005 Final Rate Schedule '!#REF!</f>
        <v>#REF!</v>
      </c>
      <c r="L371" s="180"/>
      <c r="M371" s="593"/>
      <c r="N371" s="594"/>
    </row>
    <row r="372" spans="1:14" ht="13.5" thickBot="1">
      <c r="A372" s="12" t="s">
        <v>12</v>
      </c>
      <c r="B372" s="31"/>
      <c r="C372" s="181" t="s">
        <v>87</v>
      </c>
      <c r="D372" s="236">
        <f>A371</f>
        <v>4000</v>
      </c>
      <c r="E372" s="183">
        <f>'12. Current Rates'!$D$54</f>
        <v>0</v>
      </c>
      <c r="F372" s="184">
        <f>D372*E372</f>
        <v>0</v>
      </c>
      <c r="G372" s="168"/>
      <c r="H372" s="185" t="s">
        <v>87</v>
      </c>
      <c r="I372" s="186">
        <f>D372</f>
        <v>4000</v>
      </c>
      <c r="J372" s="385" t="e">
        <f>'11. 2005 Final Rate Schedule '!#REF!</f>
        <v>#REF!</v>
      </c>
      <c r="K372" s="238" t="e">
        <f>I372*J372</f>
        <v>#REF!</v>
      </c>
      <c r="L372" s="180"/>
      <c r="M372" s="595"/>
      <c r="N372" s="596"/>
    </row>
    <row r="373" spans="1:14" ht="13.5" thickBot="1">
      <c r="A373" s="234">
        <v>1800000</v>
      </c>
      <c r="B373" s="31"/>
      <c r="C373" s="599"/>
      <c r="D373" s="600"/>
      <c r="E373" s="188" t="s">
        <v>50</v>
      </c>
      <c r="F373" s="189">
        <f>SUM(F371:F372)</f>
        <v>0</v>
      </c>
      <c r="G373" s="168"/>
      <c r="H373" s="581"/>
      <c r="I373" s="582"/>
      <c r="J373" s="188" t="s">
        <v>81</v>
      </c>
      <c r="K373" s="190" t="e">
        <f>SUM(K371:K372)</f>
        <v>#REF!</v>
      </c>
      <c r="L373" s="180"/>
      <c r="M373" s="191" t="e">
        <f>K373-F373</f>
        <v>#REF!</v>
      </c>
      <c r="N373" s="192" t="e">
        <f>M373/F373</f>
        <v>#REF!</v>
      </c>
    </row>
    <row r="374" spans="1:14" ht="25.5">
      <c r="A374" s="86"/>
      <c r="B374" s="31"/>
      <c r="C374" s="181" t="s">
        <v>88</v>
      </c>
      <c r="D374" s="236">
        <f>A371</f>
        <v>4000</v>
      </c>
      <c r="E374" s="193">
        <v>4.2138</v>
      </c>
      <c r="F374" s="194">
        <f>D374*E374</f>
        <v>16855.2</v>
      </c>
      <c r="G374" s="168"/>
      <c r="H374" s="185" t="s">
        <v>82</v>
      </c>
      <c r="I374" s="262">
        <f>D374</f>
        <v>4000</v>
      </c>
      <c r="J374" s="239">
        <f aca="true" t="shared" si="17" ref="J374:K376">E374</f>
        <v>4.2138</v>
      </c>
      <c r="K374" s="240">
        <f t="shared" si="17"/>
        <v>16855.2</v>
      </c>
      <c r="L374" s="180"/>
      <c r="M374" s="241"/>
      <c r="N374" s="260"/>
    </row>
    <row r="375" spans="1:14" ht="25.5">
      <c r="A375" s="86"/>
      <c r="B375" s="31"/>
      <c r="C375" s="181" t="s">
        <v>82</v>
      </c>
      <c r="D375" s="236">
        <f>A373</f>
        <v>1800000</v>
      </c>
      <c r="E375" s="193">
        <v>0.0132</v>
      </c>
      <c r="F375" s="194">
        <f>D375*E375</f>
        <v>23760</v>
      </c>
      <c r="G375" s="168"/>
      <c r="H375" s="185" t="s">
        <v>82</v>
      </c>
      <c r="I375" s="236">
        <f>D375</f>
        <v>1800000</v>
      </c>
      <c r="J375" s="239">
        <f t="shared" si="17"/>
        <v>0.0132</v>
      </c>
      <c r="K375" s="240">
        <f t="shared" si="17"/>
        <v>23760</v>
      </c>
      <c r="L375" s="180"/>
      <c r="M375" s="597"/>
      <c r="N375" s="598"/>
    </row>
    <row r="376" spans="1:14" ht="26.25" thickBot="1">
      <c r="A376" s="86"/>
      <c r="B376" s="31"/>
      <c r="C376" s="197" t="s">
        <v>83</v>
      </c>
      <c r="D376" s="236">
        <f>A373</f>
        <v>1800000</v>
      </c>
      <c r="E376" s="198">
        <v>0.055</v>
      </c>
      <c r="F376" s="184">
        <f>D376*E376</f>
        <v>99000</v>
      </c>
      <c r="G376" s="168"/>
      <c r="H376" s="199" t="s">
        <v>83</v>
      </c>
      <c r="I376" s="242">
        <f>D376</f>
        <v>1800000</v>
      </c>
      <c r="J376" s="243">
        <f t="shared" si="17"/>
        <v>0.055</v>
      </c>
      <c r="K376" s="244">
        <f t="shared" si="17"/>
        <v>99000</v>
      </c>
      <c r="L376" s="180"/>
      <c r="M376" s="597"/>
      <c r="N376" s="598"/>
    </row>
    <row r="377" spans="1:14" ht="8.25" customHeight="1" thickBot="1">
      <c r="A377" s="86"/>
      <c r="B377" s="31"/>
      <c r="C377" s="583"/>
      <c r="D377" s="584"/>
      <c r="E377" s="584"/>
      <c r="F377" s="584"/>
      <c r="G377" s="168"/>
      <c r="H377" s="584"/>
      <c r="I377" s="584"/>
      <c r="J377" s="584"/>
      <c r="K377" s="585"/>
      <c r="L377" s="31"/>
      <c r="M377" s="86"/>
      <c r="N377" s="203"/>
    </row>
    <row r="378" spans="1:14" ht="13.5" thickBot="1">
      <c r="A378" s="94"/>
      <c r="B378" s="149"/>
      <c r="C378" s="204" t="s">
        <v>218</v>
      </c>
      <c r="D378" s="205"/>
      <c r="E378" s="205"/>
      <c r="F378" s="206">
        <f>SUM(F374:F376)+F373</f>
        <v>139615.2</v>
      </c>
      <c r="G378" s="207"/>
      <c r="H378" s="592" t="s">
        <v>219</v>
      </c>
      <c r="I378" s="592"/>
      <c r="J378" s="592"/>
      <c r="K378" s="190" t="e">
        <f>SUM(K374:K376)+K373</f>
        <v>#REF!</v>
      </c>
      <c r="L378" s="208"/>
      <c r="M378" s="191" t="e">
        <f>K378-F378</f>
        <v>#REF!</v>
      </c>
      <c r="N378" s="386" t="e">
        <f>M378/F378</f>
        <v>#REF!</v>
      </c>
    </row>
    <row r="379" spans="1:14" ht="12.75">
      <c r="A379" s="31"/>
      <c r="B379" s="31"/>
      <c r="C379" s="254"/>
      <c r="D379" s="123"/>
      <c r="E379" s="255"/>
      <c r="F379" s="180"/>
      <c r="G379" s="31"/>
      <c r="H379" s="254"/>
      <c r="I379" s="123"/>
      <c r="J379" s="256"/>
      <c r="K379" s="180"/>
      <c r="L379" s="180"/>
      <c r="M379" s="180"/>
      <c r="N379" s="230"/>
    </row>
    <row r="380" spans="1:14" ht="12.75">
      <c r="A380" s="31"/>
      <c r="B380" s="31"/>
      <c r="C380" s="254"/>
      <c r="D380" s="123"/>
      <c r="E380" s="255"/>
      <c r="F380" s="180"/>
      <c r="G380" s="31"/>
      <c r="H380" s="254"/>
      <c r="I380" s="123"/>
      <c r="J380" s="256"/>
      <c r="K380" s="180"/>
      <c r="L380" s="180"/>
      <c r="M380" s="180"/>
      <c r="N380" s="230"/>
    </row>
    <row r="381" ht="23.25">
      <c r="A381" s="221" t="s">
        <v>89</v>
      </c>
    </row>
    <row r="382" ht="15.75">
      <c r="A382" s="131"/>
    </row>
    <row r="383" spans="1:14" s="144" customFormat="1" ht="14.25">
      <c r="A383" s="141" t="s">
        <v>158</v>
      </c>
      <c r="N383" s="227"/>
    </row>
    <row r="384" spans="1:14" s="144" customFormat="1" ht="14.25">
      <c r="A384" s="141" t="s">
        <v>49</v>
      </c>
      <c r="N384" s="227"/>
    </row>
    <row r="385" spans="1:14" s="144" customFormat="1" ht="14.25">
      <c r="A385" s="141" t="s">
        <v>160</v>
      </c>
      <c r="N385" s="227"/>
    </row>
    <row r="386" spans="1:14" s="144" customFormat="1" ht="14.25">
      <c r="A386" s="141" t="s">
        <v>159</v>
      </c>
      <c r="N386" s="227"/>
    </row>
    <row r="387" spans="6:14" s="31" customFormat="1" ht="12.75">
      <c r="F387" s="180"/>
      <c r="J387" s="257"/>
      <c r="K387" s="180"/>
      <c r="L387" s="180"/>
      <c r="M387" s="180"/>
      <c r="N387" s="230"/>
    </row>
    <row r="388" spans="3:14" s="31" customFormat="1" ht="15.75" thickBot="1">
      <c r="C388" s="258"/>
      <c r="H388" s="258"/>
      <c r="K388" s="259"/>
      <c r="N388" s="230"/>
    </row>
    <row r="389" spans="1:15" ht="14.25" customHeight="1">
      <c r="A389" s="11"/>
      <c r="C389" s="565" t="s">
        <v>94</v>
      </c>
      <c r="D389" s="566"/>
      <c r="E389" s="566"/>
      <c r="F389" s="567"/>
      <c r="G389" s="167"/>
      <c r="H389" s="565" t="s">
        <v>95</v>
      </c>
      <c r="I389" s="566"/>
      <c r="J389" s="566"/>
      <c r="K389" s="566"/>
      <c r="L389" s="566"/>
      <c r="M389" s="566"/>
      <c r="N389" s="567"/>
      <c r="O389" s="31"/>
    </row>
    <row r="390" spans="1:14" ht="13.5" customHeight="1" thickBot="1">
      <c r="A390"/>
      <c r="C390" s="568"/>
      <c r="D390" s="569"/>
      <c r="E390" s="569"/>
      <c r="F390" s="570"/>
      <c r="G390" s="168"/>
      <c r="H390" s="568"/>
      <c r="I390" s="569"/>
      <c r="J390" s="569"/>
      <c r="K390" s="569"/>
      <c r="L390" s="569"/>
      <c r="M390" s="569"/>
      <c r="N390" s="570"/>
    </row>
    <row r="391" spans="1:14" ht="60">
      <c r="A391" s="169" t="s">
        <v>19</v>
      </c>
      <c r="B391" s="170"/>
      <c r="C391" s="577"/>
      <c r="D391" s="571" t="s">
        <v>85</v>
      </c>
      <c r="E391" s="573" t="s">
        <v>86</v>
      </c>
      <c r="F391" s="575" t="s">
        <v>199</v>
      </c>
      <c r="G391" s="167"/>
      <c r="H391" s="171"/>
      <c r="I391" s="571" t="s">
        <v>85</v>
      </c>
      <c r="J391" s="573" t="s">
        <v>86</v>
      </c>
      <c r="K391" s="575" t="s">
        <v>199</v>
      </c>
      <c r="L391" s="170"/>
      <c r="M391" s="588" t="s">
        <v>198</v>
      </c>
      <c r="N391" s="590" t="s">
        <v>78</v>
      </c>
    </row>
    <row r="392" spans="1:14" ht="13.5" thickBot="1">
      <c r="A392" s="12" t="s">
        <v>11</v>
      </c>
      <c r="B392" s="31"/>
      <c r="C392" s="578"/>
      <c r="D392" s="572"/>
      <c r="E392" s="574"/>
      <c r="F392" s="576"/>
      <c r="G392" s="168"/>
      <c r="H392" s="31"/>
      <c r="I392" s="572"/>
      <c r="J392" s="574"/>
      <c r="K392" s="576"/>
      <c r="L392" s="32"/>
      <c r="M392" s="589"/>
      <c r="N392" s="591"/>
    </row>
    <row r="393" spans="1:14" ht="26.25" thickBot="1">
      <c r="A393" s="234">
        <v>6000</v>
      </c>
      <c r="B393" s="31"/>
      <c r="C393" s="174" t="s">
        <v>23</v>
      </c>
      <c r="D393" s="175" t="s">
        <v>79</v>
      </c>
      <c r="E393" s="176" t="s">
        <v>79</v>
      </c>
      <c r="F393" s="177">
        <f>'12. Current Rates'!$D$63</f>
        <v>0</v>
      </c>
      <c r="G393" s="168"/>
      <c r="H393" s="178" t="s">
        <v>23</v>
      </c>
      <c r="I393" s="175" t="str">
        <f>D393</f>
        <v>N/A</v>
      </c>
      <c r="J393" s="175" t="s">
        <v>79</v>
      </c>
      <c r="K393" s="235" t="e">
        <f>'11. 2005 Final Rate Schedule '!#REF!</f>
        <v>#REF!</v>
      </c>
      <c r="L393" s="180"/>
      <c r="M393" s="593"/>
      <c r="N393" s="594"/>
    </row>
    <row r="394" spans="1:14" ht="13.5" thickBot="1">
      <c r="A394" s="12" t="s">
        <v>12</v>
      </c>
      <c r="B394" s="31"/>
      <c r="C394" s="181" t="s">
        <v>87</v>
      </c>
      <c r="D394" s="236">
        <f>A393</f>
        <v>6000</v>
      </c>
      <c r="E394" s="183">
        <f>'12. Current Rates'!$D$61</f>
        <v>0</v>
      </c>
      <c r="F394" s="184">
        <f>D394*E394</f>
        <v>0</v>
      </c>
      <c r="G394" s="168"/>
      <c r="H394" s="185" t="s">
        <v>87</v>
      </c>
      <c r="I394" s="186">
        <f>D394</f>
        <v>6000</v>
      </c>
      <c r="J394" s="250" t="e">
        <f>'11. 2005 Final Rate Schedule '!#REF!</f>
        <v>#REF!</v>
      </c>
      <c r="K394" s="238">
        <f>IF(ISERROR(I394*J394),0,I394*J394)</f>
        <v>0</v>
      </c>
      <c r="L394" s="180"/>
      <c r="M394" s="595"/>
      <c r="N394" s="596"/>
    </row>
    <row r="395" spans="1:14" ht="13.5" thickBot="1">
      <c r="A395" s="234">
        <v>2800000</v>
      </c>
      <c r="B395" s="31"/>
      <c r="C395" s="599"/>
      <c r="D395" s="600"/>
      <c r="E395" s="188" t="s">
        <v>50</v>
      </c>
      <c r="F395" s="189">
        <f>SUM(F393:F394)</f>
        <v>0</v>
      </c>
      <c r="G395" s="168"/>
      <c r="H395" s="581"/>
      <c r="I395" s="582"/>
      <c r="J395" s="188" t="s">
        <v>81</v>
      </c>
      <c r="K395" s="190" t="e">
        <f>SUM(K393:K394)</f>
        <v>#REF!</v>
      </c>
      <c r="L395" s="180"/>
      <c r="M395" s="191" t="e">
        <f>K395-F395</f>
        <v>#REF!</v>
      </c>
      <c r="N395" s="192" t="e">
        <f>M395/F395</f>
        <v>#REF!</v>
      </c>
    </row>
    <row r="396" spans="1:14" ht="25.5">
      <c r="A396" s="86"/>
      <c r="B396" s="31"/>
      <c r="C396" s="181" t="s">
        <v>88</v>
      </c>
      <c r="D396" s="236">
        <f>A393</f>
        <v>6000</v>
      </c>
      <c r="E396" s="193">
        <v>0.047369</v>
      </c>
      <c r="F396" s="194">
        <f>D396*E396</f>
        <v>284.214</v>
      </c>
      <c r="G396" s="168"/>
      <c r="H396" s="185" t="s">
        <v>82</v>
      </c>
      <c r="I396" s="262">
        <f>D396</f>
        <v>6000</v>
      </c>
      <c r="J396" s="239">
        <f aca="true" t="shared" si="18" ref="J396:K398">E396</f>
        <v>0.047369</v>
      </c>
      <c r="K396" s="240">
        <f t="shared" si="18"/>
        <v>284.214</v>
      </c>
      <c r="L396" s="180"/>
      <c r="M396" s="241"/>
      <c r="N396" s="260"/>
    </row>
    <row r="397" spans="1:14" ht="25.5">
      <c r="A397" s="86"/>
      <c r="B397" s="31"/>
      <c r="C397" s="181" t="s">
        <v>82</v>
      </c>
      <c r="D397" s="236">
        <f>A395</f>
        <v>2800000</v>
      </c>
      <c r="E397" s="193">
        <v>0.0132</v>
      </c>
      <c r="F397" s="194">
        <f>D397*E397</f>
        <v>36960</v>
      </c>
      <c r="G397" s="168"/>
      <c r="H397" s="185" t="s">
        <v>82</v>
      </c>
      <c r="I397" s="236">
        <f>D397</f>
        <v>2800000</v>
      </c>
      <c r="J397" s="239">
        <f t="shared" si="18"/>
        <v>0.0132</v>
      </c>
      <c r="K397" s="240">
        <f t="shared" si="18"/>
        <v>36960</v>
      </c>
      <c r="L397" s="180"/>
      <c r="M397" s="597"/>
      <c r="N397" s="598"/>
    </row>
    <row r="398" spans="1:14" ht="26.25" thickBot="1">
      <c r="A398" s="86"/>
      <c r="B398" s="31"/>
      <c r="C398" s="197" t="s">
        <v>83</v>
      </c>
      <c r="D398" s="236">
        <f>A395</f>
        <v>2800000</v>
      </c>
      <c r="E398" s="198">
        <v>0.055</v>
      </c>
      <c r="F398" s="184">
        <f>D398*E398</f>
        <v>154000</v>
      </c>
      <c r="G398" s="168"/>
      <c r="H398" s="199" t="s">
        <v>83</v>
      </c>
      <c r="I398" s="242">
        <f>D398</f>
        <v>2800000</v>
      </c>
      <c r="J398" s="243">
        <f t="shared" si="18"/>
        <v>0.055</v>
      </c>
      <c r="K398" s="244">
        <f t="shared" si="18"/>
        <v>154000</v>
      </c>
      <c r="L398" s="180"/>
      <c r="M398" s="597"/>
      <c r="N398" s="598"/>
    </row>
    <row r="399" spans="1:14" ht="8.25" customHeight="1" thickBot="1">
      <c r="A399" s="86"/>
      <c r="B399" s="31"/>
      <c r="C399" s="583"/>
      <c r="D399" s="584"/>
      <c r="E399" s="584"/>
      <c r="F399" s="584"/>
      <c r="G399" s="168"/>
      <c r="H399" s="584"/>
      <c r="I399" s="584"/>
      <c r="J399" s="584"/>
      <c r="K399" s="585"/>
      <c r="L399" s="31"/>
      <c r="M399" s="94"/>
      <c r="N399" s="261"/>
    </row>
    <row r="400" spans="1:14" ht="13.5" thickBot="1">
      <c r="A400" s="94"/>
      <c r="B400" s="149"/>
      <c r="C400" s="204" t="s">
        <v>218</v>
      </c>
      <c r="D400" s="205"/>
      <c r="E400" s="205"/>
      <c r="F400" s="206">
        <f>SUM(F396:F398)+F395</f>
        <v>191244.214</v>
      </c>
      <c r="G400" s="207"/>
      <c r="H400" s="592" t="s">
        <v>219</v>
      </c>
      <c r="I400" s="592"/>
      <c r="J400" s="592"/>
      <c r="K400" s="190" t="e">
        <f>SUM(K396:K398)+K395</f>
        <v>#REF!</v>
      </c>
      <c r="L400" s="208"/>
      <c r="M400" s="191" t="e">
        <f>K400-F400</f>
        <v>#REF!</v>
      </c>
      <c r="N400" s="192" t="e">
        <f>M400/F400</f>
        <v>#REF!</v>
      </c>
    </row>
    <row r="401" spans="6:14" ht="12.75">
      <c r="F401" s="180"/>
      <c r="K401" s="180"/>
      <c r="L401" s="217"/>
      <c r="M401" s="217"/>
      <c r="N401" s="230"/>
    </row>
    <row r="402" spans="1:14" ht="13.5" thickBot="1">
      <c r="A402" s="149"/>
      <c r="B402" s="149"/>
      <c r="C402" s="251"/>
      <c r="D402" s="149"/>
      <c r="E402" s="252"/>
      <c r="F402" s="208"/>
      <c r="G402" s="149"/>
      <c r="H402" s="251"/>
      <c r="I402" s="149"/>
      <c r="J402" s="253"/>
      <c r="K402" s="208"/>
      <c r="L402" s="208"/>
      <c r="M402" s="208"/>
      <c r="N402" s="232"/>
    </row>
    <row r="403" spans="1:14" ht="60">
      <c r="A403" s="169" t="s">
        <v>19</v>
      </c>
      <c r="B403" s="170"/>
      <c r="C403" s="577"/>
      <c r="D403" s="571" t="s">
        <v>85</v>
      </c>
      <c r="E403" s="573" t="s">
        <v>86</v>
      </c>
      <c r="F403" s="575" t="s">
        <v>199</v>
      </c>
      <c r="G403" s="167"/>
      <c r="H403" s="171"/>
      <c r="I403" s="571" t="s">
        <v>85</v>
      </c>
      <c r="J403" s="573" t="s">
        <v>86</v>
      </c>
      <c r="K403" s="575" t="s">
        <v>199</v>
      </c>
      <c r="L403" s="170"/>
      <c r="M403" s="588" t="s">
        <v>198</v>
      </c>
      <c r="N403" s="590" t="s">
        <v>78</v>
      </c>
    </row>
    <row r="404" spans="1:14" ht="13.5" thickBot="1">
      <c r="A404" s="12" t="s">
        <v>11</v>
      </c>
      <c r="B404" s="31"/>
      <c r="C404" s="578"/>
      <c r="D404" s="572"/>
      <c r="E404" s="574"/>
      <c r="F404" s="576"/>
      <c r="G404" s="168"/>
      <c r="H404" s="31"/>
      <c r="I404" s="572"/>
      <c r="J404" s="574"/>
      <c r="K404" s="576"/>
      <c r="L404" s="32"/>
      <c r="M404" s="589"/>
      <c r="N404" s="591"/>
    </row>
    <row r="405" spans="1:14" ht="26.25" thickBot="1">
      <c r="A405" s="234">
        <v>15000</v>
      </c>
      <c r="B405" s="31"/>
      <c r="C405" s="174" t="s">
        <v>23</v>
      </c>
      <c r="D405" s="175" t="s">
        <v>79</v>
      </c>
      <c r="E405" s="176" t="s">
        <v>79</v>
      </c>
      <c r="F405" s="177">
        <f>'12. Current Rates'!$D$63</f>
        <v>0</v>
      </c>
      <c r="G405" s="168"/>
      <c r="H405" s="178" t="s">
        <v>23</v>
      </c>
      <c r="I405" s="175" t="str">
        <f>D405</f>
        <v>N/A</v>
      </c>
      <c r="J405" s="175" t="s">
        <v>79</v>
      </c>
      <c r="K405" s="235" t="e">
        <f>'11. 2005 Final Rate Schedule '!#REF!</f>
        <v>#REF!</v>
      </c>
      <c r="L405" s="180"/>
      <c r="M405" s="593"/>
      <c r="N405" s="594"/>
    </row>
    <row r="406" spans="1:14" ht="13.5" thickBot="1">
      <c r="A406" s="12" t="s">
        <v>12</v>
      </c>
      <c r="B406" s="31"/>
      <c r="C406" s="181" t="s">
        <v>87</v>
      </c>
      <c r="D406" s="236">
        <f>A405</f>
        <v>15000</v>
      </c>
      <c r="E406" s="183">
        <f>'12. Current Rates'!$D$61</f>
        <v>0</v>
      </c>
      <c r="F406" s="184">
        <f>D406*E406</f>
        <v>0</v>
      </c>
      <c r="G406" s="168"/>
      <c r="H406" s="185" t="s">
        <v>87</v>
      </c>
      <c r="I406" s="186">
        <f>D406</f>
        <v>15000</v>
      </c>
      <c r="J406" s="250" t="e">
        <f>'11. 2005 Final Rate Schedule '!#REF!</f>
        <v>#REF!</v>
      </c>
      <c r="K406" s="238">
        <f>IF(ISERROR(I406*J406),0,I406*J406)</f>
        <v>0</v>
      </c>
      <c r="L406" s="180"/>
      <c r="M406" s="595"/>
      <c r="N406" s="596"/>
    </row>
    <row r="407" spans="1:14" ht="13.5" thickBot="1">
      <c r="A407" s="234">
        <v>10000000</v>
      </c>
      <c r="B407" s="31"/>
      <c r="C407" s="599"/>
      <c r="D407" s="600"/>
      <c r="E407" s="188" t="s">
        <v>50</v>
      </c>
      <c r="F407" s="189">
        <f>SUM(F405:F406)</f>
        <v>0</v>
      </c>
      <c r="G407" s="168"/>
      <c r="H407" s="581"/>
      <c r="I407" s="582"/>
      <c r="J407" s="188" t="s">
        <v>81</v>
      </c>
      <c r="K407" s="190" t="e">
        <f>SUM(K405:K406)</f>
        <v>#REF!</v>
      </c>
      <c r="L407" s="180"/>
      <c r="M407" s="191" t="e">
        <f>K407-F407</f>
        <v>#REF!</v>
      </c>
      <c r="N407" s="192" t="e">
        <f>M407/F407</f>
        <v>#REF!</v>
      </c>
    </row>
    <row r="408" spans="1:14" ht="25.5">
      <c r="A408" s="86"/>
      <c r="B408" s="31"/>
      <c r="C408" s="181" t="s">
        <v>88</v>
      </c>
      <c r="D408" s="236">
        <f>A405</f>
        <v>15000</v>
      </c>
      <c r="E408" s="193">
        <v>0.047369</v>
      </c>
      <c r="F408" s="194">
        <f>D408*E408</f>
        <v>710.535</v>
      </c>
      <c r="G408" s="168"/>
      <c r="H408" s="185" t="s">
        <v>82</v>
      </c>
      <c r="I408" s="262">
        <f>D408</f>
        <v>15000</v>
      </c>
      <c r="J408" s="239">
        <f aca="true" t="shared" si="19" ref="J408:K410">E408</f>
        <v>0.047369</v>
      </c>
      <c r="K408" s="240">
        <f t="shared" si="19"/>
        <v>710.535</v>
      </c>
      <c r="L408" s="180"/>
      <c r="M408" s="241"/>
      <c r="N408" s="260"/>
    </row>
    <row r="409" spans="1:14" ht="25.5">
      <c r="A409" s="86"/>
      <c r="B409" s="31"/>
      <c r="C409" s="181" t="s">
        <v>82</v>
      </c>
      <c r="D409" s="236">
        <f>A407</f>
        <v>10000000</v>
      </c>
      <c r="E409" s="193">
        <v>0.0132</v>
      </c>
      <c r="F409" s="194">
        <f>D409*E409</f>
        <v>132000</v>
      </c>
      <c r="G409" s="168"/>
      <c r="H409" s="185" t="s">
        <v>82</v>
      </c>
      <c r="I409" s="236">
        <f>D409</f>
        <v>10000000</v>
      </c>
      <c r="J409" s="239">
        <f t="shared" si="19"/>
        <v>0.0132</v>
      </c>
      <c r="K409" s="240">
        <f t="shared" si="19"/>
        <v>132000</v>
      </c>
      <c r="L409" s="180"/>
      <c r="M409" s="597"/>
      <c r="N409" s="598"/>
    </row>
    <row r="410" spans="1:14" ht="26.25" thickBot="1">
      <c r="A410" s="86"/>
      <c r="B410" s="31"/>
      <c r="C410" s="197" t="s">
        <v>83</v>
      </c>
      <c r="D410" s="236">
        <f>A407</f>
        <v>10000000</v>
      </c>
      <c r="E410" s="198">
        <v>0.055</v>
      </c>
      <c r="F410" s="184">
        <f>D410*E410</f>
        <v>550000</v>
      </c>
      <c r="G410" s="168"/>
      <c r="H410" s="199" t="s">
        <v>83</v>
      </c>
      <c r="I410" s="242">
        <f>D410</f>
        <v>10000000</v>
      </c>
      <c r="J410" s="243">
        <f t="shared" si="19"/>
        <v>0.055</v>
      </c>
      <c r="K410" s="244">
        <f t="shared" si="19"/>
        <v>550000</v>
      </c>
      <c r="L410" s="180"/>
      <c r="M410" s="597"/>
      <c r="N410" s="598"/>
    </row>
    <row r="411" spans="1:14" ht="8.25" customHeight="1" thickBot="1">
      <c r="A411" s="86"/>
      <c r="B411" s="31"/>
      <c r="C411" s="583"/>
      <c r="D411" s="584"/>
      <c r="E411" s="584"/>
      <c r="F411" s="584"/>
      <c r="G411" s="168"/>
      <c r="H411" s="584"/>
      <c r="I411" s="584"/>
      <c r="J411" s="584"/>
      <c r="K411" s="585"/>
      <c r="L411" s="31"/>
      <c r="M411" s="94"/>
      <c r="N411" s="261"/>
    </row>
    <row r="412" spans="1:14" ht="13.5" thickBot="1">
      <c r="A412" s="94"/>
      <c r="B412" s="149"/>
      <c r="C412" s="204" t="s">
        <v>218</v>
      </c>
      <c r="D412" s="205"/>
      <c r="E412" s="205"/>
      <c r="F412" s="206">
        <f>SUM(F408:F410)+F407</f>
        <v>682710.535</v>
      </c>
      <c r="G412" s="207"/>
      <c r="H412" s="592" t="s">
        <v>219</v>
      </c>
      <c r="I412" s="592"/>
      <c r="J412" s="592"/>
      <c r="K412" s="190" t="e">
        <f>SUM(K408:K410)+K407</f>
        <v>#REF!</v>
      </c>
      <c r="L412" s="208"/>
      <c r="M412" s="191" t="e">
        <f>K412-F412</f>
        <v>#REF!</v>
      </c>
      <c r="N412" s="192" t="e">
        <f>M412/F412</f>
        <v>#REF!</v>
      </c>
    </row>
    <row r="413" spans="6:13" ht="12.75">
      <c r="F413" s="217"/>
      <c r="J413" s="222"/>
      <c r="K413" s="217"/>
      <c r="L413" s="217"/>
      <c r="M413" s="217"/>
    </row>
    <row r="414" spans="3:13" ht="12.75">
      <c r="C414" s="53"/>
      <c r="E414" s="222"/>
      <c r="F414" s="217"/>
      <c r="H414" s="53"/>
      <c r="J414" s="222"/>
      <c r="K414" s="217"/>
      <c r="L414" s="217"/>
      <c r="M414" s="217"/>
    </row>
  </sheetData>
  <mergeCells count="508">
    <mergeCell ref="M181:N183"/>
    <mergeCell ref="C184:F184"/>
    <mergeCell ref="H184:K184"/>
    <mergeCell ref="H185:J185"/>
    <mergeCell ref="M178:N179"/>
    <mergeCell ref="C180:D180"/>
    <mergeCell ref="H180:I180"/>
    <mergeCell ref="I176:I177"/>
    <mergeCell ref="J176:J177"/>
    <mergeCell ref="K176:K177"/>
    <mergeCell ref="M176:M177"/>
    <mergeCell ref="C176:C177"/>
    <mergeCell ref="D176:D177"/>
    <mergeCell ref="E176:E177"/>
    <mergeCell ref="F176:F177"/>
    <mergeCell ref="M169:N171"/>
    <mergeCell ref="C172:F172"/>
    <mergeCell ref="H172:K172"/>
    <mergeCell ref="H173:J173"/>
    <mergeCell ref="N176:N177"/>
    <mergeCell ref="M166:N167"/>
    <mergeCell ref="C168:D168"/>
    <mergeCell ref="H168:I168"/>
    <mergeCell ref="I164:I165"/>
    <mergeCell ref="J164:J165"/>
    <mergeCell ref="K164:K165"/>
    <mergeCell ref="M164:M165"/>
    <mergeCell ref="C164:C165"/>
    <mergeCell ref="D164:D165"/>
    <mergeCell ref="E164:E165"/>
    <mergeCell ref="F164:F165"/>
    <mergeCell ref="M157:N159"/>
    <mergeCell ref="C160:F160"/>
    <mergeCell ref="H160:K160"/>
    <mergeCell ref="H161:J161"/>
    <mergeCell ref="N164:N165"/>
    <mergeCell ref="M154:N155"/>
    <mergeCell ref="C156:D156"/>
    <mergeCell ref="H156:I156"/>
    <mergeCell ref="I152:I153"/>
    <mergeCell ref="J152:J153"/>
    <mergeCell ref="K152:K153"/>
    <mergeCell ref="M152:M153"/>
    <mergeCell ref="C152:C153"/>
    <mergeCell ref="D152:D153"/>
    <mergeCell ref="E152:E153"/>
    <mergeCell ref="F152:F153"/>
    <mergeCell ref="M146:N147"/>
    <mergeCell ref="C148:F148"/>
    <mergeCell ref="H148:K148"/>
    <mergeCell ref="H149:J149"/>
    <mergeCell ref="N152:N153"/>
    <mergeCell ref="M143:N144"/>
    <mergeCell ref="C145:D145"/>
    <mergeCell ref="H145:I145"/>
    <mergeCell ref="I141:I142"/>
    <mergeCell ref="J141:J142"/>
    <mergeCell ref="K141:K142"/>
    <mergeCell ref="M141:M142"/>
    <mergeCell ref="C141:C142"/>
    <mergeCell ref="D141:D142"/>
    <mergeCell ref="E141:E142"/>
    <mergeCell ref="F141:F142"/>
    <mergeCell ref="M135:N136"/>
    <mergeCell ref="C137:F137"/>
    <mergeCell ref="H137:K137"/>
    <mergeCell ref="H138:J138"/>
    <mergeCell ref="N141:N142"/>
    <mergeCell ref="M132:N133"/>
    <mergeCell ref="C134:D134"/>
    <mergeCell ref="H134:I134"/>
    <mergeCell ref="I130:I131"/>
    <mergeCell ref="J130:J131"/>
    <mergeCell ref="K130:K131"/>
    <mergeCell ref="M130:M131"/>
    <mergeCell ref="C130:C131"/>
    <mergeCell ref="D130:D131"/>
    <mergeCell ref="E130:E131"/>
    <mergeCell ref="F130:F131"/>
    <mergeCell ref="M124:N125"/>
    <mergeCell ref="C126:F126"/>
    <mergeCell ref="H126:K126"/>
    <mergeCell ref="H127:J127"/>
    <mergeCell ref="N130:N131"/>
    <mergeCell ref="M121:N122"/>
    <mergeCell ref="C123:D123"/>
    <mergeCell ref="H123:I123"/>
    <mergeCell ref="I119:I120"/>
    <mergeCell ref="J119:J120"/>
    <mergeCell ref="K119:K120"/>
    <mergeCell ref="M119:M120"/>
    <mergeCell ref="C119:C120"/>
    <mergeCell ref="D119:D120"/>
    <mergeCell ref="E119:E120"/>
    <mergeCell ref="F119:F120"/>
    <mergeCell ref="M113:N114"/>
    <mergeCell ref="C115:F115"/>
    <mergeCell ref="H115:K115"/>
    <mergeCell ref="H116:J116"/>
    <mergeCell ref="N119:N120"/>
    <mergeCell ref="N108:N109"/>
    <mergeCell ref="M110:N111"/>
    <mergeCell ref="C112:D112"/>
    <mergeCell ref="H112:I112"/>
    <mergeCell ref="I108:I109"/>
    <mergeCell ref="J108:J109"/>
    <mergeCell ref="K108:K109"/>
    <mergeCell ref="M108:M109"/>
    <mergeCell ref="C108:C109"/>
    <mergeCell ref="D108:D109"/>
    <mergeCell ref="E108:E109"/>
    <mergeCell ref="F108:F109"/>
    <mergeCell ref="M409:N410"/>
    <mergeCell ref="C411:F411"/>
    <mergeCell ref="H411:K411"/>
    <mergeCell ref="I403:I404"/>
    <mergeCell ref="J403:J404"/>
    <mergeCell ref="K403:K404"/>
    <mergeCell ref="M403:M404"/>
    <mergeCell ref="C403:C404"/>
    <mergeCell ref="H412:J412"/>
    <mergeCell ref="M405:N406"/>
    <mergeCell ref="C407:D407"/>
    <mergeCell ref="H407:I407"/>
    <mergeCell ref="D403:D404"/>
    <mergeCell ref="E403:E404"/>
    <mergeCell ref="F403:F404"/>
    <mergeCell ref="M397:N398"/>
    <mergeCell ref="C399:F399"/>
    <mergeCell ref="H399:K399"/>
    <mergeCell ref="H400:J400"/>
    <mergeCell ref="N403:N404"/>
    <mergeCell ref="N391:N392"/>
    <mergeCell ref="M393:N394"/>
    <mergeCell ref="C395:D395"/>
    <mergeCell ref="H395:I395"/>
    <mergeCell ref="C389:F390"/>
    <mergeCell ref="H389:N390"/>
    <mergeCell ref="C391:C392"/>
    <mergeCell ref="D391:D392"/>
    <mergeCell ref="E391:E392"/>
    <mergeCell ref="F391:F392"/>
    <mergeCell ref="I391:I392"/>
    <mergeCell ref="J391:J392"/>
    <mergeCell ref="K391:K392"/>
    <mergeCell ref="M391:M392"/>
    <mergeCell ref="M375:N376"/>
    <mergeCell ref="C377:F377"/>
    <mergeCell ref="H377:K377"/>
    <mergeCell ref="H378:J378"/>
    <mergeCell ref="M371:N372"/>
    <mergeCell ref="C373:D373"/>
    <mergeCell ref="H373:I373"/>
    <mergeCell ref="I369:I370"/>
    <mergeCell ref="J369:J370"/>
    <mergeCell ref="K369:K370"/>
    <mergeCell ref="M369:M370"/>
    <mergeCell ref="C369:C370"/>
    <mergeCell ref="D369:D370"/>
    <mergeCell ref="E369:E370"/>
    <mergeCell ref="F369:F370"/>
    <mergeCell ref="M363:N364"/>
    <mergeCell ref="C365:F365"/>
    <mergeCell ref="H365:K365"/>
    <mergeCell ref="H366:J366"/>
    <mergeCell ref="N369:N370"/>
    <mergeCell ref="M359:N360"/>
    <mergeCell ref="C361:D361"/>
    <mergeCell ref="H361:I361"/>
    <mergeCell ref="I357:I358"/>
    <mergeCell ref="J357:J358"/>
    <mergeCell ref="K357:K358"/>
    <mergeCell ref="M357:M358"/>
    <mergeCell ref="C357:C358"/>
    <mergeCell ref="D357:D358"/>
    <mergeCell ref="E357:E358"/>
    <mergeCell ref="F357:F358"/>
    <mergeCell ref="M351:N352"/>
    <mergeCell ref="C353:F353"/>
    <mergeCell ref="H353:K353"/>
    <mergeCell ref="H354:J354"/>
    <mergeCell ref="N357:N358"/>
    <mergeCell ref="M347:N348"/>
    <mergeCell ref="C349:D349"/>
    <mergeCell ref="H349:I349"/>
    <mergeCell ref="I345:I346"/>
    <mergeCell ref="J345:J346"/>
    <mergeCell ref="K345:K346"/>
    <mergeCell ref="M345:M346"/>
    <mergeCell ref="C345:C346"/>
    <mergeCell ref="D345:D346"/>
    <mergeCell ref="E345:E346"/>
    <mergeCell ref="F345:F346"/>
    <mergeCell ref="M339:N340"/>
    <mergeCell ref="C341:F341"/>
    <mergeCell ref="H341:K341"/>
    <mergeCell ref="H342:J342"/>
    <mergeCell ref="N345:N346"/>
    <mergeCell ref="M335:N336"/>
    <mergeCell ref="C337:D337"/>
    <mergeCell ref="H337:I337"/>
    <mergeCell ref="I333:I334"/>
    <mergeCell ref="J333:J334"/>
    <mergeCell ref="K333:K334"/>
    <mergeCell ref="M333:M334"/>
    <mergeCell ref="C333:C334"/>
    <mergeCell ref="D333:D334"/>
    <mergeCell ref="E333:E334"/>
    <mergeCell ref="F333:F334"/>
    <mergeCell ref="M319:N320"/>
    <mergeCell ref="C321:F321"/>
    <mergeCell ref="H321:K321"/>
    <mergeCell ref="H322:J322"/>
    <mergeCell ref="N333:N334"/>
    <mergeCell ref="C331:F332"/>
    <mergeCell ref="H331:N332"/>
    <mergeCell ref="M315:N316"/>
    <mergeCell ref="C317:D317"/>
    <mergeCell ref="H317:I317"/>
    <mergeCell ref="I313:I314"/>
    <mergeCell ref="J313:J314"/>
    <mergeCell ref="K313:K314"/>
    <mergeCell ref="M313:M314"/>
    <mergeCell ref="C313:C314"/>
    <mergeCell ref="D313:D314"/>
    <mergeCell ref="E313:E314"/>
    <mergeCell ref="F313:F314"/>
    <mergeCell ref="M307:N308"/>
    <mergeCell ref="C309:F309"/>
    <mergeCell ref="H309:K309"/>
    <mergeCell ref="H310:J310"/>
    <mergeCell ref="N313:N314"/>
    <mergeCell ref="M303:N304"/>
    <mergeCell ref="C305:D305"/>
    <mergeCell ref="H305:I305"/>
    <mergeCell ref="I301:I302"/>
    <mergeCell ref="J301:J302"/>
    <mergeCell ref="K301:K302"/>
    <mergeCell ref="M301:M302"/>
    <mergeCell ref="C301:C302"/>
    <mergeCell ref="D301:D302"/>
    <mergeCell ref="E301:E302"/>
    <mergeCell ref="F301:F302"/>
    <mergeCell ref="M295:N296"/>
    <mergeCell ref="C297:F297"/>
    <mergeCell ref="H297:K297"/>
    <mergeCell ref="H298:J298"/>
    <mergeCell ref="N301:N302"/>
    <mergeCell ref="M291:N292"/>
    <mergeCell ref="C293:D293"/>
    <mergeCell ref="H293:I293"/>
    <mergeCell ref="I289:I290"/>
    <mergeCell ref="J289:J290"/>
    <mergeCell ref="K289:K290"/>
    <mergeCell ref="M289:M290"/>
    <mergeCell ref="C289:C290"/>
    <mergeCell ref="D289:D290"/>
    <mergeCell ref="E289:E290"/>
    <mergeCell ref="F289:F290"/>
    <mergeCell ref="M283:N284"/>
    <mergeCell ref="C285:F285"/>
    <mergeCell ref="H285:K285"/>
    <mergeCell ref="H286:J286"/>
    <mergeCell ref="N289:N290"/>
    <mergeCell ref="M277:M278"/>
    <mergeCell ref="N277:N278"/>
    <mergeCell ref="M279:N280"/>
    <mergeCell ref="C281:D281"/>
    <mergeCell ref="H281:I281"/>
    <mergeCell ref="C273:F273"/>
    <mergeCell ref="H273:K273"/>
    <mergeCell ref="H274:J274"/>
    <mergeCell ref="C277:C278"/>
    <mergeCell ref="D277:D278"/>
    <mergeCell ref="E277:E278"/>
    <mergeCell ref="F277:F278"/>
    <mergeCell ref="I277:I278"/>
    <mergeCell ref="J277:J278"/>
    <mergeCell ref="K277:K278"/>
    <mergeCell ref="M267:N268"/>
    <mergeCell ref="C269:D269"/>
    <mergeCell ref="H269:I269"/>
    <mergeCell ref="M271:N272"/>
    <mergeCell ref="H263:N264"/>
    <mergeCell ref="C265:C266"/>
    <mergeCell ref="D265:D266"/>
    <mergeCell ref="E265:E266"/>
    <mergeCell ref="F265:F266"/>
    <mergeCell ref="I265:I266"/>
    <mergeCell ref="J265:J266"/>
    <mergeCell ref="K265:K266"/>
    <mergeCell ref="M265:M266"/>
    <mergeCell ref="N265:N266"/>
    <mergeCell ref="M248:N250"/>
    <mergeCell ref="C251:F251"/>
    <mergeCell ref="H251:K251"/>
    <mergeCell ref="H252:J252"/>
    <mergeCell ref="M245:N246"/>
    <mergeCell ref="C247:D247"/>
    <mergeCell ref="H247:I247"/>
    <mergeCell ref="I243:I244"/>
    <mergeCell ref="J243:J244"/>
    <mergeCell ref="K243:K244"/>
    <mergeCell ref="M243:M244"/>
    <mergeCell ref="C243:C244"/>
    <mergeCell ref="D243:D244"/>
    <mergeCell ref="E243:E244"/>
    <mergeCell ref="F243:F244"/>
    <mergeCell ref="M236:N238"/>
    <mergeCell ref="C239:F239"/>
    <mergeCell ref="H239:K239"/>
    <mergeCell ref="H240:J240"/>
    <mergeCell ref="N243:N244"/>
    <mergeCell ref="M233:N234"/>
    <mergeCell ref="C235:D235"/>
    <mergeCell ref="H235:I235"/>
    <mergeCell ref="I231:I232"/>
    <mergeCell ref="J231:J232"/>
    <mergeCell ref="K231:K232"/>
    <mergeCell ref="M231:M232"/>
    <mergeCell ref="C231:C232"/>
    <mergeCell ref="D231:D232"/>
    <mergeCell ref="E231:E232"/>
    <mergeCell ref="F231:F232"/>
    <mergeCell ref="M224:N226"/>
    <mergeCell ref="C227:F227"/>
    <mergeCell ref="H227:K227"/>
    <mergeCell ref="H228:J228"/>
    <mergeCell ref="N231:N232"/>
    <mergeCell ref="M221:N222"/>
    <mergeCell ref="C223:D223"/>
    <mergeCell ref="H223:I223"/>
    <mergeCell ref="I219:I220"/>
    <mergeCell ref="J219:J220"/>
    <mergeCell ref="K219:K220"/>
    <mergeCell ref="M219:M220"/>
    <mergeCell ref="C219:C220"/>
    <mergeCell ref="D219:D220"/>
    <mergeCell ref="E219:E220"/>
    <mergeCell ref="F219:F220"/>
    <mergeCell ref="M212:N214"/>
    <mergeCell ref="C215:F215"/>
    <mergeCell ref="H215:K215"/>
    <mergeCell ref="H216:J216"/>
    <mergeCell ref="N219:N220"/>
    <mergeCell ref="M209:N210"/>
    <mergeCell ref="C211:D211"/>
    <mergeCell ref="H211:I211"/>
    <mergeCell ref="I207:I208"/>
    <mergeCell ref="J207:J208"/>
    <mergeCell ref="K207:K208"/>
    <mergeCell ref="M207:M208"/>
    <mergeCell ref="C207:C208"/>
    <mergeCell ref="D207:D208"/>
    <mergeCell ref="E207:E208"/>
    <mergeCell ref="F207:F208"/>
    <mergeCell ref="M201:N202"/>
    <mergeCell ref="C203:F203"/>
    <mergeCell ref="H203:K203"/>
    <mergeCell ref="H204:J204"/>
    <mergeCell ref="N207:N208"/>
    <mergeCell ref="N196:N197"/>
    <mergeCell ref="M198:N199"/>
    <mergeCell ref="C200:D200"/>
    <mergeCell ref="H200:I200"/>
    <mergeCell ref="I196:I197"/>
    <mergeCell ref="J196:J197"/>
    <mergeCell ref="K196:K197"/>
    <mergeCell ref="M196:M197"/>
    <mergeCell ref="C196:C197"/>
    <mergeCell ref="D196:D197"/>
    <mergeCell ref="H194:N195"/>
    <mergeCell ref="M94:N96"/>
    <mergeCell ref="C97:F97"/>
    <mergeCell ref="H97:K97"/>
    <mergeCell ref="H98:J98"/>
    <mergeCell ref="A100:D100"/>
    <mergeCell ref="E101:F101"/>
    <mergeCell ref="E105:F105"/>
    <mergeCell ref="C106:F107"/>
    <mergeCell ref="H106:N107"/>
    <mergeCell ref="E196:E197"/>
    <mergeCell ref="F196:F197"/>
    <mergeCell ref="A13:D13"/>
    <mergeCell ref="C194:F195"/>
    <mergeCell ref="F89:F90"/>
    <mergeCell ref="C77:C78"/>
    <mergeCell ref="D77:D78"/>
    <mergeCell ref="E77:E78"/>
    <mergeCell ref="F77:F78"/>
    <mergeCell ref="C65:C66"/>
    <mergeCell ref="M91:N92"/>
    <mergeCell ref="C93:D93"/>
    <mergeCell ref="H93:I93"/>
    <mergeCell ref="I89:I90"/>
    <mergeCell ref="J89:J90"/>
    <mergeCell ref="K89:K90"/>
    <mergeCell ref="M89:M90"/>
    <mergeCell ref="C89:C90"/>
    <mergeCell ref="D89:D90"/>
    <mergeCell ref="E89:E90"/>
    <mergeCell ref="C81:D81"/>
    <mergeCell ref="H81:I81"/>
    <mergeCell ref="M82:N84"/>
    <mergeCell ref="C85:F85"/>
    <mergeCell ref="H85:K85"/>
    <mergeCell ref="K77:K78"/>
    <mergeCell ref="N89:N90"/>
    <mergeCell ref="M79:N80"/>
    <mergeCell ref="H86:J86"/>
    <mergeCell ref="N77:N78"/>
    <mergeCell ref="M67:N68"/>
    <mergeCell ref="M77:M78"/>
    <mergeCell ref="C69:D69"/>
    <mergeCell ref="H69:I69"/>
    <mergeCell ref="M70:N72"/>
    <mergeCell ref="C73:F73"/>
    <mergeCell ref="H73:K73"/>
    <mergeCell ref="H74:J74"/>
    <mergeCell ref="I77:I78"/>
    <mergeCell ref="J77:J78"/>
    <mergeCell ref="N65:N66"/>
    <mergeCell ref="I65:I66"/>
    <mergeCell ref="J65:J66"/>
    <mergeCell ref="K65:K66"/>
    <mergeCell ref="M65:M66"/>
    <mergeCell ref="M59:N60"/>
    <mergeCell ref="C61:F61"/>
    <mergeCell ref="H61:K61"/>
    <mergeCell ref="H62:J62"/>
    <mergeCell ref="E54:E55"/>
    <mergeCell ref="D65:D66"/>
    <mergeCell ref="E65:E66"/>
    <mergeCell ref="F65:F66"/>
    <mergeCell ref="N54:N55"/>
    <mergeCell ref="M56:N57"/>
    <mergeCell ref="C58:D58"/>
    <mergeCell ref="H58:I58"/>
    <mergeCell ref="I54:I55"/>
    <mergeCell ref="J54:J55"/>
    <mergeCell ref="K54:K55"/>
    <mergeCell ref="M54:M55"/>
    <mergeCell ref="C54:C55"/>
    <mergeCell ref="D54:D55"/>
    <mergeCell ref="M48:N49"/>
    <mergeCell ref="C50:F50"/>
    <mergeCell ref="H50:K50"/>
    <mergeCell ref="H51:J51"/>
    <mergeCell ref="N43:N44"/>
    <mergeCell ref="M45:N46"/>
    <mergeCell ref="C47:D47"/>
    <mergeCell ref="H47:I47"/>
    <mergeCell ref="I43:I44"/>
    <mergeCell ref="J43:J44"/>
    <mergeCell ref="K43:K44"/>
    <mergeCell ref="M43:M44"/>
    <mergeCell ref="C43:C44"/>
    <mergeCell ref="D43:D44"/>
    <mergeCell ref="M37:N38"/>
    <mergeCell ref="C39:F39"/>
    <mergeCell ref="H39:K39"/>
    <mergeCell ref="H40:J40"/>
    <mergeCell ref="M32:M33"/>
    <mergeCell ref="N32:N33"/>
    <mergeCell ref="M34:N35"/>
    <mergeCell ref="C36:D36"/>
    <mergeCell ref="H36:I36"/>
    <mergeCell ref="H29:J29"/>
    <mergeCell ref="M23:N24"/>
    <mergeCell ref="M26:N27"/>
    <mergeCell ref="C32:C33"/>
    <mergeCell ref="D32:D33"/>
    <mergeCell ref="E32:E33"/>
    <mergeCell ref="F32:F33"/>
    <mergeCell ref="I32:I33"/>
    <mergeCell ref="J32:J33"/>
    <mergeCell ref="K32:K33"/>
    <mergeCell ref="H19:N20"/>
    <mergeCell ref="H25:I25"/>
    <mergeCell ref="C28:F28"/>
    <mergeCell ref="I21:I22"/>
    <mergeCell ref="J21:J22"/>
    <mergeCell ref="K21:K22"/>
    <mergeCell ref="M21:M22"/>
    <mergeCell ref="N21:N22"/>
    <mergeCell ref="H28:K28"/>
    <mergeCell ref="C263:F264"/>
    <mergeCell ref="C19:F20"/>
    <mergeCell ref="D21:D22"/>
    <mergeCell ref="E21:E22"/>
    <mergeCell ref="F21:F22"/>
    <mergeCell ref="C21:C22"/>
    <mergeCell ref="C25:D25"/>
    <mergeCell ref="F43:F44"/>
    <mergeCell ref="E43:E44"/>
    <mergeCell ref="F54:F55"/>
    <mergeCell ref="A9:E9"/>
    <mergeCell ref="A7:F7"/>
    <mergeCell ref="A5:E5"/>
    <mergeCell ref="E18:F18"/>
    <mergeCell ref="E14:F14"/>
    <mergeCell ref="G4:H4"/>
    <mergeCell ref="A1:N1"/>
    <mergeCell ref="E8:F8"/>
    <mergeCell ref="A8:D8"/>
    <mergeCell ref="A4:F4"/>
    <mergeCell ref="A6:F6"/>
    <mergeCell ref="E2:F2"/>
  </mergeCells>
  <printOptions/>
  <pageMargins left="0.4" right="0.17" top="0.4" bottom="0.47" header="0.24" footer="0.18"/>
  <pageSetup horizontalDpi="300" verticalDpi="300" orientation="portrait" scale="59" r:id="rId1"/>
  <headerFooter alignWithMargins="0">
    <oddFooter>&amp;L&amp;A</oddFooter>
  </headerFooter>
  <rowBreaks count="6" manualBreakCount="6">
    <brk id="53" max="13" man="1"/>
    <brk id="185" max="13" man="1"/>
    <brk id="228" max="13" man="1"/>
    <brk id="275" max="13" man="1"/>
    <brk id="310" max="13" man="1"/>
    <brk id="366" max="13" man="1"/>
  </rowBreaks>
</worksheet>
</file>

<file path=xl/worksheets/sheet2.xml><?xml version="1.0" encoding="utf-8"?>
<worksheet xmlns="http://schemas.openxmlformats.org/spreadsheetml/2006/main" xmlns:r="http://schemas.openxmlformats.org/officeDocument/2006/relationships">
  <dimension ref="A1:G94"/>
  <sheetViews>
    <sheetView workbookViewId="0" topLeftCell="A1">
      <pane ySplit="1" topLeftCell="BM2" activePane="bottomLeft" state="frozen"/>
      <selection pane="topLeft" activeCell="A1" sqref="A1"/>
      <selection pane="bottomLeft" activeCell="D16" sqref="D16"/>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118</v>
      </c>
      <c r="D1" s="10"/>
    </row>
    <row r="2" ht="13.5" thickBot="1"/>
    <row r="3" spans="1:6" ht="15.75">
      <c r="A3" s="503" t="str">
        <f>"Name of Utility:      "&amp;'Info Sheet'!B4</f>
        <v>Name of Utility:      PENINSULA WEST UTILITIES LIMITED</v>
      </c>
      <c r="B3" s="504"/>
      <c r="C3" s="504"/>
      <c r="D3" s="460" t="str">
        <f>'Info Sheet'!B21</f>
        <v>2005.V1.1</v>
      </c>
      <c r="E3" s="36"/>
      <c r="F3" s="14"/>
    </row>
    <row r="4" spans="1:6" ht="18">
      <c r="A4" s="304" t="str">
        <f>"License Number:   "&amp;'Info Sheet'!B6</f>
        <v>License Number:   ED-2002-0555</v>
      </c>
      <c r="B4" s="27"/>
      <c r="C4" s="396"/>
      <c r="D4" s="399" t="str">
        <f>'Info Sheet'!B8</f>
        <v>RP-2005-0013</v>
      </c>
      <c r="E4" s="36"/>
      <c r="F4" s="14"/>
    </row>
    <row r="5" spans="1:4" ht="15.75">
      <c r="A5" s="505" t="str">
        <f>"Name of Contact:  "&amp;'Info Sheet'!B12</f>
        <v>Name of Contact:  KAREN BUBISH</v>
      </c>
      <c r="B5" s="506"/>
      <c r="C5" s="506"/>
      <c r="D5" s="399" t="str">
        <f>'Info Sheet'!B10</f>
        <v>EB-2005-0066</v>
      </c>
    </row>
    <row r="6" spans="1:4" ht="18" customHeight="1">
      <c r="A6" s="502" t="str">
        <f>"E- Mail Address:    "&amp;'Info Sheet'!B14</f>
        <v>E- Mail Address:    karen@penwest.on.ca</v>
      </c>
      <c r="B6" s="507"/>
      <c r="C6" s="507"/>
      <c r="D6" s="100"/>
    </row>
    <row r="7" spans="1:4" ht="15.75">
      <c r="A7" s="304" t="str">
        <f>"Phone Number:     "&amp;'Info Sheet'!B16</f>
        <v>Phone Number:     905-563-5550</v>
      </c>
      <c r="B7" s="507" t="str">
        <f>'Info Sheet'!$C$16&amp;" "&amp;'Info Sheet'!$D$16</f>
        <v>Extension: 222</v>
      </c>
      <c r="C7" s="507"/>
      <c r="D7" s="100"/>
    </row>
    <row r="8" spans="1:4" ht="16.5" thickBot="1">
      <c r="A8" s="305" t="str">
        <f>"Date:                      "&amp;('Info Sheet'!B18)</f>
        <v>Date:                      JANUARY 14, 2005</v>
      </c>
      <c r="B8" s="306"/>
      <c r="C8" s="397"/>
      <c r="D8" s="150"/>
    </row>
    <row r="9" spans="1:3" ht="15.75">
      <c r="A9" s="28"/>
      <c r="B9" s="29"/>
      <c r="C9" s="27"/>
    </row>
    <row r="10" spans="1:5" ht="16.5" customHeight="1">
      <c r="A10" s="310" t="s">
        <v>121</v>
      </c>
      <c r="B10" s="35"/>
      <c r="C10" s="40"/>
      <c r="D10" s="311"/>
      <c r="E10" s="35"/>
    </row>
    <row r="11" spans="1:5" ht="16.5" customHeight="1">
      <c r="A11" s="514" t="s">
        <v>209</v>
      </c>
      <c r="B11" s="514"/>
      <c r="C11" s="514"/>
      <c r="D11" s="514"/>
      <c r="E11" s="514"/>
    </row>
    <row r="12" spans="1:5" ht="14.25" customHeight="1">
      <c r="A12" s="514"/>
      <c r="B12" s="514"/>
      <c r="C12" s="514"/>
      <c r="D12" s="514"/>
      <c r="E12" s="514"/>
    </row>
    <row r="13" ht="13.5" customHeight="1"/>
    <row r="14" ht="15">
      <c r="A14" s="313" t="s">
        <v>200</v>
      </c>
    </row>
    <row r="15" spans="2:4" ht="15" customHeight="1">
      <c r="B15" s="39"/>
      <c r="C15" s="40"/>
      <c r="D15" s="311"/>
    </row>
    <row r="16" spans="2:6" ht="12.75">
      <c r="B16" s="14"/>
      <c r="C16" s="14"/>
      <c r="D16" s="14"/>
      <c r="E16" s="14"/>
      <c r="F16" s="14"/>
    </row>
    <row r="17" spans="1:7" ht="18">
      <c r="A17" s="55" t="s">
        <v>227</v>
      </c>
      <c r="B17" s="52"/>
      <c r="C17" s="53"/>
      <c r="E17" s="15"/>
      <c r="G17" s="15"/>
    </row>
    <row r="18" spans="2:7" ht="12.75">
      <c r="B18" s="15"/>
      <c r="C18" s="15"/>
      <c r="D18" s="49"/>
      <c r="E18" s="15"/>
      <c r="F18" s="15"/>
      <c r="G18" s="15"/>
    </row>
    <row r="19" spans="1:7" ht="12.75">
      <c r="A19" s="109" t="s">
        <v>66</v>
      </c>
      <c r="B19" s="109"/>
      <c r="C19" s="110"/>
      <c r="D19" s="111">
        <v>0.0156</v>
      </c>
      <c r="E19" s="15"/>
      <c r="F19" s="15"/>
      <c r="G19" s="15"/>
    </row>
    <row r="20" spans="1:7" ht="12.75">
      <c r="A20" s="112"/>
      <c r="B20" s="112"/>
      <c r="C20" s="113"/>
      <c r="D20" s="113"/>
      <c r="E20" s="15"/>
      <c r="F20" s="15"/>
      <c r="G20" s="15"/>
    </row>
    <row r="21" spans="1:7" ht="12.75">
      <c r="A21" s="109" t="s">
        <v>67</v>
      </c>
      <c r="B21" s="109"/>
      <c r="C21" s="110"/>
      <c r="D21" s="114">
        <v>8.59</v>
      </c>
      <c r="E21" s="15"/>
      <c r="F21" s="15"/>
      <c r="G21" s="15"/>
    </row>
    <row r="22" spans="3:7" ht="12.75">
      <c r="C22" s="15"/>
      <c r="D22" s="15"/>
      <c r="E22" s="15"/>
      <c r="F22" s="15"/>
      <c r="G22" s="15"/>
    </row>
    <row r="23" spans="3:7" ht="12.75">
      <c r="C23" s="15"/>
      <c r="D23" s="15"/>
      <c r="E23" s="15"/>
      <c r="F23" s="15"/>
      <c r="G23" s="15"/>
    </row>
    <row r="24" spans="1:7" ht="18">
      <c r="A24" s="55" t="s">
        <v>228</v>
      </c>
      <c r="C24" s="53"/>
      <c r="D24" s="52"/>
      <c r="E24" s="15"/>
      <c r="F24" s="15"/>
      <c r="G24" s="15"/>
    </row>
    <row r="25" spans="3:7" ht="12.75">
      <c r="C25" s="15"/>
      <c r="D25" s="15"/>
      <c r="E25" s="15"/>
      <c r="F25" s="15"/>
      <c r="G25" s="15"/>
    </row>
    <row r="26" spans="1:7" ht="12.75">
      <c r="A26" s="109" t="s">
        <v>66</v>
      </c>
      <c r="B26" s="109"/>
      <c r="C26" s="110"/>
      <c r="D26" s="111">
        <v>0.0108</v>
      </c>
      <c r="E26" s="15"/>
      <c r="F26" s="15"/>
      <c r="G26" s="15"/>
    </row>
    <row r="27" spans="1:7" ht="12.75">
      <c r="A27" s="112"/>
      <c r="B27" s="112"/>
      <c r="C27" s="113"/>
      <c r="D27" s="113"/>
      <c r="E27" s="15"/>
      <c r="F27" s="15"/>
      <c r="G27" s="15"/>
    </row>
    <row r="28" spans="1:7" ht="12.75">
      <c r="A28" s="109" t="s">
        <v>67</v>
      </c>
      <c r="B28" s="109"/>
      <c r="C28" s="110"/>
      <c r="D28" s="114">
        <v>10.67</v>
      </c>
      <c r="E28" s="15"/>
      <c r="F28" s="15"/>
      <c r="G28" s="15"/>
    </row>
    <row r="29" spans="3:7" ht="12.75">
      <c r="C29" s="15"/>
      <c r="D29" s="49"/>
      <c r="E29" s="15"/>
      <c r="F29" s="15"/>
      <c r="G29" s="15"/>
    </row>
    <row r="30" spans="3:7" ht="12.75">
      <c r="C30" s="15"/>
      <c r="D30" s="15"/>
      <c r="E30" s="15"/>
      <c r="F30" s="15"/>
      <c r="G30" s="15"/>
    </row>
    <row r="31" spans="1:7" ht="18">
      <c r="A31" s="55" t="s">
        <v>2</v>
      </c>
      <c r="C31" s="53"/>
      <c r="D31" s="52"/>
      <c r="E31" s="15"/>
      <c r="F31" s="15"/>
      <c r="G31" s="15"/>
    </row>
    <row r="32" spans="3:7" ht="12.75">
      <c r="C32" s="15"/>
      <c r="D32" s="15"/>
      <c r="E32" s="15"/>
      <c r="F32" s="15"/>
      <c r="G32" s="15"/>
    </row>
    <row r="33" spans="1:7" ht="12.75">
      <c r="A33" s="109" t="s">
        <v>66</v>
      </c>
      <c r="B33" s="34"/>
      <c r="C33" s="23"/>
      <c r="D33" s="107">
        <v>0.0145</v>
      </c>
      <c r="E33" s="15"/>
      <c r="F33" s="15"/>
      <c r="G33" s="15"/>
    </row>
    <row r="34" spans="1:7" ht="12.75">
      <c r="A34" s="112"/>
      <c r="C34" s="15"/>
      <c r="D34" s="15"/>
      <c r="E34" s="15"/>
      <c r="F34" s="15"/>
      <c r="G34" s="15"/>
    </row>
    <row r="35" spans="1:7" ht="12.75">
      <c r="A35" s="109" t="s">
        <v>67</v>
      </c>
      <c r="B35" s="34"/>
      <c r="C35" s="23"/>
      <c r="D35" s="108">
        <v>10.67</v>
      </c>
      <c r="E35" s="15"/>
      <c r="F35" s="15"/>
      <c r="G35" s="15"/>
    </row>
    <row r="36" spans="3:7" ht="12.75">
      <c r="C36" s="15"/>
      <c r="D36" s="15"/>
      <c r="E36" s="15"/>
      <c r="F36" s="15"/>
      <c r="G36" s="15"/>
    </row>
    <row r="37" spans="2:7" ht="12.75">
      <c r="B37" s="15"/>
      <c r="C37" s="15"/>
      <c r="D37" s="49"/>
      <c r="E37" s="15"/>
      <c r="F37" s="15"/>
      <c r="G37" s="15"/>
    </row>
    <row r="38" spans="1:7" ht="18">
      <c r="A38" s="55" t="s">
        <v>3</v>
      </c>
      <c r="B38" s="52"/>
      <c r="C38" s="53"/>
      <c r="D38" s="49"/>
      <c r="E38" s="15"/>
      <c r="F38" s="15"/>
      <c r="G38" s="15"/>
    </row>
    <row r="39" spans="2:7" ht="12.75">
      <c r="B39" s="15"/>
      <c r="C39" s="15"/>
      <c r="D39" s="49"/>
      <c r="E39" s="15"/>
      <c r="F39" s="15"/>
      <c r="G39" s="15"/>
    </row>
    <row r="40" spans="1:7" ht="12.75">
      <c r="A40" s="109" t="s">
        <v>68</v>
      </c>
      <c r="B40" s="34"/>
      <c r="C40" s="23"/>
      <c r="D40" s="107">
        <v>5.5075</v>
      </c>
      <c r="E40" s="15"/>
      <c r="F40" s="15"/>
      <c r="G40" s="15"/>
    </row>
    <row r="41" spans="1:7" ht="12.75">
      <c r="A41" s="112"/>
      <c r="C41" s="15"/>
      <c r="D41" s="15"/>
      <c r="E41" s="15"/>
      <c r="F41" s="15"/>
      <c r="G41" s="15"/>
    </row>
    <row r="42" spans="1:7" ht="12.75">
      <c r="A42" s="109" t="s">
        <v>67</v>
      </c>
      <c r="B42" s="34"/>
      <c r="C42" s="23"/>
      <c r="D42" s="108">
        <v>22.18</v>
      </c>
      <c r="E42" s="15"/>
      <c r="F42" s="15"/>
      <c r="G42" s="15"/>
    </row>
    <row r="43" spans="2:7" ht="12.75">
      <c r="B43" s="15"/>
      <c r="C43" s="15"/>
      <c r="D43" s="49"/>
      <c r="E43" s="15"/>
      <c r="F43" s="15"/>
      <c r="G43" s="15"/>
    </row>
    <row r="44" spans="2:7" ht="12.75">
      <c r="B44" s="15"/>
      <c r="C44" s="15"/>
      <c r="D44" s="49"/>
      <c r="E44" s="15"/>
      <c r="F44" s="15"/>
      <c r="G44" s="15"/>
    </row>
    <row r="45" spans="1:7" ht="18">
      <c r="A45" s="55" t="s">
        <v>5</v>
      </c>
      <c r="B45" s="52"/>
      <c r="C45" s="53"/>
      <c r="D45" s="49"/>
      <c r="E45" s="15"/>
      <c r="F45" s="15"/>
      <c r="G45" s="15"/>
    </row>
    <row r="46" spans="1:7" ht="18">
      <c r="A46" s="8"/>
      <c r="B46" s="15"/>
      <c r="C46" s="15"/>
      <c r="D46" s="49"/>
      <c r="E46" s="15"/>
      <c r="F46" s="15"/>
      <c r="G46" s="15"/>
    </row>
    <row r="47" spans="1:7" ht="12.75">
      <c r="A47" s="109" t="s">
        <v>68</v>
      </c>
      <c r="B47" s="23"/>
      <c r="C47" s="23"/>
      <c r="D47" s="107"/>
      <c r="E47" s="15"/>
      <c r="F47" s="15"/>
      <c r="G47" s="15"/>
    </row>
    <row r="48" spans="1:7" ht="12.75">
      <c r="A48" s="112"/>
      <c r="B48" s="15"/>
      <c r="C48" s="15"/>
      <c r="D48" s="49"/>
      <c r="E48" s="15"/>
      <c r="F48" s="15"/>
      <c r="G48" s="15"/>
    </row>
    <row r="49" spans="1:7" ht="12.75">
      <c r="A49" s="109" t="s">
        <v>67</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216</v>
      </c>
      <c r="B52" s="15"/>
      <c r="C52" s="15"/>
      <c r="D52" s="49"/>
      <c r="E52" s="15"/>
      <c r="F52" s="15"/>
      <c r="G52" s="15"/>
    </row>
    <row r="53" spans="2:7" ht="12.75">
      <c r="B53" s="15"/>
      <c r="C53" s="15"/>
      <c r="D53" s="49"/>
      <c r="E53" s="15"/>
      <c r="F53" s="15"/>
      <c r="G53" s="15"/>
    </row>
    <row r="54" spans="1:7" ht="12.75">
      <c r="A54" s="109" t="s">
        <v>68</v>
      </c>
      <c r="B54" s="34"/>
      <c r="C54" s="23"/>
      <c r="D54" s="107"/>
      <c r="E54" s="15"/>
      <c r="F54" s="15"/>
      <c r="G54" s="15"/>
    </row>
    <row r="55" spans="1:7" ht="12.75">
      <c r="A55" s="112"/>
      <c r="C55" s="15"/>
      <c r="D55" s="15"/>
      <c r="E55" s="15"/>
      <c r="F55" s="15"/>
      <c r="G55" s="15"/>
    </row>
    <row r="56" spans="1:7" ht="12.75">
      <c r="A56" s="109" t="s">
        <v>67</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0</v>
      </c>
      <c r="B59" s="15"/>
      <c r="C59" s="15"/>
      <c r="D59" s="49"/>
      <c r="E59" s="15"/>
      <c r="F59" s="15"/>
      <c r="G59" s="15"/>
    </row>
    <row r="60" spans="2:7" ht="12.75">
      <c r="B60" s="15"/>
      <c r="C60" s="15"/>
      <c r="D60" s="49"/>
      <c r="E60" s="15"/>
      <c r="F60" s="15"/>
      <c r="G60" s="15"/>
    </row>
    <row r="61" spans="1:7" ht="12.75">
      <c r="A61" s="109" t="s">
        <v>68</v>
      </c>
      <c r="B61" s="23"/>
      <c r="C61" s="23"/>
      <c r="D61" s="107"/>
      <c r="E61" s="15"/>
      <c r="F61" s="15"/>
      <c r="G61" s="15"/>
    </row>
    <row r="62" spans="1:7" ht="12.75">
      <c r="A62" s="112"/>
      <c r="B62" s="15"/>
      <c r="C62" s="15"/>
      <c r="D62" s="49"/>
      <c r="E62" s="15"/>
      <c r="F62" s="15"/>
      <c r="G62" s="15"/>
    </row>
    <row r="63" spans="1:7" ht="12.75">
      <c r="A63" s="109" t="s">
        <v>67</v>
      </c>
      <c r="B63" s="51"/>
      <c r="C63" s="23"/>
      <c r="D63" s="108"/>
      <c r="E63" s="15"/>
      <c r="F63" s="15"/>
      <c r="G63" s="15"/>
    </row>
    <row r="64" spans="2:7" ht="12.75">
      <c r="B64" s="15"/>
      <c r="C64" s="15"/>
      <c r="D64" s="49"/>
      <c r="E64" s="15"/>
      <c r="F64" s="15"/>
      <c r="G64" s="15"/>
    </row>
    <row r="65" spans="3:7" ht="12.75">
      <c r="C65" s="15"/>
      <c r="E65" s="15"/>
      <c r="F65" s="15"/>
      <c r="G65" s="15"/>
    </row>
    <row r="66" spans="1:7" ht="18">
      <c r="A66" s="55" t="s">
        <v>6</v>
      </c>
      <c r="B66" s="15"/>
      <c r="C66" s="15"/>
      <c r="D66" s="49"/>
      <c r="E66" s="15"/>
      <c r="F66" s="15"/>
      <c r="G66" s="15"/>
    </row>
    <row r="67" spans="2:7" ht="12.75">
      <c r="B67" s="15"/>
      <c r="C67" s="15"/>
      <c r="D67" s="49"/>
      <c r="E67" s="15"/>
      <c r="F67" s="15"/>
      <c r="G67" s="15"/>
    </row>
    <row r="68" spans="1:7" ht="12.75">
      <c r="A68" s="109" t="s">
        <v>68</v>
      </c>
      <c r="B68" s="34"/>
      <c r="C68" s="23"/>
      <c r="D68" s="107">
        <v>0.6834</v>
      </c>
      <c r="E68" s="15"/>
      <c r="F68" s="15"/>
      <c r="G68" s="15"/>
    </row>
    <row r="69" spans="1:7" ht="12.75">
      <c r="A69" s="112"/>
      <c r="C69" s="15"/>
      <c r="D69" s="15"/>
      <c r="E69" s="15"/>
      <c r="F69" s="15"/>
      <c r="G69" s="15"/>
    </row>
    <row r="70" spans="1:7" ht="12.75">
      <c r="A70" s="109" t="s">
        <v>212</v>
      </c>
      <c r="B70" s="34"/>
      <c r="C70" s="23"/>
      <c r="D70" s="108">
        <v>0.91</v>
      </c>
      <c r="E70" s="15"/>
      <c r="F70" s="15"/>
      <c r="G70" s="15"/>
    </row>
    <row r="71" spans="2:7" ht="12.75">
      <c r="B71" s="15"/>
      <c r="C71" s="15"/>
      <c r="D71" s="49"/>
      <c r="E71" s="15"/>
      <c r="F71" s="15"/>
      <c r="G71" s="15"/>
    </row>
    <row r="72" spans="1:7" ht="12.75">
      <c r="A72" s="12" t="s">
        <v>7</v>
      </c>
      <c r="B72" s="15"/>
      <c r="C72" s="15"/>
      <c r="D72" s="49"/>
      <c r="E72" s="15"/>
      <c r="F72" s="15"/>
      <c r="G72" s="15"/>
    </row>
    <row r="73" spans="2:7" ht="12.75">
      <c r="B73" s="15"/>
      <c r="C73" s="15"/>
      <c r="D73" s="49"/>
      <c r="E73" s="15"/>
      <c r="F73" s="15"/>
      <c r="G73" s="15"/>
    </row>
    <row r="74" spans="1:7" ht="18">
      <c r="A74" s="55" t="s">
        <v>8</v>
      </c>
      <c r="B74" s="15"/>
      <c r="C74" s="15"/>
      <c r="D74" s="49"/>
      <c r="E74" s="15"/>
      <c r="F74" s="15"/>
      <c r="G74" s="15"/>
    </row>
    <row r="75" spans="2:7" ht="12.75">
      <c r="B75" s="15"/>
      <c r="C75" s="15"/>
      <c r="D75" s="49"/>
      <c r="E75" s="15"/>
      <c r="F75" s="15"/>
      <c r="G75" s="15"/>
    </row>
    <row r="76" spans="1:7" ht="12.75">
      <c r="A76" s="109" t="s">
        <v>68</v>
      </c>
      <c r="B76" s="23"/>
      <c r="C76" s="23"/>
      <c r="D76" s="107"/>
      <c r="E76" s="15"/>
      <c r="F76" s="15"/>
      <c r="G76" s="15"/>
    </row>
    <row r="77" spans="1:7" ht="12.75">
      <c r="A77" s="112"/>
      <c r="B77" s="15"/>
      <c r="C77" s="15"/>
      <c r="D77" s="49"/>
      <c r="E77" s="15"/>
      <c r="F77" s="15"/>
      <c r="G77" s="15"/>
    </row>
    <row r="78" spans="1:7" ht="12.75">
      <c r="A78" s="109" t="s">
        <v>212</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9</v>
      </c>
      <c r="B81" s="15"/>
      <c r="C81" s="15"/>
      <c r="D81" s="49"/>
      <c r="E81" s="15"/>
      <c r="F81" s="15"/>
      <c r="G81" s="15"/>
    </row>
    <row r="82" spans="2:7" ht="12.75">
      <c r="B82" s="15"/>
      <c r="C82" s="15"/>
      <c r="D82" s="49"/>
      <c r="E82" s="15"/>
      <c r="F82" s="15"/>
      <c r="G82" s="15"/>
    </row>
    <row r="83" spans="1:7" ht="12.75">
      <c r="A83" s="109" t="s">
        <v>68</v>
      </c>
      <c r="B83" s="34"/>
      <c r="C83" s="23"/>
      <c r="D83" s="107">
        <v>0.5912</v>
      </c>
      <c r="E83" s="15"/>
      <c r="F83" s="15"/>
      <c r="G83" s="15"/>
    </row>
    <row r="84" spans="1:7" ht="12.75">
      <c r="A84" s="112"/>
      <c r="C84" s="15"/>
      <c r="D84" s="15"/>
      <c r="E84" s="15"/>
      <c r="F84" s="15"/>
      <c r="G84" s="15"/>
    </row>
    <row r="85" spans="1:7" ht="12.75">
      <c r="A85" s="109" t="s">
        <v>212</v>
      </c>
      <c r="B85" s="34"/>
      <c r="C85" s="23"/>
      <c r="D85" s="108">
        <v>0.53</v>
      </c>
      <c r="E85" s="15"/>
      <c r="F85" s="15"/>
      <c r="G85" s="15"/>
    </row>
    <row r="86" spans="2:7" ht="12.75">
      <c r="B86" s="15"/>
      <c r="C86" s="15"/>
      <c r="D86" s="49"/>
      <c r="E86" s="15"/>
      <c r="F86" s="15"/>
      <c r="G86" s="15"/>
    </row>
    <row r="87" spans="1:7" ht="12.75">
      <c r="A87" s="12" t="s">
        <v>7</v>
      </c>
      <c r="B87" s="15"/>
      <c r="C87" s="15"/>
      <c r="D87" s="49"/>
      <c r="E87" s="15"/>
      <c r="F87" s="15"/>
      <c r="G87" s="15"/>
    </row>
    <row r="88" spans="2:7" ht="12.75">
      <c r="B88" s="15"/>
      <c r="C88" s="15"/>
      <c r="D88" s="49"/>
      <c r="E88" s="15"/>
      <c r="F88" s="15"/>
      <c r="G88" s="15"/>
    </row>
    <row r="89" spans="1:7" ht="18">
      <c r="A89" s="55" t="s">
        <v>10</v>
      </c>
      <c r="B89" s="15"/>
      <c r="C89" s="15"/>
      <c r="D89" s="49"/>
      <c r="E89" s="15"/>
      <c r="F89" s="15"/>
      <c r="G89" s="15"/>
    </row>
    <row r="90" spans="2:7" ht="12.75">
      <c r="B90" s="15"/>
      <c r="C90" s="15"/>
      <c r="D90" s="6"/>
      <c r="E90" s="15"/>
      <c r="F90" s="15"/>
      <c r="G90" s="15"/>
    </row>
    <row r="91" spans="1:7" ht="12.75">
      <c r="A91" s="109" t="s">
        <v>68</v>
      </c>
      <c r="B91" s="23"/>
      <c r="C91" s="23"/>
      <c r="D91" s="107"/>
      <c r="E91" s="15"/>
      <c r="F91" s="15"/>
      <c r="G91" s="15"/>
    </row>
    <row r="92" spans="1:7" ht="12.75">
      <c r="A92" s="112"/>
      <c r="B92" s="15"/>
      <c r="C92" s="15"/>
      <c r="D92" s="49"/>
      <c r="E92" s="15"/>
      <c r="F92" s="15"/>
      <c r="G92" s="15"/>
    </row>
    <row r="93" spans="1:7" ht="12.75">
      <c r="A93" s="109" t="s">
        <v>212</v>
      </c>
      <c r="B93" s="51"/>
      <c r="C93" s="23"/>
      <c r="D93" s="108"/>
      <c r="E93" s="15"/>
      <c r="F93" s="15"/>
      <c r="G93" s="15"/>
    </row>
    <row r="94" spans="2:7" ht="12.75">
      <c r="B94" s="15"/>
      <c r="C94" s="15"/>
      <c r="D94" s="49"/>
      <c r="E94" s="15"/>
      <c r="F94" s="15"/>
      <c r="G94" s="15"/>
    </row>
  </sheetData>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222"/>
  <sheetViews>
    <sheetView workbookViewId="0" topLeftCell="A1">
      <selection activeCell="L23" sqref="L23"/>
    </sheetView>
  </sheetViews>
  <sheetFormatPr defaultColWidth="9.140625" defaultRowHeight="12.75"/>
  <cols>
    <col min="1" max="1" width="51.421875" style="9" customWidth="1"/>
    <col min="2" max="2" width="13.00390625" style="9" customWidth="1"/>
    <col min="3" max="3" width="16.7109375" style="9" bestFit="1" customWidth="1"/>
    <col min="4" max="4" width="17.00390625" style="9" customWidth="1"/>
    <col min="5" max="5" width="14.57421875" style="9" bestFit="1" customWidth="1"/>
    <col min="6" max="6" width="11.7109375" style="9" customWidth="1"/>
    <col min="7" max="7" width="16.140625" style="9" bestFit="1" customWidth="1"/>
    <col min="8" max="8" width="15.28125" style="9" customWidth="1"/>
    <col min="9" max="16384" width="9.140625" style="9" customWidth="1"/>
  </cols>
  <sheetData>
    <row r="1" ht="18">
      <c r="A1" s="37" t="s">
        <v>117</v>
      </c>
    </row>
    <row r="2" ht="18.75" thickBot="1">
      <c r="A2" s="116"/>
    </row>
    <row r="3" spans="1:7" ht="18">
      <c r="A3" s="503" t="str">
        <f>"Name of Utility:      "&amp;'Info Sheet'!B4</f>
        <v>Name of Utility:      PENINSULA WEST UTILITIES LIMITED</v>
      </c>
      <c r="B3" s="504"/>
      <c r="C3" s="504"/>
      <c r="D3" s="460" t="str">
        <f>'Info Sheet'!B21</f>
        <v>2005.V1.1</v>
      </c>
      <c r="E3" s="36"/>
      <c r="F3" s="116"/>
      <c r="G3" s="117"/>
    </row>
    <row r="4" spans="1:7" ht="18">
      <c r="A4" s="304" t="str">
        <f>"License Number:   "&amp;'Info Sheet'!B6</f>
        <v>License Number:   ED-2002-0555</v>
      </c>
      <c r="B4" s="461"/>
      <c r="C4" s="395"/>
      <c r="D4" s="399" t="str">
        <f>'Info Sheet'!B8</f>
        <v>RP-2005-0013</v>
      </c>
      <c r="E4" s="36"/>
      <c r="F4" s="116"/>
      <c r="G4" s="117"/>
    </row>
    <row r="5" spans="1:4" ht="15.75">
      <c r="A5" s="505" t="str">
        <f>"Name of Contact:  "&amp;'Info Sheet'!B12</f>
        <v>Name of Contact:  KAREN BUBISH</v>
      </c>
      <c r="B5" s="506"/>
      <c r="C5" s="506"/>
      <c r="D5" s="399" t="str">
        <f>'Info Sheet'!B10</f>
        <v>EB-2005-0066</v>
      </c>
    </row>
    <row r="6" spans="1:4" ht="15.75">
      <c r="A6" s="502" t="str">
        <f>"E- Mail Address:    "&amp;'Info Sheet'!B14</f>
        <v>E- Mail Address:    karen@penwest.on.ca</v>
      </c>
      <c r="B6" s="507"/>
      <c r="C6" s="507"/>
      <c r="D6" s="465"/>
    </row>
    <row r="7" spans="1:4" ht="15.75">
      <c r="A7" s="304" t="str">
        <f>"Phone Number:     "&amp;'Info Sheet'!B16</f>
        <v>Phone Number:     905-563-5550</v>
      </c>
      <c r="B7" s="507" t="str">
        <f>'Info Sheet'!$C$16&amp;" "&amp;'Info Sheet'!$D$16</f>
        <v>Extension: 222</v>
      </c>
      <c r="C7" s="507"/>
      <c r="D7" s="465"/>
    </row>
    <row r="8" spans="1:10" ht="16.5" thickBot="1">
      <c r="A8" s="305" t="str">
        <f>"Date:                      "&amp;('Info Sheet'!B18)</f>
        <v>Date:                      JANUARY 14, 2005</v>
      </c>
      <c r="B8" s="463"/>
      <c r="C8" s="464"/>
      <c r="D8" s="466"/>
      <c r="J8" s="351" t="s">
        <v>142</v>
      </c>
    </row>
    <row r="9" spans="1:10" ht="15.75">
      <c r="A9" s="28"/>
      <c r="B9" s="29"/>
      <c r="C9" s="27"/>
      <c r="J9" s="351" t="s">
        <v>143</v>
      </c>
    </row>
    <row r="10" spans="1:7" ht="15">
      <c r="A10" s="518" t="s">
        <v>167</v>
      </c>
      <c r="B10" s="518"/>
      <c r="C10" s="518"/>
      <c r="D10" s="518"/>
      <c r="E10" s="518"/>
      <c r="F10" s="263"/>
      <c r="G10" s="318">
        <v>405529</v>
      </c>
    </row>
    <row r="11" spans="1:7" ht="15">
      <c r="A11" s="353"/>
      <c r="B11" s="353"/>
      <c r="C11" s="353"/>
      <c r="D11" s="353"/>
      <c r="E11" s="353"/>
      <c r="F11" s="354"/>
      <c r="G11" s="354"/>
    </row>
    <row r="12" spans="1:7" ht="15">
      <c r="A12" s="72" t="s">
        <v>144</v>
      </c>
      <c r="B12" s="72"/>
      <c r="C12" s="72"/>
      <c r="D12" s="72"/>
      <c r="E12" s="72"/>
      <c r="F12" s="263"/>
      <c r="G12" s="352" t="s">
        <v>142</v>
      </c>
    </row>
    <row r="13" spans="1:7" ht="15">
      <c r="A13" s="353"/>
      <c r="B13" s="353"/>
      <c r="C13" s="353"/>
      <c r="D13" s="353"/>
      <c r="E13" s="353"/>
      <c r="F13" s="354"/>
      <c r="G13" s="355"/>
    </row>
    <row r="14" spans="1:7" ht="15">
      <c r="A14" s="72" t="s">
        <v>168</v>
      </c>
      <c r="B14" s="72"/>
      <c r="C14" s="72"/>
      <c r="D14" s="72"/>
      <c r="E14" s="72"/>
      <c r="F14" s="263"/>
      <c r="G14" s="364">
        <v>404538</v>
      </c>
    </row>
    <row r="15" spans="1:7" ht="15">
      <c r="A15" s="71"/>
      <c r="B15" s="71"/>
      <c r="C15" s="71"/>
      <c r="D15" s="71"/>
      <c r="E15" s="71"/>
      <c r="F15" s="265"/>
      <c r="G15" s="265"/>
    </row>
    <row r="16" spans="1:7" ht="15">
      <c r="A16" s="72" t="s">
        <v>141</v>
      </c>
      <c r="B16" s="72"/>
      <c r="C16" s="72"/>
      <c r="D16" s="72"/>
      <c r="E16" s="72"/>
      <c r="F16" s="263"/>
      <c r="G16" s="352" t="s">
        <v>142</v>
      </c>
    </row>
    <row r="17" spans="1:7" ht="14.25">
      <c r="A17" s="137"/>
      <c r="B17" s="138"/>
      <c r="C17" s="138"/>
      <c r="D17" s="138"/>
      <c r="E17" s="138"/>
      <c r="F17" s="138"/>
      <c r="G17" s="138"/>
    </row>
    <row r="18" spans="1:7" ht="15">
      <c r="A18" s="518" t="s">
        <v>169</v>
      </c>
      <c r="B18" s="518"/>
      <c r="C18" s="518"/>
      <c r="D18" s="518"/>
      <c r="E18" s="518"/>
      <c r="F18" s="263"/>
      <c r="G18" s="318">
        <v>404538</v>
      </c>
    </row>
    <row r="19" spans="1:7" ht="15">
      <c r="A19" s="71"/>
      <c r="B19" s="71"/>
      <c r="C19" s="71"/>
      <c r="D19" s="71"/>
      <c r="E19" s="31"/>
      <c r="F19" s="265"/>
      <c r="G19" s="7"/>
    </row>
    <row r="20" spans="1:7" s="31" customFormat="1" ht="15">
      <c r="A20" s="71"/>
      <c r="B20" s="71"/>
      <c r="C20" s="71"/>
      <c r="D20" s="71"/>
      <c r="F20" s="265"/>
      <c r="G20" s="265"/>
    </row>
    <row r="21" spans="1:7" ht="14.25">
      <c r="A21" s="141"/>
      <c r="B21" s="142"/>
      <c r="C21" s="143"/>
      <c r="D21" s="144"/>
      <c r="E21" s="144"/>
      <c r="F21" s="56"/>
      <c r="G21" s="56"/>
    </row>
    <row r="22" spans="1:7" ht="15">
      <c r="A22" s="314" t="s">
        <v>122</v>
      </c>
      <c r="B22" s="315"/>
      <c r="C22" s="316"/>
      <c r="D22" s="317"/>
      <c r="E22" s="317"/>
      <c r="F22" s="263"/>
      <c r="G22" s="318">
        <f>G18*14/13</f>
        <v>435656.3076923077</v>
      </c>
    </row>
    <row r="23" spans="1:7" ht="14.25">
      <c r="A23" s="141"/>
      <c r="B23" s="142"/>
      <c r="C23" s="143"/>
      <c r="D23" s="144"/>
      <c r="E23" s="144"/>
      <c r="F23" s="56"/>
      <c r="G23" s="56"/>
    </row>
    <row r="24" spans="1:7" ht="15">
      <c r="A24" s="313" t="s">
        <v>170</v>
      </c>
      <c r="B24" s="312"/>
      <c r="C24" s="312"/>
      <c r="D24" s="138"/>
      <c r="E24" s="138"/>
      <c r="F24" s="138"/>
      <c r="G24" s="138"/>
    </row>
    <row r="25" spans="1:7" ht="15">
      <c r="A25" s="313" t="s">
        <v>210</v>
      </c>
      <c r="B25" s="312"/>
      <c r="C25" s="312"/>
      <c r="D25" s="138"/>
      <c r="E25" s="138"/>
      <c r="F25" s="138"/>
      <c r="G25" s="138"/>
    </row>
    <row r="26" ht="15.75" thickBot="1">
      <c r="A26" s="313" t="s">
        <v>56</v>
      </c>
    </row>
    <row r="27" spans="1:8" ht="39" thickBot="1">
      <c r="A27" s="151" t="s">
        <v>171</v>
      </c>
      <c r="B27" s="152" t="s">
        <v>11</v>
      </c>
      <c r="C27" s="152" t="s">
        <v>12</v>
      </c>
      <c r="D27" s="152" t="s">
        <v>22</v>
      </c>
      <c r="E27" s="152" t="s">
        <v>13</v>
      </c>
      <c r="F27" s="152" t="s">
        <v>162</v>
      </c>
      <c r="G27" s="153" t="s">
        <v>97</v>
      </c>
      <c r="H27" s="121"/>
    </row>
    <row r="28" spans="1:7" ht="12.75">
      <c r="A28" s="86"/>
      <c r="B28" s="31"/>
      <c r="C28" s="122"/>
      <c r="D28" s="122"/>
      <c r="E28" s="31"/>
      <c r="F28" s="31"/>
      <c r="G28" s="100"/>
    </row>
    <row r="29" spans="1:8" ht="12.75">
      <c r="A29" s="148" t="s">
        <v>229</v>
      </c>
      <c r="B29" s="485"/>
      <c r="C29" s="135">
        <v>74840075</v>
      </c>
      <c r="D29" s="266">
        <v>7436</v>
      </c>
      <c r="E29" s="400">
        <v>1683866</v>
      </c>
      <c r="F29" s="282">
        <f>IF(ISERROR(E29/$E$39),"",E29/$E$39)</f>
        <v>0.312327165370177</v>
      </c>
      <c r="G29" s="404">
        <f>IF(ISERROR($G$22*F29),0,$G$22*F29)</f>
        <v>136067.2996571761</v>
      </c>
      <c r="H29" s="269"/>
    </row>
    <row r="30" spans="1:8" ht="12.75">
      <c r="A30" s="148" t="s">
        <v>230</v>
      </c>
      <c r="B30" s="485"/>
      <c r="C30" s="135">
        <v>81646203</v>
      </c>
      <c r="D30" s="266">
        <v>4874</v>
      </c>
      <c r="E30" s="400">
        <v>1312215</v>
      </c>
      <c r="F30" s="282">
        <f>IF(ISERROR(E30/$E$39),"",E30/$E$39)</f>
        <v>0.24339252132071484</v>
      </c>
      <c r="G30" s="404">
        <f>IF(ISERROR($G$22*F30),0,$G$22*F30)</f>
        <v>106035.4871585039</v>
      </c>
      <c r="H30" s="269"/>
    </row>
    <row r="31" spans="1:8" ht="12.75">
      <c r="A31" s="148" t="s">
        <v>70</v>
      </c>
      <c r="B31" s="485"/>
      <c r="C31" s="135">
        <v>45498995</v>
      </c>
      <c r="D31" s="266">
        <v>1286</v>
      </c>
      <c r="E31" s="400">
        <v>717739</v>
      </c>
      <c r="F31" s="282">
        <f aca="true" t="shared" si="0" ref="F31:F37">IF(ISERROR(E31/$E$39),"",E31/$E$39)</f>
        <v>0.13312780669342186</v>
      </c>
      <c r="G31" s="404">
        <f aca="true" t="shared" si="1" ref="G31:G37">IF(ISERROR($G$22*F31),0,$G$22*F31)</f>
        <v>57997.96871523145</v>
      </c>
      <c r="H31" s="269"/>
    </row>
    <row r="32" spans="1:8" ht="12.75">
      <c r="A32" s="148" t="s">
        <v>71</v>
      </c>
      <c r="B32" s="270">
        <v>337688</v>
      </c>
      <c r="C32" s="135"/>
      <c r="D32" s="266">
        <v>179</v>
      </c>
      <c r="E32" s="400">
        <v>1660909</v>
      </c>
      <c r="F32" s="282">
        <f t="shared" si="0"/>
        <v>0.30806905057042266</v>
      </c>
      <c r="G32" s="404">
        <f t="shared" si="1"/>
        <v>134212.22508578515</v>
      </c>
      <c r="H32" s="269"/>
    </row>
    <row r="33" spans="1:8" ht="12.75">
      <c r="A33" s="148" t="s">
        <v>72</v>
      </c>
      <c r="B33" s="266"/>
      <c r="C33" s="135"/>
      <c r="D33" s="266"/>
      <c r="E33" s="401"/>
      <c r="F33" s="282">
        <f t="shared" si="0"/>
        <v>0</v>
      </c>
      <c r="G33" s="404">
        <f t="shared" si="1"/>
        <v>0</v>
      </c>
      <c r="H33" s="271"/>
    </row>
    <row r="34" spans="1:8" ht="12.75">
      <c r="A34" s="148" t="s">
        <v>154</v>
      </c>
      <c r="B34" s="266"/>
      <c r="C34" s="135"/>
      <c r="D34" s="266"/>
      <c r="E34" s="401"/>
      <c r="F34" s="282">
        <f t="shared" si="0"/>
        <v>0</v>
      </c>
      <c r="G34" s="404">
        <f t="shared" si="1"/>
        <v>0</v>
      </c>
      <c r="H34" s="271"/>
    </row>
    <row r="35" spans="1:8" ht="12.75">
      <c r="A35" s="148" t="s">
        <v>73</v>
      </c>
      <c r="B35" s="266"/>
      <c r="C35" s="135"/>
      <c r="D35" s="266"/>
      <c r="E35" s="401"/>
      <c r="F35" s="282">
        <f t="shared" si="0"/>
        <v>0</v>
      </c>
      <c r="G35" s="404">
        <f t="shared" si="1"/>
        <v>0</v>
      </c>
      <c r="H35" s="271"/>
    </row>
    <row r="36" spans="1:8" ht="12.75">
      <c r="A36" s="148" t="s">
        <v>74</v>
      </c>
      <c r="B36" s="270">
        <v>949</v>
      </c>
      <c r="C36" s="135"/>
      <c r="D36" s="266">
        <v>407</v>
      </c>
      <c r="E36" s="402">
        <v>4435</v>
      </c>
      <c r="F36" s="282">
        <f t="shared" si="0"/>
        <v>0.0008226135443180961</v>
      </c>
      <c r="G36" s="404">
        <f t="shared" si="1"/>
        <v>358.37677937530424</v>
      </c>
      <c r="H36" s="269"/>
    </row>
    <row r="37" spans="1:8" ht="12.75">
      <c r="A37" s="148" t="s">
        <v>75</v>
      </c>
      <c r="B37" s="273">
        <v>3549</v>
      </c>
      <c r="C37" s="136"/>
      <c r="D37" s="274">
        <v>1858</v>
      </c>
      <c r="E37" s="403">
        <v>12189</v>
      </c>
      <c r="F37" s="283">
        <f t="shared" si="0"/>
        <v>0.0022608425009454955</v>
      </c>
      <c r="G37" s="405">
        <f t="shared" si="1"/>
        <v>984.9502962357573</v>
      </c>
      <c r="H37" s="272"/>
    </row>
    <row r="38" spans="1:8" ht="13.5" thickBot="1">
      <c r="A38" s="148"/>
      <c r="B38" s="265"/>
      <c r="C38" s="276"/>
      <c r="D38" s="277"/>
      <c r="E38" s="265"/>
      <c r="F38" s="278"/>
      <c r="G38" s="268"/>
      <c r="H38" s="56"/>
    </row>
    <row r="39" spans="1:8" ht="13.5" thickBot="1">
      <c r="A39" s="319" t="s">
        <v>14</v>
      </c>
      <c r="B39" s="320">
        <f aca="true" t="shared" si="2" ref="B39:G39">SUM(B29:B37)</f>
        <v>342186</v>
      </c>
      <c r="C39" s="320">
        <f t="shared" si="2"/>
        <v>201985273</v>
      </c>
      <c r="D39" s="320">
        <f t="shared" si="2"/>
        <v>16040</v>
      </c>
      <c r="E39" s="417">
        <f t="shared" si="2"/>
        <v>5391353</v>
      </c>
      <c r="F39" s="321">
        <f t="shared" si="2"/>
        <v>1</v>
      </c>
      <c r="G39" s="418">
        <f t="shared" si="2"/>
        <v>435656.30769230763</v>
      </c>
      <c r="H39" s="56"/>
    </row>
    <row r="40" spans="1:8" ht="12.75">
      <c r="A40" s="86"/>
      <c r="B40" s="31"/>
      <c r="C40" s="516" t="s">
        <v>123</v>
      </c>
      <c r="D40" s="516"/>
      <c r="E40" s="516"/>
      <c r="F40" s="517"/>
      <c r="G40" s="419">
        <f>G22</f>
        <v>435656.3076923077</v>
      </c>
      <c r="H40" s="279"/>
    </row>
    <row r="41" spans="1:7" ht="13.5" thickBot="1">
      <c r="A41" s="94"/>
      <c r="B41" s="149"/>
      <c r="C41" s="149"/>
      <c r="D41" s="149"/>
      <c r="E41" s="149"/>
      <c r="F41" s="149"/>
      <c r="G41" s="150"/>
    </row>
    <row r="42" spans="1:7" ht="42" customHeight="1">
      <c r="A42" s="515" t="s">
        <v>204</v>
      </c>
      <c r="B42" s="515"/>
      <c r="C42" s="515"/>
      <c r="D42" s="515"/>
      <c r="E42" s="515"/>
      <c r="F42" s="515"/>
      <c r="G42" s="515"/>
    </row>
    <row r="43" ht="15.75">
      <c r="A43" s="54" t="s">
        <v>229</v>
      </c>
    </row>
    <row r="44" ht="10.5" customHeight="1">
      <c r="A44" s="131"/>
    </row>
    <row r="45" ht="9" customHeight="1">
      <c r="A45" s="132"/>
    </row>
    <row r="46" spans="1:7" ht="39" thickBot="1">
      <c r="A46" s="132"/>
      <c r="B46" s="284" t="s">
        <v>103</v>
      </c>
      <c r="C46" s="284" t="s">
        <v>205</v>
      </c>
      <c r="D46" s="284" t="s">
        <v>102</v>
      </c>
      <c r="E46" s="281"/>
      <c r="F46" s="281"/>
      <c r="G46" s="281"/>
    </row>
    <row r="47" spans="1:3" ht="15">
      <c r="A47" s="132"/>
      <c r="B47" s="30"/>
      <c r="C47" s="30"/>
    </row>
    <row r="48" spans="1:5" ht="12.75">
      <c r="A48" s="109" t="s">
        <v>98</v>
      </c>
      <c r="B48" s="292"/>
      <c r="C48" s="292"/>
      <c r="D48" s="411">
        <f>$G29</f>
        <v>136067.2996571761</v>
      </c>
      <c r="E48" s="112"/>
    </row>
    <row r="49" spans="1:5" ht="7.5" customHeight="1">
      <c r="A49" s="112"/>
      <c r="B49" s="285"/>
      <c r="C49" s="285"/>
      <c r="D49" s="286"/>
      <c r="E49" s="112"/>
    </row>
    <row r="50" spans="1:5" ht="12.75">
      <c r="A50" s="109" t="s">
        <v>101</v>
      </c>
      <c r="B50" s="484">
        <v>0.603</v>
      </c>
      <c r="C50" s="484">
        <v>0.397</v>
      </c>
      <c r="D50" s="293">
        <f>B50+C50</f>
        <v>1</v>
      </c>
      <c r="E50" s="112"/>
    </row>
    <row r="51" spans="1:5" ht="7.5" customHeight="1">
      <c r="A51" s="112"/>
      <c r="B51" s="287"/>
      <c r="C51" s="287"/>
      <c r="D51" s="287"/>
      <c r="E51" s="112"/>
    </row>
    <row r="52" spans="1:5" ht="13.5" customHeight="1">
      <c r="A52" s="109" t="s">
        <v>105</v>
      </c>
      <c r="B52" s="406">
        <f>$B50*$D48</f>
        <v>82048.58169327718</v>
      </c>
      <c r="C52" s="406">
        <f>C50*D48</f>
        <v>54018.71796389892</v>
      </c>
      <c r="D52" s="406">
        <f>SUM(B52:C52)</f>
        <v>136067.2996571761</v>
      </c>
      <c r="E52" s="112"/>
    </row>
    <row r="53" spans="1:5" ht="7.5" customHeight="1">
      <c r="A53" s="112"/>
      <c r="B53" s="288"/>
      <c r="C53" s="288"/>
      <c r="D53" s="288"/>
      <c r="E53" s="112"/>
    </row>
    <row r="54" spans="1:5" ht="13.5" customHeight="1">
      <c r="A54" s="109" t="s">
        <v>99</v>
      </c>
      <c r="B54" s="295">
        <f>$C29</f>
        <v>74840075</v>
      </c>
      <c r="C54" s="294"/>
      <c r="D54" s="294"/>
      <c r="E54" s="112"/>
    </row>
    <row r="55" spans="1:5" ht="7.5" customHeight="1">
      <c r="A55" s="112"/>
      <c r="B55" s="289"/>
      <c r="C55" s="288"/>
      <c r="D55" s="288"/>
      <c r="E55" s="112"/>
    </row>
    <row r="56" spans="1:5" ht="13.5" customHeight="1">
      <c r="A56" s="109" t="s">
        <v>100</v>
      </c>
      <c r="B56" s="294"/>
      <c r="C56" s="295">
        <f>$D29</f>
        <v>7436</v>
      </c>
      <c r="D56" s="294"/>
      <c r="E56" s="112"/>
    </row>
    <row r="57" spans="1:5" ht="10.5" customHeight="1">
      <c r="A57" s="112"/>
      <c r="B57" s="288"/>
      <c r="C57" s="289"/>
      <c r="D57" s="288"/>
      <c r="E57" s="112"/>
    </row>
    <row r="58" spans="1:5" ht="13.5" customHeight="1">
      <c r="A58" s="109" t="s">
        <v>172</v>
      </c>
      <c r="B58" s="407">
        <f>IF(ISERROR($B52/$B54),0,$B52/$B54)</f>
        <v>0.001096318806378497</v>
      </c>
      <c r="C58" s="407"/>
      <c r="D58" s="296"/>
      <c r="E58" s="112"/>
    </row>
    <row r="59" spans="1:5" ht="9" customHeight="1">
      <c r="A59" s="112"/>
      <c r="B59" s="408"/>
      <c r="C59" s="408"/>
      <c r="D59" s="291"/>
      <c r="E59" s="112"/>
    </row>
    <row r="60" spans="1:5" ht="12.75">
      <c r="A60" s="109" t="s">
        <v>173</v>
      </c>
      <c r="B60" s="409"/>
      <c r="C60" s="410">
        <f>IF(ISERROR($C52/$C56/12),0,$C52/$C56/12)</f>
        <v>0.605373834094259</v>
      </c>
      <c r="D60" s="297"/>
      <c r="E60" s="112"/>
    </row>
    <row r="61" spans="1:5" ht="12.75">
      <c r="A61" s="298"/>
      <c r="B61" s="486"/>
      <c r="C61" s="487"/>
      <c r="D61" s="299"/>
      <c r="E61" s="112"/>
    </row>
    <row r="62" ht="15.75">
      <c r="A62" s="54" t="s">
        <v>230</v>
      </c>
    </row>
    <row r="63" ht="16.5" customHeight="1">
      <c r="A63" s="131"/>
    </row>
    <row r="64" ht="12" customHeight="1">
      <c r="A64" s="132"/>
    </row>
    <row r="65" spans="1:7" ht="43.5" customHeight="1" thickBot="1">
      <c r="A65" s="132"/>
      <c r="B65" s="284" t="s">
        <v>103</v>
      </c>
      <c r="C65" s="284" t="s">
        <v>205</v>
      </c>
      <c r="D65" s="284" t="s">
        <v>102</v>
      </c>
      <c r="E65" s="281"/>
      <c r="F65" s="281"/>
      <c r="G65" s="281"/>
    </row>
    <row r="66" spans="1:3" ht="15">
      <c r="A66" s="132"/>
      <c r="B66" s="30"/>
      <c r="C66" s="30"/>
    </row>
    <row r="67" spans="1:5" ht="12.75">
      <c r="A67" s="109" t="s">
        <v>98</v>
      </c>
      <c r="B67" s="292"/>
      <c r="C67" s="292"/>
      <c r="D67" s="411">
        <f>$G30</f>
        <v>106035.4871585039</v>
      </c>
      <c r="E67" s="112"/>
    </row>
    <row r="68" spans="1:5" ht="7.5" customHeight="1">
      <c r="A68" s="112"/>
      <c r="B68" s="285"/>
      <c r="C68" s="285"/>
      <c r="D68" s="286"/>
      <c r="E68" s="112"/>
    </row>
    <row r="69" spans="1:5" ht="12.75">
      <c r="A69" s="109" t="s">
        <v>101</v>
      </c>
      <c r="B69" s="484">
        <v>0.586</v>
      </c>
      <c r="C69" s="484">
        <v>0.414</v>
      </c>
      <c r="D69" s="293">
        <f>B69+C69</f>
        <v>1</v>
      </c>
      <c r="E69" s="112"/>
    </row>
    <row r="70" spans="1:5" ht="7.5" customHeight="1">
      <c r="A70" s="112"/>
      <c r="B70" s="287"/>
      <c r="C70" s="287"/>
      <c r="D70" s="287"/>
      <c r="E70" s="112"/>
    </row>
    <row r="71" spans="1:5" ht="13.5" customHeight="1">
      <c r="A71" s="109" t="s">
        <v>105</v>
      </c>
      <c r="B71" s="406">
        <f>$B69*$D67</f>
        <v>62136.795474883285</v>
      </c>
      <c r="C71" s="406">
        <f>$C69*$D67</f>
        <v>43898.691683620615</v>
      </c>
      <c r="D71" s="406">
        <f>SUM(B71:C71)</f>
        <v>106035.4871585039</v>
      </c>
      <c r="E71" s="112"/>
    </row>
    <row r="72" spans="1:5" ht="7.5" customHeight="1">
      <c r="A72" s="112"/>
      <c r="B72" s="288"/>
      <c r="C72" s="288"/>
      <c r="D72" s="288"/>
      <c r="E72" s="112"/>
    </row>
    <row r="73" spans="1:5" ht="13.5" customHeight="1">
      <c r="A73" s="109" t="s">
        <v>99</v>
      </c>
      <c r="B73" s="295">
        <f>$C30</f>
        <v>81646203</v>
      </c>
      <c r="C73" s="294"/>
      <c r="D73" s="294"/>
      <c r="E73" s="112"/>
    </row>
    <row r="74" spans="1:5" ht="7.5" customHeight="1">
      <c r="A74" s="112"/>
      <c r="B74" s="289"/>
      <c r="C74" s="288"/>
      <c r="D74" s="288"/>
      <c r="E74" s="112"/>
    </row>
    <row r="75" spans="1:5" ht="13.5" customHeight="1">
      <c r="A75" s="109" t="s">
        <v>100</v>
      </c>
      <c r="B75" s="294"/>
      <c r="C75" s="295">
        <f>$D30</f>
        <v>4874</v>
      </c>
      <c r="D75" s="294"/>
      <c r="E75" s="112"/>
    </row>
    <row r="76" spans="1:5" ht="7.5" customHeight="1">
      <c r="A76" s="112"/>
      <c r="B76" s="288"/>
      <c r="C76" s="289"/>
      <c r="D76" s="288"/>
      <c r="E76" s="112"/>
    </row>
    <row r="77" spans="1:5" ht="13.5" customHeight="1">
      <c r="A77" s="109" t="s">
        <v>172</v>
      </c>
      <c r="B77" s="407">
        <f>IF(ISERROR($B71/$B73),0,$B71/$B73)</f>
        <v>0.0007610494204474307</v>
      </c>
      <c r="C77" s="407"/>
      <c r="D77" s="296"/>
      <c r="E77" s="112"/>
    </row>
    <row r="78" spans="1:5" ht="7.5" customHeight="1">
      <c r="A78" s="112"/>
      <c r="B78" s="408"/>
      <c r="C78" s="408"/>
      <c r="D78" s="291"/>
      <c r="E78" s="112"/>
    </row>
    <row r="79" spans="1:5" ht="12.75">
      <c r="A79" s="109" t="s">
        <v>173</v>
      </c>
      <c r="B79" s="409"/>
      <c r="C79" s="410">
        <f>IF(ISERROR($C71/$C75/12),0,$C71/$C75/12)</f>
        <v>0.750558946854408</v>
      </c>
      <c r="D79" s="297"/>
      <c r="E79" s="112"/>
    </row>
    <row r="80" spans="1:5" ht="12.75">
      <c r="A80" s="298"/>
      <c r="B80" s="486"/>
      <c r="C80" s="487"/>
      <c r="D80" s="299"/>
      <c r="E80" s="112"/>
    </row>
    <row r="81" spans="1:5" ht="12.75">
      <c r="A81" s="298"/>
      <c r="B81" s="486"/>
      <c r="C81" s="487"/>
      <c r="D81" s="299"/>
      <c r="E81" s="112"/>
    </row>
    <row r="82" spans="1:5" ht="12.75">
      <c r="A82" s="298"/>
      <c r="B82" s="486"/>
      <c r="C82" s="487"/>
      <c r="D82" s="299"/>
      <c r="E82" s="112"/>
    </row>
    <row r="83" spans="1:4" ht="15">
      <c r="A83" s="132"/>
      <c r="B83" s="56"/>
      <c r="C83" s="56"/>
      <c r="D83" s="56"/>
    </row>
    <row r="84" spans="2:4" ht="12.75">
      <c r="B84" s="56"/>
      <c r="C84" s="56"/>
      <c r="D84" s="56"/>
    </row>
    <row r="85" ht="15.75">
      <c r="A85" s="54" t="s">
        <v>106</v>
      </c>
    </row>
    <row r="86" ht="10.5" customHeight="1">
      <c r="A86" s="131"/>
    </row>
    <row r="87" ht="9" customHeight="1">
      <c r="A87" s="132"/>
    </row>
    <row r="88" spans="1:7" ht="39" thickBot="1">
      <c r="A88" s="132"/>
      <c r="B88" s="284" t="s">
        <v>103</v>
      </c>
      <c r="C88" s="284" t="s">
        <v>205</v>
      </c>
      <c r="D88" s="284" t="s">
        <v>102</v>
      </c>
      <c r="E88" s="281"/>
      <c r="F88" s="281"/>
      <c r="G88" s="281"/>
    </row>
    <row r="89" spans="1:3" ht="15">
      <c r="A89" s="132"/>
      <c r="B89" s="30"/>
      <c r="C89" s="30"/>
    </row>
    <row r="90" spans="1:5" ht="12.75">
      <c r="A90" s="109" t="s">
        <v>98</v>
      </c>
      <c r="B90" s="292"/>
      <c r="C90" s="292"/>
      <c r="D90" s="411">
        <f>$G31</f>
        <v>57997.96871523145</v>
      </c>
      <c r="E90" s="112"/>
    </row>
    <row r="91" spans="1:5" ht="7.5" customHeight="1">
      <c r="A91" s="112"/>
      <c r="B91" s="285"/>
      <c r="C91" s="285"/>
      <c r="D91" s="286"/>
      <c r="E91" s="112"/>
    </row>
    <row r="92" spans="1:5" ht="12.75">
      <c r="A92" s="109" t="s">
        <v>101</v>
      </c>
      <c r="B92" s="484">
        <v>0.8</v>
      </c>
      <c r="C92" s="484">
        <v>0.2</v>
      </c>
      <c r="D92" s="293">
        <f>B92+C92</f>
        <v>1</v>
      </c>
      <c r="E92" s="112"/>
    </row>
    <row r="93" spans="1:5" ht="7.5" customHeight="1">
      <c r="A93" s="112"/>
      <c r="B93" s="287"/>
      <c r="C93" s="287"/>
      <c r="D93" s="287"/>
      <c r="E93" s="112"/>
    </row>
    <row r="94" spans="1:5" ht="13.5" customHeight="1">
      <c r="A94" s="109" t="s">
        <v>105</v>
      </c>
      <c r="B94" s="406">
        <f>$B92*$D90</f>
        <v>46398.374972185164</v>
      </c>
      <c r="C94" s="406">
        <f>C92*D90</f>
        <v>11599.593743046291</v>
      </c>
      <c r="D94" s="406">
        <f>SUM(B94:C94)</f>
        <v>57997.96871523146</v>
      </c>
      <c r="E94" s="112"/>
    </row>
    <row r="95" spans="1:5" ht="7.5" customHeight="1">
      <c r="A95" s="112"/>
      <c r="B95" s="288"/>
      <c r="C95" s="288"/>
      <c r="D95" s="288"/>
      <c r="E95" s="112"/>
    </row>
    <row r="96" spans="1:5" ht="13.5" customHeight="1">
      <c r="A96" s="109" t="s">
        <v>99</v>
      </c>
      <c r="B96" s="295">
        <f>$C31</f>
        <v>45498995</v>
      </c>
      <c r="C96" s="294"/>
      <c r="D96" s="294"/>
      <c r="E96" s="112"/>
    </row>
    <row r="97" spans="1:5" ht="7.5" customHeight="1">
      <c r="A97" s="112"/>
      <c r="B97" s="289"/>
      <c r="C97" s="288"/>
      <c r="D97" s="288"/>
      <c r="E97" s="112"/>
    </row>
    <row r="98" spans="1:5" ht="13.5" customHeight="1">
      <c r="A98" s="109" t="s">
        <v>100</v>
      </c>
      <c r="B98" s="294"/>
      <c r="C98" s="295">
        <f>$D31</f>
        <v>1286</v>
      </c>
      <c r="D98" s="294"/>
      <c r="E98" s="112"/>
    </row>
    <row r="99" spans="1:5" ht="7.5" customHeight="1">
      <c r="A99" s="112"/>
      <c r="B99" s="288"/>
      <c r="C99" s="289"/>
      <c r="D99" s="288"/>
      <c r="E99" s="112"/>
    </row>
    <row r="100" spans="1:5" ht="13.5" customHeight="1">
      <c r="A100" s="109" t="s">
        <v>172</v>
      </c>
      <c r="B100" s="407">
        <f>IF(ISERROR($B94/$B96),0,$B94/$B96)</f>
        <v>0.0010197670294076861</v>
      </c>
      <c r="C100" s="407"/>
      <c r="D100" s="296"/>
      <c r="E100" s="112"/>
    </row>
    <row r="101" spans="1:5" ht="7.5" customHeight="1">
      <c r="A101" s="112"/>
      <c r="B101" s="408"/>
      <c r="C101" s="408"/>
      <c r="D101" s="291"/>
      <c r="E101" s="112"/>
    </row>
    <row r="102" spans="1:5" ht="12.75">
      <c r="A102" s="109" t="s">
        <v>173</v>
      </c>
      <c r="B102" s="409"/>
      <c r="C102" s="410">
        <f>IF(ISERROR($C94/$C98/12),0,$C94/$C98/12)</f>
        <v>0.7516584851637047</v>
      </c>
      <c r="D102" s="297"/>
      <c r="E102" s="112"/>
    </row>
    <row r="103" spans="1:5" ht="12.75">
      <c r="A103" s="298"/>
      <c r="B103" s="299"/>
      <c r="C103" s="300"/>
      <c r="D103" s="299"/>
      <c r="E103" s="112"/>
    </row>
    <row r="104" spans="1:5" ht="12.75">
      <c r="A104" s="298"/>
      <c r="B104" s="299"/>
      <c r="C104" s="300"/>
      <c r="D104" s="299"/>
      <c r="E104" s="112"/>
    </row>
    <row r="105" ht="15.75">
      <c r="A105" s="54" t="s">
        <v>207</v>
      </c>
    </row>
    <row r="106" ht="9" customHeight="1">
      <c r="A106" s="54"/>
    </row>
    <row r="107" ht="15">
      <c r="A107" s="132"/>
    </row>
    <row r="108" spans="1:7" ht="39" thickBot="1">
      <c r="A108" s="132"/>
      <c r="B108" s="284" t="s">
        <v>103</v>
      </c>
      <c r="C108" s="284" t="s">
        <v>205</v>
      </c>
      <c r="D108" s="284" t="s">
        <v>102</v>
      </c>
      <c r="E108" s="281"/>
      <c r="F108" s="281"/>
      <c r="G108" s="281"/>
    </row>
    <row r="109" spans="1:3" ht="15">
      <c r="A109" s="132"/>
      <c r="B109" s="30"/>
      <c r="C109" s="30"/>
    </row>
    <row r="110" spans="1:5" ht="12.75">
      <c r="A110" s="109" t="s">
        <v>98</v>
      </c>
      <c r="B110" s="292"/>
      <c r="C110" s="292"/>
      <c r="D110" s="411">
        <f>$G32</f>
        <v>134212.22508578515</v>
      </c>
      <c r="E110" s="112"/>
    </row>
    <row r="111" spans="1:5" ht="7.5" customHeight="1">
      <c r="A111" s="112"/>
      <c r="B111" s="285"/>
      <c r="C111" s="285"/>
      <c r="D111" s="286"/>
      <c r="E111" s="112"/>
    </row>
    <row r="112" spans="1:5" ht="12.75">
      <c r="A112" s="109" t="s">
        <v>101</v>
      </c>
      <c r="B112" s="484">
        <v>0.975</v>
      </c>
      <c r="C112" s="484">
        <v>0.025</v>
      </c>
      <c r="D112" s="293">
        <f>B112+C112</f>
        <v>1</v>
      </c>
      <c r="E112" s="112"/>
    </row>
    <row r="113" spans="1:5" ht="7.5" customHeight="1">
      <c r="A113" s="112"/>
      <c r="B113" s="287"/>
      <c r="C113" s="287"/>
      <c r="D113" s="287"/>
      <c r="E113" s="112"/>
    </row>
    <row r="114" spans="1:5" ht="13.5" customHeight="1">
      <c r="A114" s="109" t="s">
        <v>105</v>
      </c>
      <c r="B114" s="406">
        <f>$B112*$D110</f>
        <v>130856.91945864052</v>
      </c>
      <c r="C114" s="406">
        <f>C112*D110</f>
        <v>3355.305627144629</v>
      </c>
      <c r="D114" s="406">
        <f>SUM(B114:C114)</f>
        <v>134212.22508578515</v>
      </c>
      <c r="E114" s="112"/>
    </row>
    <row r="115" spans="1:5" ht="7.5" customHeight="1">
      <c r="A115" s="112"/>
      <c r="B115" s="288"/>
      <c r="C115" s="288"/>
      <c r="D115" s="288"/>
      <c r="E115" s="112"/>
    </row>
    <row r="116" spans="1:5" ht="13.5" customHeight="1">
      <c r="A116" s="109" t="s">
        <v>164</v>
      </c>
      <c r="B116" s="295">
        <f>$B32</f>
        <v>337688</v>
      </c>
      <c r="C116" s="294"/>
      <c r="D116" s="294"/>
      <c r="E116" s="112"/>
    </row>
    <row r="117" spans="1:5" ht="7.5" customHeight="1">
      <c r="A117" s="112"/>
      <c r="B117" s="289"/>
      <c r="C117" s="288"/>
      <c r="D117" s="288"/>
      <c r="E117" s="112"/>
    </row>
    <row r="118" spans="1:5" ht="13.5" customHeight="1">
      <c r="A118" s="109" t="s">
        <v>100</v>
      </c>
      <c r="B118" s="294"/>
      <c r="C118" s="295">
        <f>$D32</f>
        <v>179</v>
      </c>
      <c r="D118" s="294"/>
      <c r="E118" s="112"/>
    </row>
    <row r="119" spans="1:5" ht="7.5" customHeight="1">
      <c r="A119" s="112"/>
      <c r="B119" s="288"/>
      <c r="C119" s="289"/>
      <c r="D119" s="288"/>
      <c r="E119" s="112"/>
    </row>
    <row r="120" spans="1:6" ht="13.5" customHeight="1">
      <c r="A120" s="109" t="s">
        <v>221</v>
      </c>
      <c r="B120" s="407">
        <f>IF(ISERROR($B114/$B116),0,$B114/$B116)</f>
        <v>0.38750834930065775</v>
      </c>
      <c r="C120" s="407"/>
      <c r="D120" s="296"/>
      <c r="E120" s="112"/>
      <c r="F120" s="384"/>
    </row>
    <row r="121" spans="1:5" ht="7.5" customHeight="1">
      <c r="A121" s="112"/>
      <c r="B121" s="408"/>
      <c r="C121" s="408"/>
      <c r="D121" s="291"/>
      <c r="E121" s="112"/>
    </row>
    <row r="122" spans="1:5" ht="12.75">
      <c r="A122" s="109" t="s">
        <v>173</v>
      </c>
      <c r="B122" s="409"/>
      <c r="C122" s="410">
        <f>IF(ISERROR($C114/$C118/12),0,$C114/$C118/12)</f>
        <v>1.562060347832695</v>
      </c>
      <c r="D122" s="297"/>
      <c r="E122" s="112"/>
    </row>
    <row r="123" spans="1:5" ht="12.75">
      <c r="A123" s="298"/>
      <c r="B123" s="299"/>
      <c r="C123" s="300"/>
      <c r="D123" s="299"/>
      <c r="E123" s="112"/>
    </row>
    <row r="124" spans="1:5" ht="12.75">
      <c r="A124" s="298"/>
      <c r="B124" s="299"/>
      <c r="C124" s="300"/>
      <c r="D124" s="299"/>
      <c r="E124" s="112"/>
    </row>
    <row r="125" ht="15.75">
      <c r="A125" s="54" t="s">
        <v>206</v>
      </c>
    </row>
    <row r="126" ht="9" customHeight="1">
      <c r="A126" s="54"/>
    </row>
    <row r="127" ht="15">
      <c r="A127" s="132"/>
    </row>
    <row r="128" spans="1:7" ht="39" thickBot="1">
      <c r="A128" s="132"/>
      <c r="B128" s="284" t="s">
        <v>103</v>
      </c>
      <c r="C128" s="284" t="s">
        <v>205</v>
      </c>
      <c r="D128" s="284" t="s">
        <v>102</v>
      </c>
      <c r="E128" s="281"/>
      <c r="F128" s="281"/>
      <c r="G128" s="281"/>
    </row>
    <row r="129" spans="1:3" ht="15">
      <c r="A129" s="132"/>
      <c r="B129" s="30"/>
      <c r="C129" s="30"/>
    </row>
    <row r="130" spans="1:5" ht="12.75">
      <c r="A130" s="109" t="s">
        <v>98</v>
      </c>
      <c r="B130" s="292"/>
      <c r="C130" s="292"/>
      <c r="D130" s="411">
        <f>$G33</f>
        <v>0</v>
      </c>
      <c r="E130" s="112"/>
    </row>
    <row r="131" spans="1:5" ht="7.5" customHeight="1">
      <c r="A131" s="112"/>
      <c r="B131" s="285"/>
      <c r="C131" s="285"/>
      <c r="D131" s="286"/>
      <c r="E131" s="112"/>
    </row>
    <row r="132" spans="1:5" ht="12.75">
      <c r="A132" s="109" t="s">
        <v>101</v>
      </c>
      <c r="B132" s="484"/>
      <c r="C132" s="484"/>
      <c r="D132" s="293">
        <f>B132+C132</f>
        <v>0</v>
      </c>
      <c r="E132" s="112"/>
    </row>
    <row r="133" spans="1:5" ht="7.5" customHeight="1">
      <c r="A133" s="112"/>
      <c r="B133" s="287"/>
      <c r="C133" s="287"/>
      <c r="D133" s="287"/>
      <c r="E133" s="112"/>
    </row>
    <row r="134" spans="1:5" ht="13.5" customHeight="1">
      <c r="A134" s="109" t="s">
        <v>105</v>
      </c>
      <c r="B134" s="406">
        <f>$B132*$D130</f>
        <v>0</v>
      </c>
      <c r="C134" s="406">
        <f>C132*D130</f>
        <v>0</v>
      </c>
      <c r="D134" s="406">
        <f>SUM(B134:C134)</f>
        <v>0</v>
      </c>
      <c r="E134" s="112"/>
    </row>
    <row r="135" spans="1:5" ht="7.5" customHeight="1">
      <c r="A135" s="112"/>
      <c r="B135" s="288"/>
      <c r="C135" s="288"/>
      <c r="D135" s="288"/>
      <c r="E135" s="112"/>
    </row>
    <row r="136" spans="1:5" ht="13.5" customHeight="1">
      <c r="A136" s="109" t="s">
        <v>164</v>
      </c>
      <c r="B136" s="295">
        <f>$B33</f>
        <v>0</v>
      </c>
      <c r="C136" s="294"/>
      <c r="D136" s="294"/>
      <c r="E136" s="112"/>
    </row>
    <row r="137" spans="1:5" ht="7.5" customHeight="1">
      <c r="A137" s="112"/>
      <c r="B137" s="289"/>
      <c r="C137" s="288"/>
      <c r="D137" s="288"/>
      <c r="E137" s="112"/>
    </row>
    <row r="138" spans="1:5" ht="13.5" customHeight="1">
      <c r="A138" s="109" t="s">
        <v>100</v>
      </c>
      <c r="B138" s="294"/>
      <c r="C138" s="295">
        <f>$D33</f>
        <v>0</v>
      </c>
      <c r="D138" s="294"/>
      <c r="E138" s="112"/>
    </row>
    <row r="139" spans="1:5" ht="7.5" customHeight="1">
      <c r="A139" s="112"/>
      <c r="B139" s="288"/>
      <c r="C139" s="289"/>
      <c r="D139" s="288"/>
      <c r="E139" s="112"/>
    </row>
    <row r="140" spans="1:5" ht="13.5" customHeight="1">
      <c r="A140" s="109" t="s">
        <v>174</v>
      </c>
      <c r="B140" s="407">
        <f>IF(ISERROR($B134/$B136),0,$B134/$B136)</f>
        <v>0</v>
      </c>
      <c r="C140" s="407"/>
      <c r="D140" s="296"/>
      <c r="E140" s="112"/>
    </row>
    <row r="141" spans="1:5" ht="7.5" customHeight="1">
      <c r="A141" s="112"/>
      <c r="B141" s="408"/>
      <c r="C141" s="408"/>
      <c r="D141" s="291"/>
      <c r="E141" s="112"/>
    </row>
    <row r="142" spans="1:5" ht="12.75">
      <c r="A142" s="109" t="s">
        <v>173</v>
      </c>
      <c r="B142" s="409"/>
      <c r="C142" s="410">
        <f>IF(ISERROR($C134/$C138/12),0,$C134/$C138/12)</f>
        <v>0</v>
      </c>
      <c r="D142" s="297"/>
      <c r="E142" s="112"/>
    </row>
    <row r="143" spans="1:5" ht="12.75">
      <c r="A143" s="298"/>
      <c r="B143" s="299"/>
      <c r="C143" s="300"/>
      <c r="D143" s="299"/>
      <c r="E143" s="112"/>
    </row>
    <row r="144" spans="1:5" ht="12.75">
      <c r="A144" s="298"/>
      <c r="B144" s="299"/>
      <c r="C144" s="300"/>
      <c r="D144" s="299"/>
      <c r="E144" s="112"/>
    </row>
    <row r="145" ht="15.75">
      <c r="A145" s="54" t="s">
        <v>16</v>
      </c>
    </row>
    <row r="146" ht="10.5" customHeight="1">
      <c r="A146" s="54"/>
    </row>
    <row r="147" ht="15">
      <c r="A147" s="132"/>
    </row>
    <row r="148" spans="1:7" ht="39" thickBot="1">
      <c r="A148" s="132"/>
      <c r="B148" s="284" t="s">
        <v>103</v>
      </c>
      <c r="C148" s="284" t="s">
        <v>205</v>
      </c>
      <c r="D148" s="284" t="s">
        <v>102</v>
      </c>
      <c r="E148" s="281"/>
      <c r="F148" s="281"/>
      <c r="G148" s="281"/>
    </row>
    <row r="149" spans="1:3" ht="15">
      <c r="A149" s="132"/>
      <c r="B149" s="30"/>
      <c r="C149" s="30"/>
    </row>
    <row r="150" spans="1:5" ht="12.75">
      <c r="A150" s="109" t="s">
        <v>98</v>
      </c>
      <c r="B150" s="292"/>
      <c r="C150" s="292"/>
      <c r="D150" s="411">
        <f>$G34</f>
        <v>0</v>
      </c>
      <c r="E150" s="112"/>
    </row>
    <row r="151" spans="1:5" ht="7.5" customHeight="1">
      <c r="A151" s="112"/>
      <c r="B151" s="285"/>
      <c r="C151" s="285"/>
      <c r="D151" s="286"/>
      <c r="E151" s="112"/>
    </row>
    <row r="152" spans="1:5" ht="12.75">
      <c r="A152" s="109" t="s">
        <v>101</v>
      </c>
      <c r="B152" s="484"/>
      <c r="C152" s="484"/>
      <c r="D152" s="293">
        <f>B152+C152</f>
        <v>0</v>
      </c>
      <c r="E152" s="112"/>
    </row>
    <row r="153" spans="1:5" ht="7.5" customHeight="1">
      <c r="A153" s="112"/>
      <c r="B153" s="287"/>
      <c r="C153" s="287"/>
      <c r="D153" s="287"/>
      <c r="E153" s="112"/>
    </row>
    <row r="154" spans="1:5" ht="13.5" customHeight="1">
      <c r="A154" s="109" t="s">
        <v>105</v>
      </c>
      <c r="B154" s="406">
        <f>$B152*$D150</f>
        <v>0</v>
      </c>
      <c r="C154" s="406">
        <f>C152*D150</f>
        <v>0</v>
      </c>
      <c r="D154" s="406">
        <f>SUM(B154:C154)</f>
        <v>0</v>
      </c>
      <c r="E154" s="112"/>
    </row>
    <row r="155" spans="1:5" ht="7.5" customHeight="1">
      <c r="A155" s="112"/>
      <c r="B155" s="288"/>
      <c r="C155" s="288"/>
      <c r="D155" s="288"/>
      <c r="E155" s="112"/>
    </row>
    <row r="156" spans="1:5" ht="13.5" customHeight="1">
      <c r="A156" s="109" t="s">
        <v>164</v>
      </c>
      <c r="B156" s="295">
        <f>$B34</f>
        <v>0</v>
      </c>
      <c r="C156" s="294"/>
      <c r="D156" s="294"/>
      <c r="E156" s="112"/>
    </row>
    <row r="157" spans="1:5" ht="7.5" customHeight="1">
      <c r="A157" s="112"/>
      <c r="B157" s="289"/>
      <c r="C157" s="288"/>
      <c r="D157" s="288"/>
      <c r="E157" s="112"/>
    </row>
    <row r="158" spans="1:5" ht="13.5" customHeight="1">
      <c r="A158" s="109" t="s">
        <v>100</v>
      </c>
      <c r="B158" s="294"/>
      <c r="C158" s="295">
        <f>$D34</f>
        <v>0</v>
      </c>
      <c r="D158" s="294"/>
      <c r="E158" s="112"/>
    </row>
    <row r="159" spans="1:5" ht="7.5" customHeight="1">
      <c r="A159" s="112"/>
      <c r="B159" s="288"/>
      <c r="C159" s="289"/>
      <c r="D159" s="288"/>
      <c r="E159" s="112"/>
    </row>
    <row r="160" spans="1:5" ht="13.5" customHeight="1">
      <c r="A160" s="109" t="s">
        <v>174</v>
      </c>
      <c r="B160" s="407">
        <f>IF(ISERROR($B154/$B156),0,$B154/$B156)</f>
        <v>0</v>
      </c>
      <c r="C160" s="407"/>
      <c r="D160" s="296"/>
      <c r="E160" s="112"/>
    </row>
    <row r="161" spans="1:5" ht="7.5" customHeight="1">
      <c r="A161" s="112"/>
      <c r="B161" s="408"/>
      <c r="C161" s="408"/>
      <c r="D161" s="291"/>
      <c r="E161" s="112"/>
    </row>
    <row r="162" spans="1:5" ht="12.75">
      <c r="A162" s="109" t="s">
        <v>173</v>
      </c>
      <c r="B162" s="409"/>
      <c r="C162" s="410">
        <f>IF(ISERROR($C154/$C158/12),0,$C154/$C158/12)</f>
        <v>0</v>
      </c>
      <c r="D162" s="297"/>
      <c r="E162" s="112"/>
    </row>
    <row r="163" spans="1:5" ht="12.75">
      <c r="A163" s="298"/>
      <c r="B163" s="299"/>
      <c r="C163" s="300"/>
      <c r="D163" s="299"/>
      <c r="E163" s="112"/>
    </row>
    <row r="164" spans="1:5" ht="12.75">
      <c r="A164" s="298"/>
      <c r="B164" s="299"/>
      <c r="C164" s="300"/>
      <c r="D164" s="299"/>
      <c r="E164" s="112"/>
    </row>
    <row r="165" ht="15.75">
      <c r="A165" s="54" t="s">
        <v>17</v>
      </c>
    </row>
    <row r="166" ht="10.5" customHeight="1">
      <c r="A166" s="54"/>
    </row>
    <row r="167" ht="15">
      <c r="A167" s="132"/>
    </row>
    <row r="168" spans="1:7" ht="39" thickBot="1">
      <c r="A168" s="132"/>
      <c r="B168" s="284" t="s">
        <v>103</v>
      </c>
      <c r="C168" s="284" t="s">
        <v>205</v>
      </c>
      <c r="D168" s="284" t="s">
        <v>102</v>
      </c>
      <c r="E168" s="281"/>
      <c r="F168" s="281"/>
      <c r="G168" s="281"/>
    </row>
    <row r="169" spans="1:3" ht="15">
      <c r="A169" s="132"/>
      <c r="B169" s="30"/>
      <c r="C169" s="30"/>
    </row>
    <row r="170" spans="1:5" ht="12.75">
      <c r="A170" s="109" t="s">
        <v>98</v>
      </c>
      <c r="B170" s="292"/>
      <c r="C170" s="292"/>
      <c r="D170" s="411">
        <f>$G35</f>
        <v>0</v>
      </c>
      <c r="E170" s="112"/>
    </row>
    <row r="171" spans="1:5" ht="7.5" customHeight="1">
      <c r="A171" s="112"/>
      <c r="B171" s="285"/>
      <c r="C171" s="285"/>
      <c r="D171" s="286"/>
      <c r="E171" s="112"/>
    </row>
    <row r="172" spans="1:5" ht="12.75">
      <c r="A172" s="109" t="s">
        <v>101</v>
      </c>
      <c r="B172" s="484"/>
      <c r="C172" s="484"/>
      <c r="D172" s="293">
        <f>B172+C172</f>
        <v>0</v>
      </c>
      <c r="E172" s="112"/>
    </row>
    <row r="173" spans="1:5" ht="7.5" customHeight="1">
      <c r="A173" s="112"/>
      <c r="B173" s="287"/>
      <c r="C173" s="287"/>
      <c r="D173" s="287"/>
      <c r="E173" s="112"/>
    </row>
    <row r="174" spans="1:5" ht="13.5" customHeight="1">
      <c r="A174" s="109" t="s">
        <v>105</v>
      </c>
      <c r="B174" s="406">
        <f>$B172*$D170</f>
        <v>0</v>
      </c>
      <c r="C174" s="406">
        <f>C172*D170</f>
        <v>0</v>
      </c>
      <c r="D174" s="406">
        <f>SUM(B174:C174)</f>
        <v>0</v>
      </c>
      <c r="E174" s="112"/>
    </row>
    <row r="175" spans="1:5" ht="7.5" customHeight="1">
      <c r="A175" s="112"/>
      <c r="B175" s="288"/>
      <c r="C175" s="288"/>
      <c r="D175" s="288"/>
      <c r="E175" s="112"/>
    </row>
    <row r="176" spans="1:5" ht="13.5" customHeight="1">
      <c r="A176" s="109" t="s">
        <v>164</v>
      </c>
      <c r="B176" s="295">
        <f>$B35</f>
        <v>0</v>
      </c>
      <c r="C176" s="294"/>
      <c r="D176" s="294"/>
      <c r="E176" s="112"/>
    </row>
    <row r="177" spans="1:5" ht="7.5" customHeight="1">
      <c r="A177" s="112"/>
      <c r="B177" s="289"/>
      <c r="C177" s="288"/>
      <c r="D177" s="288"/>
      <c r="E177" s="112"/>
    </row>
    <row r="178" spans="1:5" ht="13.5" customHeight="1">
      <c r="A178" s="109" t="s">
        <v>100</v>
      </c>
      <c r="B178" s="294"/>
      <c r="C178" s="295">
        <f>$D35</f>
        <v>0</v>
      </c>
      <c r="D178" s="294"/>
      <c r="E178" s="112"/>
    </row>
    <row r="179" spans="1:5" ht="7.5" customHeight="1">
      <c r="A179" s="112"/>
      <c r="B179" s="288"/>
      <c r="C179" s="289"/>
      <c r="D179" s="288"/>
      <c r="E179" s="112"/>
    </row>
    <row r="180" spans="1:5" ht="13.5" customHeight="1">
      <c r="A180" s="109" t="s">
        <v>174</v>
      </c>
      <c r="B180" s="407">
        <f>IF(ISERROR($B174/$B176),0,$B174/$B176)</f>
        <v>0</v>
      </c>
      <c r="C180" s="407"/>
      <c r="D180" s="296"/>
      <c r="E180" s="112"/>
    </row>
    <row r="181" spans="1:5" ht="7.5" customHeight="1">
      <c r="A181" s="112"/>
      <c r="B181" s="408"/>
      <c r="C181" s="408"/>
      <c r="D181" s="291"/>
      <c r="E181" s="112"/>
    </row>
    <row r="182" spans="1:5" ht="12.75">
      <c r="A182" s="109" t="s">
        <v>173</v>
      </c>
      <c r="B182" s="409"/>
      <c r="C182" s="410">
        <f>IF(ISERROR($C174/$C178/12),0,$C174/$C178/12)</f>
        <v>0</v>
      </c>
      <c r="D182" s="297"/>
      <c r="E182" s="112"/>
    </row>
    <row r="183" spans="1:5" ht="12.75">
      <c r="A183" s="298"/>
      <c r="B183" s="299"/>
      <c r="C183" s="300"/>
      <c r="D183" s="299"/>
      <c r="E183" s="112"/>
    </row>
    <row r="184" spans="1:5" ht="12.75">
      <c r="A184" s="298"/>
      <c r="B184" s="299"/>
      <c r="C184" s="300"/>
      <c r="D184" s="299"/>
      <c r="E184" s="112"/>
    </row>
    <row r="185" ht="15.75">
      <c r="A185" s="54" t="s">
        <v>18</v>
      </c>
    </row>
    <row r="186" ht="6.75" customHeight="1">
      <c r="A186" s="54"/>
    </row>
    <row r="187" ht="15">
      <c r="A187" s="132"/>
    </row>
    <row r="188" spans="1:7" ht="39" thickBot="1">
      <c r="A188" s="132"/>
      <c r="B188" s="284" t="s">
        <v>103</v>
      </c>
      <c r="C188" s="284" t="s">
        <v>205</v>
      </c>
      <c r="D188" s="284" t="s">
        <v>102</v>
      </c>
      <c r="E188" s="281"/>
      <c r="F188" s="281"/>
      <c r="G188" s="281"/>
    </row>
    <row r="189" spans="1:3" ht="15">
      <c r="A189" s="132"/>
      <c r="B189" s="30"/>
      <c r="C189" s="30"/>
    </row>
    <row r="190" spans="1:5" ht="12.75">
      <c r="A190" s="109" t="s">
        <v>98</v>
      </c>
      <c r="B190" s="292"/>
      <c r="C190" s="292"/>
      <c r="D190" s="411">
        <f>$G36</f>
        <v>358.37677937530424</v>
      </c>
      <c r="E190" s="112"/>
    </row>
    <row r="191" spans="1:5" ht="7.5" customHeight="1">
      <c r="A191" s="112"/>
      <c r="B191" s="285"/>
      <c r="C191" s="285"/>
      <c r="D191" s="286"/>
      <c r="E191" s="112"/>
    </row>
    <row r="192" spans="1:5" ht="12.75">
      <c r="A192" s="109" t="s">
        <v>101</v>
      </c>
      <c r="B192" s="484">
        <v>0.128</v>
      </c>
      <c r="C192" s="484">
        <v>0.872</v>
      </c>
      <c r="D192" s="293">
        <f>B192+C192</f>
        <v>1</v>
      </c>
      <c r="E192" s="112"/>
    </row>
    <row r="193" spans="1:5" ht="7.5" customHeight="1">
      <c r="A193" s="112"/>
      <c r="B193" s="287"/>
      <c r="C193" s="287"/>
      <c r="D193" s="287"/>
      <c r="E193" s="112"/>
    </row>
    <row r="194" spans="1:5" ht="13.5" customHeight="1">
      <c r="A194" s="109" t="s">
        <v>105</v>
      </c>
      <c r="B194" s="406">
        <f>$B192*$D190</f>
        <v>45.872227760038946</v>
      </c>
      <c r="C194" s="406">
        <f>C192*D190</f>
        <v>312.5045516152653</v>
      </c>
      <c r="D194" s="406">
        <f>SUM(B194:C194)</f>
        <v>358.37677937530424</v>
      </c>
      <c r="E194" s="112"/>
    </row>
    <row r="195" spans="1:5" ht="7.5" customHeight="1">
      <c r="A195" s="112"/>
      <c r="B195" s="288"/>
      <c r="C195" s="288"/>
      <c r="D195" s="288"/>
      <c r="E195" s="112"/>
    </row>
    <row r="196" spans="1:5" ht="13.5" customHeight="1">
      <c r="A196" s="109" t="s">
        <v>164</v>
      </c>
      <c r="B196" s="295">
        <f>$B36</f>
        <v>949</v>
      </c>
      <c r="C196" s="294"/>
      <c r="D196" s="294"/>
      <c r="E196" s="112"/>
    </row>
    <row r="197" spans="1:5" ht="7.5" customHeight="1">
      <c r="A197" s="112"/>
      <c r="B197" s="289"/>
      <c r="C197" s="288"/>
      <c r="D197" s="288"/>
      <c r="E197" s="112"/>
    </row>
    <row r="198" spans="1:5" ht="13.5" customHeight="1">
      <c r="A198" s="109" t="s">
        <v>100</v>
      </c>
      <c r="B198" s="294"/>
      <c r="C198" s="295">
        <f>$D36</f>
        <v>407</v>
      </c>
      <c r="D198" s="294"/>
      <c r="E198" s="112"/>
    </row>
    <row r="199" spans="1:5" ht="7.5" customHeight="1">
      <c r="A199" s="112"/>
      <c r="B199" s="288"/>
      <c r="C199" s="289"/>
      <c r="D199" s="288"/>
      <c r="E199" s="112"/>
    </row>
    <row r="200" spans="1:5" ht="13.5" customHeight="1">
      <c r="A200" s="109" t="s">
        <v>174</v>
      </c>
      <c r="B200" s="407">
        <f>IF(ISERROR($B194/$B196),0,$B194/$B196)</f>
        <v>0.048337437049566855</v>
      </c>
      <c r="C200" s="407"/>
      <c r="D200" s="296"/>
      <c r="E200" s="112"/>
    </row>
    <row r="201" spans="1:5" ht="7.5" customHeight="1">
      <c r="A201" s="112"/>
      <c r="B201" s="408"/>
      <c r="C201" s="408"/>
      <c r="D201" s="291"/>
      <c r="E201" s="112"/>
    </row>
    <row r="202" spans="1:5" ht="12.75">
      <c r="A202" s="109" t="s">
        <v>173</v>
      </c>
      <c r="B202" s="409"/>
      <c r="C202" s="410">
        <f>IF(ISERROR($C194/$C198/12),0,$C194/$C198/12)</f>
        <v>0.0639853709285965</v>
      </c>
      <c r="D202" s="297"/>
      <c r="E202" s="112"/>
    </row>
    <row r="203" spans="1:5" ht="12.75">
      <c r="A203" s="298"/>
      <c r="B203" s="299"/>
      <c r="C203" s="300"/>
      <c r="D203" s="299"/>
      <c r="E203" s="112"/>
    </row>
    <row r="204" spans="1:5" ht="12.75">
      <c r="A204" s="298"/>
      <c r="B204" s="299"/>
      <c r="C204" s="300"/>
      <c r="D204" s="299"/>
      <c r="E204" s="112"/>
    </row>
    <row r="205" ht="15.75">
      <c r="A205" s="54" t="s">
        <v>107</v>
      </c>
    </row>
    <row r="206" ht="9.75" customHeight="1">
      <c r="A206" s="54"/>
    </row>
    <row r="207" ht="15">
      <c r="A207" s="132"/>
    </row>
    <row r="208" spans="1:7" ht="39" thickBot="1">
      <c r="A208" s="132"/>
      <c r="B208" s="284" t="s">
        <v>103</v>
      </c>
      <c r="C208" s="284" t="s">
        <v>205</v>
      </c>
      <c r="D208" s="284" t="s">
        <v>102</v>
      </c>
      <c r="E208" s="281"/>
      <c r="F208" s="281"/>
      <c r="G208" s="281"/>
    </row>
    <row r="209" spans="1:3" ht="15">
      <c r="A209" s="132"/>
      <c r="B209" s="30"/>
      <c r="C209" s="30"/>
    </row>
    <row r="210" spans="1:5" ht="12.75">
      <c r="A210" s="109" t="s">
        <v>98</v>
      </c>
      <c r="B210" s="292"/>
      <c r="C210" s="292"/>
      <c r="D210" s="411">
        <f>$G37</f>
        <v>984.9502962357573</v>
      </c>
      <c r="E210" s="112"/>
    </row>
    <row r="211" spans="1:5" ht="7.5" customHeight="1">
      <c r="A211" s="112"/>
      <c r="B211" s="285"/>
      <c r="C211" s="285"/>
      <c r="D211" s="286"/>
      <c r="E211" s="112"/>
    </row>
    <row r="212" spans="1:5" ht="12.75">
      <c r="A212" s="109" t="s">
        <v>101</v>
      </c>
      <c r="B212" s="484">
        <v>0.15</v>
      </c>
      <c r="C212" s="484">
        <v>0.85</v>
      </c>
      <c r="D212" s="293">
        <f>B212+C212</f>
        <v>1</v>
      </c>
      <c r="E212" s="112"/>
    </row>
    <row r="213" spans="1:5" ht="7.5" customHeight="1">
      <c r="A213" s="112"/>
      <c r="B213" s="287"/>
      <c r="C213" s="287"/>
      <c r="D213" s="287"/>
      <c r="E213" s="112"/>
    </row>
    <row r="214" spans="1:5" ht="13.5" customHeight="1">
      <c r="A214" s="109" t="s">
        <v>105</v>
      </c>
      <c r="B214" s="406">
        <f>$B212*$D210</f>
        <v>147.74254443536358</v>
      </c>
      <c r="C214" s="406">
        <f>C212*D210</f>
        <v>837.2077518003937</v>
      </c>
      <c r="D214" s="406">
        <f>SUM(B214:C214)</f>
        <v>984.9502962357573</v>
      </c>
      <c r="E214" s="112"/>
    </row>
    <row r="215" spans="1:5" ht="7.5" customHeight="1">
      <c r="A215" s="112"/>
      <c r="B215" s="288"/>
      <c r="C215" s="288"/>
      <c r="D215" s="288"/>
      <c r="E215" s="112"/>
    </row>
    <row r="216" spans="1:5" ht="13.5" customHeight="1">
      <c r="A216" s="109" t="s">
        <v>164</v>
      </c>
      <c r="B216" s="295">
        <f>$B37</f>
        <v>3549</v>
      </c>
      <c r="C216" s="294"/>
      <c r="D216" s="294"/>
      <c r="E216" s="112"/>
    </row>
    <row r="217" spans="1:5" ht="7.5" customHeight="1">
      <c r="A217" s="112"/>
      <c r="B217" s="289"/>
      <c r="C217" s="288"/>
      <c r="D217" s="288"/>
      <c r="E217" s="112"/>
    </row>
    <row r="218" spans="1:5" ht="13.5" customHeight="1">
      <c r="A218" s="109" t="s">
        <v>100</v>
      </c>
      <c r="B218" s="294"/>
      <c r="C218" s="295">
        <f>$D37</f>
        <v>1858</v>
      </c>
      <c r="D218" s="294"/>
      <c r="E218" s="112"/>
    </row>
    <row r="219" spans="1:5" ht="7.5" customHeight="1">
      <c r="A219" s="112"/>
      <c r="B219" s="288"/>
      <c r="C219" s="289"/>
      <c r="D219" s="288"/>
      <c r="E219" s="112"/>
    </row>
    <row r="220" spans="1:5" ht="13.5" customHeight="1">
      <c r="A220" s="109" t="s">
        <v>174</v>
      </c>
      <c r="B220" s="407">
        <f>IF(ISERROR($B214/$B216),0,$B214/$B216)</f>
        <v>0.04162934472678602</v>
      </c>
      <c r="C220" s="407"/>
      <c r="D220" s="296"/>
      <c r="E220" s="112"/>
    </row>
    <row r="221" spans="1:5" ht="7.5" customHeight="1">
      <c r="A221" s="112"/>
      <c r="B221" s="408"/>
      <c r="C221" s="408"/>
      <c r="D221" s="291"/>
      <c r="E221" s="112"/>
    </row>
    <row r="222" spans="1:5" ht="12.75">
      <c r="A222" s="109" t="s">
        <v>173</v>
      </c>
      <c r="B222" s="409"/>
      <c r="C222" s="410">
        <f>IF(ISERROR($C214/$C218/12),0,$C214/$C218/12)</f>
        <v>0.03754968388053434</v>
      </c>
      <c r="D222" s="297"/>
      <c r="E222" s="112"/>
    </row>
  </sheetData>
  <mergeCells count="8">
    <mergeCell ref="A3:C3"/>
    <mergeCell ref="A5:C5"/>
    <mergeCell ref="A6:C6"/>
    <mergeCell ref="A42:G42"/>
    <mergeCell ref="C40:F40"/>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84" max="6" man="1"/>
    <brk id="163" max="6" man="1"/>
  </rowBreaks>
</worksheet>
</file>

<file path=xl/worksheets/sheet4.xml><?xml version="1.0" encoding="utf-8"?>
<worksheet xmlns="http://schemas.openxmlformats.org/spreadsheetml/2006/main" xmlns:r="http://schemas.openxmlformats.org/officeDocument/2006/relationships">
  <dimension ref="A1:H93"/>
  <sheetViews>
    <sheetView workbookViewId="0" topLeftCell="A1">
      <pane ySplit="1" topLeftCell="BM2" activePane="bottomLeft" state="frozen"/>
      <selection pane="topLeft" activeCell="A1" sqref="A1"/>
      <selection pane="bottomLeft" activeCell="D20" sqref="D20"/>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175</v>
      </c>
    </row>
    <row r="2" ht="13.5" thickBot="1"/>
    <row r="3" spans="1:7" ht="15.75">
      <c r="A3" s="503" t="str">
        <f>"Name of Utility:      "&amp;'Info Sheet'!B4</f>
        <v>Name of Utility:      PENINSULA WEST UTILITIES LIMITED</v>
      </c>
      <c r="B3" s="504"/>
      <c r="C3" s="504"/>
      <c r="D3" s="460" t="str">
        <f>'Info Sheet'!$B$21</f>
        <v>2005.V1.1</v>
      </c>
      <c r="E3" s="26"/>
      <c r="F3" s="31"/>
      <c r="G3" s="31"/>
    </row>
    <row r="4" spans="1:7" ht="18">
      <c r="A4" s="304" t="str">
        <f>"License Number:   "&amp;'Info Sheet'!B6</f>
        <v>License Number:   ED-2002-0555</v>
      </c>
      <c r="B4" s="27"/>
      <c r="C4" s="396"/>
      <c r="D4" s="399" t="str">
        <f>'Info Sheet'!B8</f>
        <v>RP-2005-0013</v>
      </c>
      <c r="E4" s="26"/>
      <c r="F4" s="31"/>
      <c r="G4" s="31"/>
    </row>
    <row r="5" spans="1:7" ht="15.75">
      <c r="A5" s="505" t="str">
        <f>"Name of Contact:  "&amp;'Info Sheet'!B12</f>
        <v>Name of Contact:  KAREN BUBISH</v>
      </c>
      <c r="B5" s="506"/>
      <c r="C5" s="506"/>
      <c r="D5" s="399" t="str">
        <f>'Info Sheet'!B10</f>
        <v>EB-2005-0066</v>
      </c>
      <c r="E5" s="31"/>
      <c r="F5" s="31"/>
      <c r="G5" s="31"/>
    </row>
    <row r="6" spans="1:4" ht="18" customHeight="1">
      <c r="A6" s="502" t="str">
        <f>"E- Mail Address:    "&amp;'Info Sheet'!B14</f>
        <v>E- Mail Address:    karen@penwest.on.ca</v>
      </c>
      <c r="B6" s="507"/>
      <c r="C6" s="507"/>
      <c r="D6" s="100"/>
    </row>
    <row r="7" spans="1:4" ht="15.75">
      <c r="A7" s="304" t="str">
        <f>"Phone Number:     "&amp;'Info Sheet'!B16</f>
        <v>Phone Number:     905-563-5550</v>
      </c>
      <c r="B7" s="507" t="str">
        <f>'Info Sheet'!$C$16&amp;" "&amp;'Info Sheet'!$D$16</f>
        <v>Extension: 222</v>
      </c>
      <c r="C7" s="507"/>
      <c r="D7" s="100"/>
    </row>
    <row r="8" spans="1:4" ht="16.5" thickBot="1">
      <c r="A8" s="519" t="str">
        <f>"Date:                      "&amp;('Info Sheet'!B18)</f>
        <v>Date:                      JANUARY 14, 2005</v>
      </c>
      <c r="B8" s="520"/>
      <c r="C8" s="520"/>
      <c r="D8" s="150"/>
    </row>
    <row r="9" spans="1:3" ht="18">
      <c r="A9" s="131"/>
      <c r="C9" s="8"/>
    </row>
    <row r="10" ht="14.25">
      <c r="A10" s="11"/>
    </row>
    <row r="12" spans="1:7" ht="15.75">
      <c r="A12" s="54" t="s">
        <v>229</v>
      </c>
      <c r="B12" s="52"/>
      <c r="C12" s="53"/>
      <c r="D12" s="10"/>
      <c r="E12" s="15"/>
      <c r="G12" s="15"/>
    </row>
    <row r="13" spans="2:7" ht="12.75">
      <c r="B13" s="15"/>
      <c r="C13" s="15"/>
      <c r="D13" s="25"/>
      <c r="E13" s="15"/>
      <c r="F13" s="15"/>
      <c r="G13" s="15"/>
    </row>
    <row r="14" spans="1:8" ht="12.75">
      <c r="A14" s="34" t="s">
        <v>1</v>
      </c>
      <c r="B14" s="23">
        <f>IF(OR(ISBLANK('1. 2002 Base Rate Schedule'!D19),'1. 2002 Base Rate Schedule'!D19=0),"",'1. 2002 Base Rate Schedule'!D19+'2. Adding Final 3rd MARR'!B58)</f>
        <v>0.016696318806378497</v>
      </c>
      <c r="C14" s="15"/>
      <c r="D14" s="387"/>
      <c r="E14" s="15"/>
      <c r="F14" s="301"/>
      <c r="G14" s="301"/>
      <c r="H14" s="301"/>
    </row>
    <row r="15" spans="2:7" ht="12.75">
      <c r="B15" s="15"/>
      <c r="C15" s="15"/>
      <c r="D15" s="387"/>
      <c r="E15" s="15"/>
      <c r="F15" s="15"/>
      <c r="G15" s="15"/>
    </row>
    <row r="16" spans="1:8" ht="12.75">
      <c r="A16" s="34" t="s">
        <v>20</v>
      </c>
      <c r="B16" s="51">
        <f>IF(OR(ISBLANK('1. 2002 Base Rate Schedule'!D21),'1. 2002 Base Rate Schedule'!D21=0),"",'1. 2002 Base Rate Schedule'!D21+'2. Adding Final 3rd MARR'!C60)</f>
        <v>9.195373834094259</v>
      </c>
      <c r="C16" s="15"/>
      <c r="D16" s="387"/>
      <c r="E16" s="15"/>
      <c r="F16" s="301"/>
      <c r="G16" s="280"/>
      <c r="H16" s="301"/>
    </row>
    <row r="17" spans="2:7" ht="12.75">
      <c r="B17" s="15"/>
      <c r="C17" s="15"/>
      <c r="D17" s="16"/>
      <c r="E17" s="15"/>
      <c r="F17" s="15"/>
      <c r="G17" s="15"/>
    </row>
    <row r="18" spans="2:7" ht="12.75">
      <c r="B18" s="15"/>
      <c r="C18" s="15"/>
      <c r="D18" s="16"/>
      <c r="E18" s="15"/>
      <c r="F18" s="15"/>
      <c r="G18" s="15"/>
    </row>
    <row r="19" spans="1:7" ht="15.75">
      <c r="A19" s="54" t="s">
        <v>230</v>
      </c>
      <c r="B19" s="52"/>
      <c r="C19" s="53"/>
      <c r="D19" s="16"/>
      <c r="E19" s="15"/>
      <c r="F19" s="15"/>
      <c r="G19" s="15"/>
    </row>
    <row r="20" spans="2:7" ht="12.75">
      <c r="B20" s="15"/>
      <c r="C20" s="15"/>
      <c r="D20" s="16"/>
      <c r="E20" s="15"/>
      <c r="F20" s="15"/>
      <c r="G20" s="15"/>
    </row>
    <row r="21" spans="1:7" ht="12.75">
      <c r="A21" s="34" t="s">
        <v>1</v>
      </c>
      <c r="B21" s="23">
        <f>IF(OR(ISBLANK('1. 2002 Base Rate Schedule'!D26),'1. 2002 Base Rate Schedule'!D26=0),"",'1. 2002 Base Rate Schedule'!D26+'2. Adding Final 3rd MARR'!B77)</f>
        <v>0.01156104942044743</v>
      </c>
      <c r="C21" s="15"/>
      <c r="D21" s="387"/>
      <c r="E21" s="15"/>
      <c r="F21" s="15"/>
      <c r="G21" s="15"/>
    </row>
    <row r="22" spans="2:7" ht="12.75">
      <c r="B22" s="15"/>
      <c r="C22" s="15"/>
      <c r="D22" s="387"/>
      <c r="E22" s="15"/>
      <c r="F22" s="15"/>
      <c r="G22" s="15"/>
    </row>
    <row r="23" spans="1:7" ht="12.75">
      <c r="A23" s="34" t="s">
        <v>20</v>
      </c>
      <c r="B23" s="51">
        <f>IF(OR(ISBLANK('1. 2002 Base Rate Schedule'!D28),'1. 2002 Base Rate Schedule'!D28=0),"",'1. 2002 Base Rate Schedule'!D28+'2. Adding Final 3rd MARR'!C79)</f>
        <v>11.420558946854408</v>
      </c>
      <c r="C23" s="15"/>
      <c r="D23" s="387"/>
      <c r="E23" s="15"/>
      <c r="F23" s="15"/>
      <c r="G23" s="15"/>
    </row>
    <row r="24" spans="2:7" ht="12.75">
      <c r="B24" s="49"/>
      <c r="C24" s="15"/>
      <c r="D24" s="16"/>
      <c r="E24" s="15"/>
      <c r="F24" s="15"/>
      <c r="G24" s="15"/>
    </row>
    <row r="25" spans="2:7" ht="12.75">
      <c r="B25" s="15"/>
      <c r="C25" s="15"/>
      <c r="D25" s="25"/>
      <c r="E25" s="15"/>
      <c r="F25" s="15"/>
      <c r="G25" s="15"/>
    </row>
    <row r="26" spans="1:7" ht="15.75">
      <c r="A26" s="54" t="s">
        <v>108</v>
      </c>
      <c r="B26" s="52"/>
      <c r="C26" s="53"/>
      <c r="D26" s="25"/>
      <c r="E26" s="15"/>
      <c r="F26" s="15"/>
      <c r="G26" s="15"/>
    </row>
    <row r="27" spans="2:7" ht="12.75">
      <c r="B27" s="15"/>
      <c r="C27" s="15"/>
      <c r="D27" s="25"/>
      <c r="E27" s="15"/>
      <c r="F27" s="15"/>
      <c r="G27" s="15"/>
    </row>
    <row r="28" spans="1:8" ht="12.75">
      <c r="A28" s="34" t="s">
        <v>1</v>
      </c>
      <c r="B28" s="23">
        <f>IF(OR(ISBLANK('1. 2002 Base Rate Schedule'!D33),'1. 2002 Base Rate Schedule'!D33=0),"",'1. 2002 Base Rate Schedule'!D33+'2. Adding Final 3rd MARR'!B100)</f>
        <v>0.015519767029407687</v>
      </c>
      <c r="C28" s="15"/>
      <c r="D28" s="387"/>
      <c r="E28" s="15"/>
      <c r="F28" s="15"/>
      <c r="G28" s="302"/>
      <c r="H28" s="301"/>
    </row>
    <row r="29" spans="2:7" ht="12.75">
      <c r="B29" s="15"/>
      <c r="C29" s="15"/>
      <c r="D29" s="387"/>
      <c r="E29" s="15"/>
      <c r="F29" s="15"/>
      <c r="G29" s="302"/>
    </row>
    <row r="30" spans="1:8" ht="12.75">
      <c r="A30" s="34" t="s">
        <v>20</v>
      </c>
      <c r="B30" s="51">
        <f>IF(OR(ISBLANK('1. 2002 Base Rate Schedule'!D35),'1. 2002 Base Rate Schedule'!D35=0),"",'1. 2002 Base Rate Schedule'!D35+'2. Adding Final 3rd MARR'!C102)</f>
        <v>11.421658485163704</v>
      </c>
      <c r="C30" s="15"/>
      <c r="D30" s="387"/>
      <c r="E30" s="15"/>
      <c r="F30" s="15"/>
      <c r="G30" s="302"/>
      <c r="H30" s="301"/>
    </row>
    <row r="31" spans="2:7" ht="12.75">
      <c r="B31" s="15"/>
      <c r="C31" s="15"/>
      <c r="D31" s="25"/>
      <c r="E31" s="15"/>
      <c r="F31" s="15"/>
      <c r="G31" s="15"/>
    </row>
    <row r="32" spans="2:7" ht="12.75">
      <c r="B32" s="15"/>
      <c r="C32" s="15"/>
      <c r="D32" s="25"/>
      <c r="E32" s="15"/>
      <c r="F32" s="15"/>
      <c r="G32" s="15"/>
    </row>
    <row r="33" spans="1:7" ht="15.75">
      <c r="A33" s="54" t="s">
        <v>109</v>
      </c>
      <c r="B33" s="52"/>
      <c r="C33" s="53"/>
      <c r="D33" s="25"/>
      <c r="E33" s="15"/>
      <c r="F33" s="15"/>
      <c r="G33" s="15"/>
    </row>
    <row r="34" spans="2:7" ht="12.75">
      <c r="B34" s="15"/>
      <c r="C34" s="15"/>
      <c r="D34" s="25"/>
      <c r="E34" s="15"/>
      <c r="F34" s="15"/>
      <c r="G34" s="15"/>
    </row>
    <row r="35" spans="1:7" ht="12.75">
      <c r="A35" s="34" t="s">
        <v>4</v>
      </c>
      <c r="B35" s="23">
        <f>IF(OR(ISBLANK('1. 2002 Base Rate Schedule'!D40),'1. 2002 Base Rate Schedule'!D40=0),"",'1. 2002 Base Rate Schedule'!D40+'2. Adding Final 3rd MARR'!B120)</f>
        <v>5.895008349300658</v>
      </c>
      <c r="C35" s="15"/>
      <c r="D35" s="387"/>
      <c r="E35" s="15"/>
      <c r="F35" s="15"/>
      <c r="G35" s="15"/>
    </row>
    <row r="36" spans="2:7" ht="12.75">
      <c r="B36" s="15"/>
      <c r="C36" s="15"/>
      <c r="D36" s="387"/>
      <c r="E36" s="15"/>
      <c r="F36" s="15"/>
      <c r="G36" s="15"/>
    </row>
    <row r="37" spans="1:7" ht="12.75">
      <c r="A37" s="34" t="s">
        <v>20</v>
      </c>
      <c r="B37" s="51">
        <f>IF(OR(ISBLANK('1. 2002 Base Rate Schedule'!D42),'1. 2002 Base Rate Schedule'!D42=0),"",'1. 2002 Base Rate Schedule'!D42+'2. Adding Final 3rd MARR'!C122)</f>
        <v>23.742060347832695</v>
      </c>
      <c r="C37" s="15"/>
      <c r="D37" s="387"/>
      <c r="E37" s="15"/>
      <c r="F37" s="15"/>
      <c r="G37" s="15"/>
    </row>
    <row r="38" spans="2:7" ht="12.75">
      <c r="B38" s="15"/>
      <c r="C38" s="15"/>
      <c r="D38" s="25"/>
      <c r="E38" s="15"/>
      <c r="F38" s="15"/>
      <c r="G38" s="15"/>
    </row>
    <row r="39" spans="2:7" ht="12.75">
      <c r="B39" s="15"/>
      <c r="C39" s="15"/>
      <c r="D39" s="25"/>
      <c r="E39" s="15"/>
      <c r="F39" s="15"/>
      <c r="G39" s="15"/>
    </row>
    <row r="40" spans="1:7" ht="15.75">
      <c r="A40" s="54" t="s">
        <v>110</v>
      </c>
      <c r="B40" s="52"/>
      <c r="C40" s="53"/>
      <c r="D40" s="25"/>
      <c r="E40" s="15"/>
      <c r="F40" s="15"/>
      <c r="G40" s="15"/>
    </row>
    <row r="41" spans="1:7" ht="18">
      <c r="A41" s="8"/>
      <c r="B41" s="15"/>
      <c r="C41" s="15"/>
      <c r="D41" s="25"/>
      <c r="E41" s="15"/>
      <c r="F41" s="15"/>
      <c r="G41" s="15"/>
    </row>
    <row r="42" spans="1:7" ht="12.75">
      <c r="A42" s="34" t="s">
        <v>4</v>
      </c>
      <c r="B42" s="23">
        <f>IF(OR(ISBLANK('1. 2002 Base Rate Schedule'!D47),'1. 2002 Base Rate Schedule'!D47=0),"",'1. 2002 Base Rate Schedule'!D47+'2. Adding Final 3rd MARR'!B140)</f>
      </c>
      <c r="C42" s="15"/>
      <c r="D42" s="387"/>
      <c r="E42" s="15"/>
      <c r="F42" s="15"/>
      <c r="G42" s="15"/>
    </row>
    <row r="43" spans="2:7" ht="12.75">
      <c r="B43" s="15"/>
      <c r="C43" s="15"/>
      <c r="D43" s="387"/>
      <c r="E43" s="15"/>
      <c r="F43" s="15"/>
      <c r="G43" s="15"/>
    </row>
    <row r="44" spans="1:7" ht="12.75">
      <c r="A44" s="34" t="s">
        <v>20</v>
      </c>
      <c r="B44" s="51">
        <f>IF(OR(ISBLANK('1. 2002 Base Rate Schedule'!D49),'1. 2002 Base Rate Schedule'!D49=0),"",'1. 2002 Base Rate Schedule'!D49+'2. Adding Final 3rd MARR'!C142)</f>
      </c>
      <c r="C44" s="15"/>
      <c r="D44" s="387"/>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7" t="s">
        <v>154</v>
      </c>
      <c r="B47" s="15"/>
      <c r="C47" s="15"/>
      <c r="D47" s="25"/>
      <c r="E47" s="15"/>
      <c r="F47" s="15"/>
      <c r="G47" s="15"/>
    </row>
    <row r="48" spans="2:7" ht="12.75">
      <c r="B48" s="15"/>
      <c r="C48" s="15"/>
      <c r="D48" s="25"/>
      <c r="E48" s="15"/>
      <c r="F48" s="15"/>
      <c r="G48" s="15"/>
    </row>
    <row r="49" spans="1:7" ht="12.75">
      <c r="A49" s="34" t="s">
        <v>4</v>
      </c>
      <c r="B49" s="23">
        <f>IF(OR(ISBLANK('1. 2002 Base Rate Schedule'!D54),'1. 2002 Base Rate Schedule'!D54=0),"",'1. 2002 Base Rate Schedule'!D54+'2. Adding Final 3rd MARR'!B160)</f>
      </c>
      <c r="C49" s="15"/>
      <c r="D49" s="387"/>
      <c r="E49" s="15"/>
      <c r="F49" s="15"/>
      <c r="G49" s="15"/>
    </row>
    <row r="50" spans="2:7" ht="12.75">
      <c r="B50" s="15"/>
      <c r="C50" s="15"/>
      <c r="D50" s="387"/>
      <c r="E50" s="15"/>
      <c r="F50" s="15"/>
      <c r="G50" s="15"/>
    </row>
    <row r="51" spans="1:7" ht="12.75">
      <c r="A51" s="34" t="s">
        <v>20</v>
      </c>
      <c r="B51" s="51">
        <f>IF(OR(ISBLANK('1. 2002 Base Rate Schedule'!D56),'1. 2002 Base Rate Schedule'!D56=0),"",'1. 2002 Base Rate Schedule'!D56+'2. Adding Final 3rd MARR'!C162)</f>
      </c>
      <c r="C51" s="15"/>
      <c r="D51" s="387"/>
      <c r="E51" s="15"/>
      <c r="F51" s="15"/>
      <c r="G51" s="15"/>
    </row>
    <row r="52" spans="2:7" ht="12.75">
      <c r="B52" s="15"/>
      <c r="C52" s="15"/>
      <c r="D52" s="25"/>
      <c r="E52" s="15"/>
      <c r="F52" s="15"/>
      <c r="G52" s="15"/>
    </row>
    <row r="53" spans="2:7" ht="12.75">
      <c r="B53" s="15"/>
      <c r="C53" s="15"/>
      <c r="D53" s="25"/>
      <c r="E53" s="15"/>
      <c r="F53" s="15"/>
      <c r="G53" s="15"/>
    </row>
    <row r="54" spans="1:7" ht="15.75">
      <c r="A54" s="54" t="s">
        <v>111</v>
      </c>
      <c r="B54" s="15"/>
      <c r="C54" s="15"/>
      <c r="D54" s="25"/>
      <c r="E54" s="15"/>
      <c r="F54" s="15"/>
      <c r="G54" s="15"/>
    </row>
    <row r="55" spans="2:7" ht="12.75">
      <c r="B55" s="15"/>
      <c r="C55" s="15"/>
      <c r="D55" s="25"/>
      <c r="E55" s="15"/>
      <c r="F55" s="15"/>
      <c r="G55" s="15"/>
    </row>
    <row r="56" spans="1:7" ht="12.75">
      <c r="A56" s="34" t="s">
        <v>4</v>
      </c>
      <c r="B56" s="23">
        <f>IF(OR(ISBLANK('1. 2002 Base Rate Schedule'!D61),'1. 2002 Base Rate Schedule'!D61=0),"",'1. 2002 Base Rate Schedule'!D61+'2. Adding Final 3rd MARR'!B180)</f>
      </c>
      <c r="C56" s="15"/>
      <c r="D56" s="387"/>
      <c r="E56" s="15"/>
      <c r="F56" s="15"/>
      <c r="G56" s="15"/>
    </row>
    <row r="57" spans="2:7" ht="12.75">
      <c r="B57" s="15"/>
      <c r="C57" s="15"/>
      <c r="D57" s="387"/>
      <c r="E57" s="15"/>
      <c r="F57" s="15"/>
      <c r="G57" s="15"/>
    </row>
    <row r="58" spans="1:7" ht="12.75">
      <c r="A58" s="34" t="s">
        <v>20</v>
      </c>
      <c r="B58" s="51">
        <f>IF(OR(ISBLANK('1. 2002 Base Rate Schedule'!D63),'1. 2002 Base Rate Schedule'!D63=0),"",'1. 2002 Base Rate Schedule'!D63+'2. Adding Final 3rd MARR'!C182)</f>
      </c>
      <c r="C58" s="15"/>
      <c r="D58" s="387"/>
      <c r="E58" s="15"/>
      <c r="F58" s="15"/>
      <c r="G58" s="15"/>
    </row>
    <row r="59" spans="2:7" ht="12.75">
      <c r="B59" s="15"/>
      <c r="C59" s="15"/>
      <c r="D59" s="25"/>
      <c r="E59" s="15"/>
      <c r="F59" s="15"/>
      <c r="G59" s="15"/>
    </row>
    <row r="60" spans="3:7" ht="12.75">
      <c r="C60" s="15"/>
      <c r="D60" s="30"/>
      <c r="E60" s="15"/>
      <c r="F60" s="15"/>
      <c r="G60" s="15"/>
    </row>
    <row r="61" spans="1:7" ht="15.75">
      <c r="A61" s="54" t="s">
        <v>112</v>
      </c>
      <c r="B61" s="15"/>
      <c r="C61" s="15"/>
      <c r="D61" s="25"/>
      <c r="E61" s="15"/>
      <c r="F61" s="15"/>
      <c r="G61" s="15"/>
    </row>
    <row r="62" spans="2:7" ht="12.75">
      <c r="B62" s="15"/>
      <c r="C62" s="15"/>
      <c r="D62" s="25"/>
      <c r="E62" s="15"/>
      <c r="F62" s="15"/>
      <c r="G62" s="15"/>
    </row>
    <row r="63" spans="1:7" ht="12.75">
      <c r="A63" s="34" t="s">
        <v>4</v>
      </c>
      <c r="B63" s="23">
        <f>IF(OR(ISBLANK('1. 2002 Base Rate Schedule'!D68),'1. 2002 Base Rate Schedule'!D68=0),"",'1. 2002 Base Rate Schedule'!D68+'2. Adding Final 3rd MARR'!B200)</f>
        <v>0.7317374370495668</v>
      </c>
      <c r="C63" s="15"/>
      <c r="D63" s="387"/>
      <c r="E63" s="15"/>
      <c r="F63" s="15"/>
      <c r="G63" s="15"/>
    </row>
    <row r="64" spans="2:7" ht="12.75">
      <c r="B64" s="15"/>
      <c r="C64" s="15"/>
      <c r="D64" s="387"/>
      <c r="E64" s="15"/>
      <c r="F64" s="15"/>
      <c r="G64" s="15"/>
    </row>
    <row r="65" spans="1:7" ht="12.75">
      <c r="A65" s="34" t="s">
        <v>21</v>
      </c>
      <c r="B65" s="51">
        <f>IF(OR(ISBLANK('1. 2002 Base Rate Schedule'!D70),'1. 2002 Base Rate Schedule'!D70=0),"",'1. 2002 Base Rate Schedule'!D70+'2. Adding Final 3rd MARR'!C202)</f>
        <v>0.9739853709285965</v>
      </c>
      <c r="C65" s="15"/>
      <c r="D65" s="387"/>
      <c r="E65" s="15"/>
      <c r="F65" s="15"/>
      <c r="G65" s="15"/>
    </row>
    <row r="66" spans="2:7" ht="12.75">
      <c r="B66" s="15"/>
      <c r="C66" s="15"/>
      <c r="D66" s="25"/>
      <c r="E66" s="15"/>
      <c r="F66" s="15"/>
      <c r="G66" s="15"/>
    </row>
    <row r="67" spans="1:7" ht="12.75">
      <c r="A67" s="12" t="s">
        <v>7</v>
      </c>
      <c r="B67" s="15"/>
      <c r="C67" s="15"/>
      <c r="D67" s="25"/>
      <c r="E67" s="15"/>
      <c r="F67" s="15"/>
      <c r="G67" s="15"/>
    </row>
    <row r="68" spans="2:7" ht="12.75">
      <c r="B68" s="15"/>
      <c r="C68" s="15"/>
      <c r="D68" s="25"/>
      <c r="E68" s="15"/>
      <c r="F68" s="15"/>
      <c r="G68" s="15"/>
    </row>
    <row r="69" spans="1:7" ht="15.75">
      <c r="A69" s="54" t="s">
        <v>113</v>
      </c>
      <c r="B69" s="15"/>
      <c r="C69" s="15"/>
      <c r="D69" s="25"/>
      <c r="E69" s="15"/>
      <c r="F69" s="15"/>
      <c r="G69" s="15"/>
    </row>
    <row r="70" spans="2:7" ht="12.75">
      <c r="B70" s="15"/>
      <c r="C70" s="15"/>
      <c r="D70" s="25"/>
      <c r="E70" s="15"/>
      <c r="F70" s="15"/>
      <c r="G70" s="15"/>
    </row>
    <row r="71" spans="1:7" ht="12.75">
      <c r="A71" s="34" t="s">
        <v>4</v>
      </c>
      <c r="B71" s="23">
        <f>IF(OR(ISBLANK('1. 2002 Base Rate Schedule'!D76),'1. 2002 Base Rate Schedule'!D76=0),"",'1. 2002 Base Rate Schedule'!D76+'2. Adding Final 3rd MARR'!B200)</f>
      </c>
      <c r="C71" s="15"/>
      <c r="D71" s="387"/>
      <c r="E71" s="15"/>
      <c r="F71" s="15"/>
      <c r="G71" s="15"/>
    </row>
    <row r="72" spans="2:7" ht="12.75">
      <c r="B72" s="15"/>
      <c r="C72" s="15"/>
      <c r="D72" s="387"/>
      <c r="E72" s="15"/>
      <c r="F72" s="15"/>
      <c r="G72" s="15"/>
    </row>
    <row r="73" spans="1:7" ht="12.75">
      <c r="A73" s="34" t="s">
        <v>21</v>
      </c>
      <c r="B73" s="51">
        <f>IF(OR(ISBLANK('1. 2002 Base Rate Schedule'!D78),'1. 2002 Base Rate Schedule'!D78=0),"",'1. 2002 Base Rate Schedule'!D78+'2. Adding Final 3rd MARR'!C202)</f>
      </c>
      <c r="C73" s="15"/>
      <c r="D73" s="387"/>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114</v>
      </c>
      <c r="B76" s="15"/>
      <c r="C76" s="15"/>
      <c r="D76" s="25"/>
      <c r="E76" s="15"/>
      <c r="F76" s="15"/>
      <c r="G76" s="15"/>
    </row>
    <row r="77" spans="2:7" ht="12.75">
      <c r="B77" s="15"/>
      <c r="C77" s="15"/>
      <c r="D77" s="25"/>
      <c r="E77" s="15"/>
      <c r="F77" s="15"/>
      <c r="G77" s="15"/>
    </row>
    <row r="78" spans="1:7" ht="12.75">
      <c r="A78" s="34" t="s">
        <v>4</v>
      </c>
      <c r="B78" s="23">
        <f>IF(OR(ISBLANK('1. 2002 Base Rate Schedule'!D83),'1. 2002 Base Rate Schedule'!D83=0),"",'1. 2002 Base Rate Schedule'!D83+'2. Adding Final 3rd MARR'!B220)</f>
        <v>0.632829344726786</v>
      </c>
      <c r="C78" s="15"/>
      <c r="D78" s="387"/>
      <c r="E78" s="15"/>
      <c r="F78" s="15"/>
      <c r="G78" s="15"/>
    </row>
    <row r="79" spans="2:7" ht="12.75">
      <c r="B79" s="15"/>
      <c r="C79" s="15"/>
      <c r="D79" s="387"/>
      <c r="E79" s="15"/>
      <c r="F79" s="15"/>
      <c r="G79" s="15"/>
    </row>
    <row r="80" spans="1:7" ht="12.75">
      <c r="A80" s="34" t="s">
        <v>21</v>
      </c>
      <c r="B80" s="51">
        <f>IF(OR(ISBLANK('1. 2002 Base Rate Schedule'!D85),'1. 2002 Base Rate Schedule'!D85=0),"",'1. 2002 Base Rate Schedule'!D85+'2. Adding Final 3rd MARR'!C222)</f>
        <v>0.5675496838805344</v>
      </c>
      <c r="C80" s="15"/>
      <c r="D80" s="387"/>
      <c r="E80" s="15"/>
      <c r="F80" s="15"/>
      <c r="G80" s="15"/>
    </row>
    <row r="81" spans="2:7" ht="12.75">
      <c r="B81" s="15"/>
      <c r="C81" s="15"/>
      <c r="D81" s="25"/>
      <c r="E81" s="15"/>
      <c r="F81" s="15"/>
      <c r="G81" s="15"/>
    </row>
    <row r="82" spans="1:7" ht="12.75">
      <c r="A82" s="12" t="s">
        <v>7</v>
      </c>
      <c r="B82" s="15"/>
      <c r="C82" s="15"/>
      <c r="D82" s="25"/>
      <c r="E82" s="15"/>
      <c r="F82" s="15"/>
      <c r="G82" s="15"/>
    </row>
    <row r="83" spans="2:7" ht="12.75">
      <c r="B83" s="15"/>
      <c r="C83" s="15"/>
      <c r="D83" s="25"/>
      <c r="E83" s="15"/>
      <c r="F83" s="15"/>
      <c r="G83" s="15"/>
    </row>
    <row r="84" spans="1:7" ht="15.75">
      <c r="A84" s="54" t="s">
        <v>115</v>
      </c>
      <c r="B84" s="308"/>
      <c r="C84" s="15"/>
      <c r="D84" s="25"/>
      <c r="E84" s="15"/>
      <c r="F84" s="15"/>
      <c r="G84" s="15"/>
    </row>
    <row r="85" spans="2:7" ht="12.75">
      <c r="B85" s="15"/>
      <c r="C85" s="15"/>
      <c r="D85" s="25"/>
      <c r="E85" s="15"/>
      <c r="F85" s="15"/>
      <c r="G85" s="15"/>
    </row>
    <row r="86" spans="1:7" ht="12.75">
      <c r="A86" s="34" t="s">
        <v>4</v>
      </c>
      <c r="B86" s="23">
        <f>IF(OR(ISBLANK('1. 2002 Base Rate Schedule'!D91),'1. 2002 Base Rate Schedule'!D91=0),"",'1. 2002 Base Rate Schedule'!D91+'2. Adding Final 3rd MARR'!B220)</f>
      </c>
      <c r="C86" s="15"/>
      <c r="D86" s="387"/>
      <c r="E86" s="15"/>
      <c r="F86" s="15"/>
      <c r="G86" s="15"/>
    </row>
    <row r="87" spans="2:7" ht="12.75">
      <c r="B87" s="15"/>
      <c r="C87" s="15"/>
      <c r="D87" s="387"/>
      <c r="E87" s="15"/>
      <c r="F87" s="15"/>
      <c r="G87" s="15"/>
    </row>
    <row r="88" spans="1:7" ht="12.75">
      <c r="A88" s="34" t="s">
        <v>21</v>
      </c>
      <c r="B88" s="51">
        <f>IF(OR(ISBLANK('1. 2002 Base Rate Schedule'!D93),'1. 2002 Base Rate Schedule'!D93=0),"",'1. 2002 Base Rate Schedule'!D93+'2. Adding Final 3rd MARR'!C222)</f>
      </c>
      <c r="C88" s="15"/>
      <c r="D88" s="387"/>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90"/>
  <sheetViews>
    <sheetView workbookViewId="0" topLeftCell="A1">
      <selection activeCell="B32" sqref="B32"/>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155</v>
      </c>
    </row>
    <row r="2" ht="18.75" thickBot="1">
      <c r="A2" s="116"/>
    </row>
    <row r="3" spans="1:7" ht="18">
      <c r="A3" s="503" t="str">
        <f>"Name of Utility:      "&amp;'Info Sheet'!B4</f>
        <v>Name of Utility:      PENINSULA WEST UTILITIES LIMITED</v>
      </c>
      <c r="B3" s="504"/>
      <c r="C3" s="504"/>
      <c r="D3" s="460" t="str">
        <f>'Info Sheet'!$B$21</f>
        <v>2005.V1.1</v>
      </c>
      <c r="E3" s="36"/>
      <c r="F3" s="116"/>
      <c r="G3" s="117"/>
    </row>
    <row r="4" spans="1:7" ht="18">
      <c r="A4" s="304" t="str">
        <f>"License Number:   "&amp;'Info Sheet'!B6</f>
        <v>License Number:   ED-2002-0555</v>
      </c>
      <c r="B4" s="461"/>
      <c r="C4" s="395"/>
      <c r="D4" s="399" t="str">
        <f>'Info Sheet'!B8</f>
        <v>RP-2005-0013</v>
      </c>
      <c r="E4" s="36"/>
      <c r="F4" s="116"/>
      <c r="G4" s="117"/>
    </row>
    <row r="5" spans="1:4" ht="15.75">
      <c r="A5" s="304" t="str">
        <f>"Name of Contact:  "&amp;'Info Sheet'!B12</f>
        <v>Name of Contact:  KAREN BUBISH</v>
      </c>
      <c r="B5" s="523" t="str">
        <f>'Info Sheet'!B10</f>
        <v>EB-2005-0066</v>
      </c>
      <c r="C5" s="523"/>
      <c r="D5" s="524"/>
    </row>
    <row r="6" spans="1:4" ht="15.75">
      <c r="A6" s="502" t="str">
        <f>"E- Mail Address:    "&amp;'Info Sheet'!B14</f>
        <v>E- Mail Address:    karen@penwest.on.ca</v>
      </c>
      <c r="B6" s="507"/>
      <c r="C6" s="507"/>
      <c r="D6" s="465"/>
    </row>
    <row r="7" spans="1:4" ht="15.75">
      <c r="A7" s="304" t="str">
        <f>"Phone Number:     "&amp;'Info Sheet'!B16</f>
        <v>Phone Number:     905-563-5550</v>
      </c>
      <c r="B7" s="507" t="str">
        <f>'Info Sheet'!$C$16&amp;" "&amp;'Info Sheet'!$D$16</f>
        <v>Extension: 222</v>
      </c>
      <c r="C7" s="507"/>
      <c r="D7" s="465"/>
    </row>
    <row r="8" spans="1:4" ht="16.5" thickBot="1">
      <c r="A8" s="305" t="str">
        <f>"Date:                      "&amp;('Info Sheet'!B18)</f>
        <v>Date:                      JANUARY 14, 2005</v>
      </c>
      <c r="B8" s="463"/>
      <c r="C8" s="464"/>
      <c r="D8" s="466"/>
    </row>
    <row r="9" spans="1:16" ht="15.75">
      <c r="A9" s="28"/>
      <c r="B9" s="29"/>
      <c r="C9" s="27"/>
      <c r="O9" s="5"/>
      <c r="P9" s="1"/>
    </row>
    <row r="10" spans="1:15" ht="14.25">
      <c r="A10" s="137" t="s">
        <v>177</v>
      </c>
      <c r="B10" s="138"/>
      <c r="C10" s="138"/>
      <c r="D10" s="138"/>
      <c r="E10" s="138"/>
      <c r="F10" s="138"/>
      <c r="G10" s="138"/>
      <c r="O10" s="5"/>
    </row>
    <row r="11" spans="1:7" ht="12.75" customHeight="1">
      <c r="A11" s="137" t="s">
        <v>195</v>
      </c>
      <c r="B11" s="138"/>
      <c r="C11" s="138"/>
      <c r="D11" s="138"/>
      <c r="E11" s="138"/>
      <c r="F11" s="138"/>
      <c r="G11" s="138"/>
    </row>
    <row r="12" spans="1:15" ht="15.75">
      <c r="A12" s="118"/>
      <c r="O12" s="5"/>
    </row>
    <row r="13" spans="2:17" ht="12.75">
      <c r="B13" s="106"/>
      <c r="C13" s="56"/>
      <c r="P13" s="2"/>
      <c r="Q13" s="3"/>
    </row>
    <row r="14" spans="1:17" ht="15">
      <c r="A14" s="518" t="s">
        <v>145</v>
      </c>
      <c r="B14" s="518"/>
      <c r="C14" s="518"/>
      <c r="D14" s="518"/>
      <c r="E14" s="34"/>
      <c r="F14" s="263"/>
      <c r="G14" s="264">
        <v>1170225</v>
      </c>
      <c r="O14" s="5"/>
      <c r="P14" s="2"/>
      <c r="Q14" s="4"/>
    </row>
    <row r="15" spans="1:7" ht="14.25">
      <c r="A15" s="141"/>
      <c r="B15" s="142"/>
      <c r="C15" s="143"/>
      <c r="D15" s="144"/>
      <c r="E15" s="144"/>
      <c r="F15" s="56"/>
      <c r="G15" s="56"/>
    </row>
    <row r="16" ht="12.75">
      <c r="C16" s="120"/>
    </row>
    <row r="17" spans="1:7" ht="14.25">
      <c r="A17" s="137" t="s">
        <v>178</v>
      </c>
      <c r="B17" s="138"/>
      <c r="C17" s="138"/>
      <c r="D17" s="138"/>
      <c r="E17" s="138"/>
      <c r="F17" s="138"/>
      <c r="G17" s="138"/>
    </row>
    <row r="19" ht="13.5" thickBot="1"/>
    <row r="20" spans="1:8" ht="39" thickBot="1">
      <c r="A20" s="151" t="s">
        <v>176</v>
      </c>
      <c r="B20" s="152" t="s">
        <v>11</v>
      </c>
      <c r="C20" s="152" t="s">
        <v>12</v>
      </c>
      <c r="D20" s="152" t="s">
        <v>22</v>
      </c>
      <c r="E20" s="152" t="s">
        <v>13</v>
      </c>
      <c r="F20" s="152" t="s">
        <v>96</v>
      </c>
      <c r="G20" s="153" t="s">
        <v>147</v>
      </c>
      <c r="H20" s="121"/>
    </row>
    <row r="21" spans="1:7" ht="12.75">
      <c r="A21" s="86"/>
      <c r="B21" s="31"/>
      <c r="C21" s="122"/>
      <c r="D21" s="122"/>
      <c r="E21" s="31"/>
      <c r="F21" s="31"/>
      <c r="G21" s="100"/>
    </row>
    <row r="22" spans="1:8" ht="12.75">
      <c r="A22" s="148" t="s">
        <v>15</v>
      </c>
      <c r="B22" s="266"/>
      <c r="C22" s="266">
        <v>86537504</v>
      </c>
      <c r="D22" s="266">
        <v>7691</v>
      </c>
      <c r="E22" s="401">
        <v>1138629</v>
      </c>
      <c r="F22" s="267">
        <f>IF(ISERROR(E22/E$32),"",E22/E$32)</f>
        <v>0.24317427244990664</v>
      </c>
      <c r="G22" s="404">
        <f>IF(ISERROR($G$33*F22),0,$G$33*F22)</f>
        <v>284568.612977692</v>
      </c>
      <c r="H22" s="269"/>
    </row>
    <row r="23" spans="1:8" ht="12.75">
      <c r="A23" s="148" t="s">
        <v>15</v>
      </c>
      <c r="B23" s="266"/>
      <c r="C23" s="266">
        <v>91033602</v>
      </c>
      <c r="D23" s="266">
        <v>4722</v>
      </c>
      <c r="E23" s="401">
        <v>770851</v>
      </c>
      <c r="F23" s="267">
        <f>IF(ISERROR(E23/E$32),"",E23/E$32)</f>
        <v>0.16462880454676895</v>
      </c>
      <c r="G23" s="404">
        <f>IF(ISERROR($G$33*F23),0,$G$33*F23)</f>
        <v>192652.7428007427</v>
      </c>
      <c r="H23" s="269"/>
    </row>
    <row r="24" spans="1:8" ht="12.75">
      <c r="A24" s="148" t="s">
        <v>70</v>
      </c>
      <c r="B24" s="266"/>
      <c r="C24" s="266">
        <v>41322391</v>
      </c>
      <c r="D24" s="266">
        <v>1288</v>
      </c>
      <c r="E24" s="401">
        <v>665481</v>
      </c>
      <c r="F24" s="267">
        <f aca="true" t="shared" si="0" ref="F24:F30">IF(ISERROR(E24/E$32),"",E24/E$32)</f>
        <v>0.14212518564364365</v>
      </c>
      <c r="G24" s="404">
        <f aca="true" t="shared" si="1" ref="G24:G29">IF(ISERROR($G$33*F24),0,$G$33*F24)</f>
        <v>166318.4453698329</v>
      </c>
      <c r="H24" s="269"/>
    </row>
    <row r="25" spans="1:8" ht="12.75">
      <c r="A25" s="148" t="s">
        <v>71</v>
      </c>
      <c r="B25" s="266">
        <v>694596</v>
      </c>
      <c r="C25" s="266">
        <v>145323804</v>
      </c>
      <c r="D25" s="266">
        <v>391</v>
      </c>
      <c r="E25" s="401">
        <v>2103630</v>
      </c>
      <c r="F25" s="267">
        <f t="shared" si="0"/>
        <v>0.4492672281786228</v>
      </c>
      <c r="G25" s="404">
        <f t="shared" si="1"/>
        <v>525743.7420953289</v>
      </c>
      <c r="H25" s="269"/>
    </row>
    <row r="26" spans="1:8" ht="12.75">
      <c r="A26" s="148" t="s">
        <v>72</v>
      </c>
      <c r="B26" s="266"/>
      <c r="C26" s="266"/>
      <c r="D26" s="266"/>
      <c r="E26" s="401"/>
      <c r="F26" s="267">
        <f t="shared" si="0"/>
        <v>0</v>
      </c>
      <c r="G26" s="404">
        <f t="shared" si="1"/>
        <v>0</v>
      </c>
      <c r="H26" s="271"/>
    </row>
    <row r="27" spans="1:8" ht="12.75">
      <c r="A27" s="148" t="s">
        <v>154</v>
      </c>
      <c r="B27" s="266"/>
      <c r="C27" s="266"/>
      <c r="D27" s="266"/>
      <c r="E27" s="401"/>
      <c r="F27" s="267">
        <f t="shared" si="0"/>
        <v>0</v>
      </c>
      <c r="G27" s="404">
        <f t="shared" si="1"/>
        <v>0</v>
      </c>
      <c r="H27" s="271"/>
    </row>
    <row r="28" spans="1:8" ht="12.75">
      <c r="A28" s="148" t="s">
        <v>73</v>
      </c>
      <c r="B28" s="266"/>
      <c r="C28" s="266"/>
      <c r="D28" s="266"/>
      <c r="E28" s="401"/>
      <c r="F28" s="267">
        <f t="shared" si="0"/>
        <v>0</v>
      </c>
      <c r="G28" s="404">
        <f t="shared" si="1"/>
        <v>0</v>
      </c>
      <c r="H28" s="271"/>
    </row>
    <row r="29" spans="1:8" ht="12.75">
      <c r="A29" s="148" t="s">
        <v>74</v>
      </c>
      <c r="B29" s="266">
        <v>848</v>
      </c>
      <c r="C29" s="266">
        <v>335617</v>
      </c>
      <c r="D29" s="266">
        <v>530</v>
      </c>
      <c r="E29" s="401">
        <v>528</v>
      </c>
      <c r="F29" s="267">
        <f t="shared" si="0"/>
        <v>0.0001127636972653522</v>
      </c>
      <c r="G29" s="404">
        <f t="shared" si="1"/>
        <v>131.95889763234678</v>
      </c>
      <c r="H29" s="269"/>
    </row>
    <row r="30" spans="1:8" ht="12.75">
      <c r="A30" s="148" t="s">
        <v>75</v>
      </c>
      <c r="B30" s="274">
        <v>5491</v>
      </c>
      <c r="C30" s="274">
        <v>2131258</v>
      </c>
      <c r="D30" s="274">
        <v>2252</v>
      </c>
      <c r="E30" s="412">
        <v>3239</v>
      </c>
      <c r="F30" s="275">
        <f t="shared" si="0"/>
        <v>0.0006917454837925678</v>
      </c>
      <c r="G30" s="405">
        <f>IF(ISERROR($G$33*F30),0,$G$33*F30)</f>
        <v>809.4978587711576</v>
      </c>
      <c r="H30" s="272"/>
    </row>
    <row r="31" spans="1:8" ht="12.75">
      <c r="A31" s="148"/>
      <c r="B31" s="265"/>
      <c r="C31" s="276"/>
      <c r="D31" s="277"/>
      <c r="E31" s="265"/>
      <c r="F31" s="278"/>
      <c r="G31" s="268"/>
      <c r="H31" s="56"/>
    </row>
    <row r="32" spans="1:8" ht="12.75">
      <c r="A32" s="148" t="s">
        <v>14</v>
      </c>
      <c r="B32" s="154">
        <f aca="true" t="shared" si="2" ref="B32:G32">SUM(B22:B30)</f>
        <v>700935</v>
      </c>
      <c r="C32" s="154">
        <f t="shared" si="2"/>
        <v>366684176</v>
      </c>
      <c r="D32" s="154">
        <f t="shared" si="2"/>
        <v>16874</v>
      </c>
      <c r="E32" s="415">
        <f t="shared" si="2"/>
        <v>4682358</v>
      </c>
      <c r="F32" s="156">
        <f t="shared" si="2"/>
        <v>0.9999999999999999</v>
      </c>
      <c r="G32" s="413">
        <f t="shared" si="2"/>
        <v>1170224.9999999998</v>
      </c>
      <c r="H32" s="56"/>
    </row>
    <row r="33" spans="1:8" ht="12.75">
      <c r="A33" s="86"/>
      <c r="B33" s="31"/>
      <c r="C33" s="521" t="s">
        <v>148</v>
      </c>
      <c r="D33" s="521"/>
      <c r="E33" s="521"/>
      <c r="F33" s="522"/>
      <c r="G33" s="414">
        <f>G14</f>
        <v>1170225</v>
      </c>
      <c r="H33" s="279"/>
    </row>
    <row r="34" spans="1:7" ht="13.5" thickBot="1">
      <c r="A34" s="94"/>
      <c r="B34" s="149"/>
      <c r="C34" s="149"/>
      <c r="D34" s="149"/>
      <c r="E34" s="149"/>
      <c r="F34" s="149"/>
      <c r="G34" s="150"/>
    </row>
    <row r="36" ht="15.75">
      <c r="A36" s="164" t="s">
        <v>146</v>
      </c>
    </row>
    <row r="37" ht="10.5" customHeight="1">
      <c r="A37" s="54"/>
    </row>
    <row r="38" ht="15.75">
      <c r="A38" s="54" t="s">
        <v>229</v>
      </c>
    </row>
    <row r="39" ht="9" customHeight="1">
      <c r="A39" s="131"/>
    </row>
    <row r="40" ht="15">
      <c r="A40" s="132"/>
    </row>
    <row r="41" spans="1:7" ht="39" thickBot="1">
      <c r="A41" s="132"/>
      <c r="B41" s="284" t="s">
        <v>103</v>
      </c>
      <c r="C41" s="284" t="s">
        <v>104</v>
      </c>
      <c r="D41" s="284" t="s">
        <v>147</v>
      </c>
      <c r="E41" s="281"/>
      <c r="F41" s="281"/>
      <c r="G41" s="281"/>
    </row>
    <row r="42" spans="1:3" ht="15">
      <c r="A42" s="132"/>
      <c r="B42" s="30"/>
      <c r="C42" s="30"/>
    </row>
    <row r="43" spans="1:5" ht="13.5" customHeight="1">
      <c r="A43" s="109" t="s">
        <v>150</v>
      </c>
      <c r="B43" s="292"/>
      <c r="C43" s="292"/>
      <c r="D43" s="411">
        <f>$G22</f>
        <v>284568.612977692</v>
      </c>
      <c r="E43" s="112"/>
    </row>
    <row r="44" spans="1:5" ht="12.75">
      <c r="A44" s="112"/>
      <c r="B44" s="285"/>
      <c r="C44" s="285"/>
      <c r="D44" s="286"/>
      <c r="E44" s="112"/>
    </row>
    <row r="45" spans="1:5" ht="12.75">
      <c r="A45" s="109" t="s">
        <v>101</v>
      </c>
      <c r="B45" s="293">
        <v>1</v>
      </c>
      <c r="C45" s="293">
        <v>0</v>
      </c>
      <c r="D45" s="293">
        <f>B45+C45</f>
        <v>1</v>
      </c>
      <c r="E45" s="112"/>
    </row>
    <row r="46" spans="1:5" ht="12.75">
      <c r="A46" s="112"/>
      <c r="B46" s="287"/>
      <c r="C46" s="287"/>
      <c r="D46" s="287"/>
      <c r="E46" s="112"/>
    </row>
    <row r="47" spans="1:5" ht="12.75">
      <c r="A47" s="109" t="s">
        <v>151</v>
      </c>
      <c r="B47" s="406">
        <f>$B45*$D43</f>
        <v>284568.612977692</v>
      </c>
      <c r="C47" s="406">
        <f>C45*D43</f>
        <v>0</v>
      </c>
      <c r="D47" s="406">
        <f>SUM(B47:C47)</f>
        <v>284568.612977692</v>
      </c>
      <c r="E47" s="112"/>
    </row>
    <row r="48" spans="1:5" ht="12.75">
      <c r="A48" s="112"/>
      <c r="B48" s="288"/>
      <c r="C48" s="288"/>
      <c r="D48" s="288"/>
      <c r="E48" s="112"/>
    </row>
    <row r="49" spans="1:5" ht="12.75">
      <c r="A49" s="109" t="s">
        <v>99</v>
      </c>
      <c r="B49" s="295">
        <f>$C22</f>
        <v>86537504</v>
      </c>
      <c r="C49" s="294"/>
      <c r="D49" s="294"/>
      <c r="E49" s="112"/>
    </row>
    <row r="50" spans="1:5" ht="12.75">
      <c r="A50" s="112"/>
      <c r="B50" s="289"/>
      <c r="C50" s="288"/>
      <c r="D50" s="288"/>
      <c r="E50" s="112"/>
    </row>
    <row r="51" spans="1:5" ht="12.75">
      <c r="A51" s="109" t="s">
        <v>179</v>
      </c>
      <c r="B51" s="416">
        <f>IF(ISERROR($B47/$B49),0,$B47/$B49)</f>
        <v>0.003288384802243568</v>
      </c>
      <c r="C51" s="296"/>
      <c r="D51" s="296"/>
      <c r="E51" s="112"/>
    </row>
    <row r="52" spans="1:5" ht="12.75">
      <c r="A52" s="112"/>
      <c r="B52" s="290"/>
      <c r="C52" s="291"/>
      <c r="D52" s="291"/>
      <c r="E52" s="112"/>
    </row>
    <row r="53" spans="1:5" ht="12.75">
      <c r="A53" s="112"/>
      <c r="B53" s="290"/>
      <c r="C53" s="291"/>
      <c r="D53" s="291"/>
      <c r="E53" s="112"/>
    </row>
    <row r="54" spans="1:5" ht="12.75">
      <c r="A54" s="112"/>
      <c r="B54" s="290"/>
      <c r="C54" s="291"/>
      <c r="D54" s="291"/>
      <c r="E54" s="112"/>
    </row>
    <row r="55" ht="15.75">
      <c r="A55" s="54" t="s">
        <v>230</v>
      </c>
    </row>
    <row r="56" ht="15.75">
      <c r="A56" s="131"/>
    </row>
    <row r="57" ht="15">
      <c r="A57" s="132"/>
    </row>
    <row r="58" spans="1:5" ht="39" thickBot="1">
      <c r="A58" s="132"/>
      <c r="B58" s="284" t="s">
        <v>103</v>
      </c>
      <c r="C58" s="284" t="s">
        <v>104</v>
      </c>
      <c r="D58" s="284" t="s">
        <v>147</v>
      </c>
      <c r="E58" s="281"/>
    </row>
    <row r="59" spans="1:3" ht="15">
      <c r="A59" s="132"/>
      <c r="B59" s="30"/>
      <c r="C59" s="30"/>
    </row>
    <row r="60" spans="1:5" ht="12.75">
      <c r="A60" s="109" t="s">
        <v>150</v>
      </c>
      <c r="B60" s="292"/>
      <c r="C60" s="292"/>
      <c r="D60" s="411">
        <f>G23</f>
        <v>192652.7428007427</v>
      </c>
      <c r="E60" s="112"/>
    </row>
    <row r="61" spans="1:5" ht="12.75">
      <c r="A61" s="112"/>
      <c r="B61" s="285"/>
      <c r="C61" s="285"/>
      <c r="D61" s="286"/>
      <c r="E61" s="112"/>
    </row>
    <row r="62" spans="1:5" ht="12.75">
      <c r="A62" s="109" t="s">
        <v>101</v>
      </c>
      <c r="B62" s="293">
        <v>1</v>
      </c>
      <c r="C62" s="293">
        <v>0</v>
      </c>
      <c r="D62" s="293">
        <f>B62+C62</f>
        <v>1</v>
      </c>
      <c r="E62" s="112"/>
    </row>
    <row r="63" spans="1:5" ht="12.75">
      <c r="A63" s="112"/>
      <c r="B63" s="287"/>
      <c r="C63" s="287"/>
      <c r="D63" s="287"/>
      <c r="E63" s="112"/>
    </row>
    <row r="64" spans="1:5" ht="12.75">
      <c r="A64" s="109" t="s">
        <v>151</v>
      </c>
      <c r="B64" s="406">
        <f>$B62*$D60</f>
        <v>192652.7428007427</v>
      </c>
      <c r="C64" s="406">
        <f>C62*D60</f>
        <v>0</v>
      </c>
      <c r="D64" s="406">
        <f>SUM(B64:C64)</f>
        <v>192652.7428007427</v>
      </c>
      <c r="E64" s="112"/>
    </row>
    <row r="65" spans="1:5" ht="12.75">
      <c r="A65" s="112"/>
      <c r="B65" s="288"/>
      <c r="C65" s="288"/>
      <c r="D65" s="288"/>
      <c r="E65" s="112"/>
    </row>
    <row r="66" spans="1:5" ht="12.75">
      <c r="A66" s="109" t="s">
        <v>99</v>
      </c>
      <c r="B66" s="295">
        <f>C23</f>
        <v>91033602</v>
      </c>
      <c r="C66" s="294"/>
      <c r="D66" s="294"/>
      <c r="E66" s="112"/>
    </row>
    <row r="67" spans="1:5" ht="12.75">
      <c r="A67" s="112"/>
      <c r="B67" s="289"/>
      <c r="C67" s="288"/>
      <c r="D67" s="288"/>
      <c r="E67" s="112"/>
    </row>
    <row r="68" spans="1:5" ht="12.75">
      <c r="A68" s="109" t="s">
        <v>179</v>
      </c>
      <c r="B68" s="416">
        <f>IF(ISERROR($B64/$B66),0,$B64/$B66)</f>
        <v>0.002116281664881751</v>
      </c>
      <c r="C68" s="296"/>
      <c r="D68" s="296"/>
      <c r="E68" s="112"/>
    </row>
    <row r="69" spans="1:5" ht="12.75">
      <c r="A69" s="112"/>
      <c r="B69" s="290"/>
      <c r="C69" s="291"/>
      <c r="D69" s="291"/>
      <c r="E69" s="112"/>
    </row>
    <row r="70" spans="1:5" ht="12.75">
      <c r="A70" s="112"/>
      <c r="B70" s="290"/>
      <c r="C70" s="291"/>
      <c r="D70" s="291"/>
      <c r="E70" s="112"/>
    </row>
    <row r="71" spans="1:5" ht="12.75">
      <c r="A71" s="112"/>
      <c r="B71" s="290"/>
      <c r="C71" s="291"/>
      <c r="D71" s="291"/>
      <c r="E71" s="112"/>
    </row>
    <row r="72" spans="1:5" ht="12.75">
      <c r="A72" s="112"/>
      <c r="B72" s="290"/>
      <c r="C72" s="291"/>
      <c r="D72" s="291"/>
      <c r="E72" s="112"/>
    </row>
    <row r="73" spans="1:4" ht="15">
      <c r="A73" s="132"/>
      <c r="B73" s="56"/>
      <c r="C73" s="56"/>
      <c r="D73" s="56"/>
    </row>
    <row r="74" spans="2:4" ht="12.75">
      <c r="B74" s="56"/>
      <c r="C74" s="56"/>
      <c r="D74" s="56"/>
    </row>
    <row r="75" ht="15.75">
      <c r="A75" s="54" t="s">
        <v>106</v>
      </c>
    </row>
    <row r="76" ht="15.75">
      <c r="A76" s="131"/>
    </row>
    <row r="77" ht="10.5" customHeight="1">
      <c r="A77" s="132"/>
    </row>
    <row r="78" spans="1:7" ht="39" thickBot="1">
      <c r="A78" s="132"/>
      <c r="B78" s="284" t="s">
        <v>103</v>
      </c>
      <c r="C78" s="284" t="s">
        <v>104</v>
      </c>
      <c r="D78" s="284" t="s">
        <v>147</v>
      </c>
      <c r="E78" s="281"/>
      <c r="F78" s="281"/>
      <c r="G78" s="281"/>
    </row>
    <row r="79" spans="1:3" ht="13.5" customHeight="1">
      <c r="A79" s="132"/>
      <c r="B79" s="30"/>
      <c r="C79" s="30"/>
    </row>
    <row r="80" spans="1:5" ht="12.75">
      <c r="A80" s="109" t="s">
        <v>150</v>
      </c>
      <c r="B80" s="292"/>
      <c r="C80" s="292"/>
      <c r="D80" s="411">
        <f>$G24</f>
        <v>166318.4453698329</v>
      </c>
      <c r="E80" s="112"/>
    </row>
    <row r="81" spans="1:5" ht="12.75">
      <c r="A81" s="112"/>
      <c r="B81" s="285"/>
      <c r="C81" s="285"/>
      <c r="D81" s="286"/>
      <c r="E81" s="112"/>
    </row>
    <row r="82" spans="1:5" ht="12.75">
      <c r="A82" s="109" t="s">
        <v>101</v>
      </c>
      <c r="B82" s="293">
        <v>1</v>
      </c>
      <c r="C82" s="293">
        <v>0</v>
      </c>
      <c r="D82" s="293">
        <f>B82+C82</f>
        <v>1</v>
      </c>
      <c r="E82" s="112"/>
    </row>
    <row r="83" spans="1:5" ht="12.75">
      <c r="A83" s="112"/>
      <c r="B83" s="287"/>
      <c r="C83" s="287"/>
      <c r="D83" s="287"/>
      <c r="E83" s="112"/>
    </row>
    <row r="84" spans="1:5" ht="12.75">
      <c r="A84" s="109" t="s">
        <v>151</v>
      </c>
      <c r="B84" s="406">
        <f>$B82*$D80</f>
        <v>166318.4453698329</v>
      </c>
      <c r="C84" s="406">
        <f>C82*D80</f>
        <v>0</v>
      </c>
      <c r="D84" s="406">
        <f>SUM(B84:C84)</f>
        <v>166318.4453698329</v>
      </c>
      <c r="E84" s="112"/>
    </row>
    <row r="85" spans="1:5" ht="12.75">
      <c r="A85" s="112"/>
      <c r="B85" s="288"/>
      <c r="C85" s="288"/>
      <c r="D85" s="288"/>
      <c r="E85" s="112"/>
    </row>
    <row r="86" spans="1:5" ht="12.75">
      <c r="A86" s="109" t="s">
        <v>99</v>
      </c>
      <c r="B86" s="295">
        <f>$C24</f>
        <v>41322391</v>
      </c>
      <c r="C86" s="294"/>
      <c r="D86" s="294"/>
      <c r="E86" s="112"/>
    </row>
    <row r="87" spans="1:5" ht="12.75">
      <c r="A87" s="112"/>
      <c r="B87" s="289"/>
      <c r="C87" s="288"/>
      <c r="D87" s="288"/>
      <c r="E87" s="112"/>
    </row>
    <row r="88" spans="1:5" ht="12.75">
      <c r="A88" s="109" t="s">
        <v>179</v>
      </c>
      <c r="B88" s="416">
        <f>IF(ISERROR($B84/$B86),0,$B84/$B86)</f>
        <v>0.004024898882783256</v>
      </c>
      <c r="C88" s="296"/>
      <c r="D88" s="296"/>
      <c r="E88" s="112"/>
    </row>
    <row r="89" spans="1:5" ht="12.75">
      <c r="A89" s="112"/>
      <c r="B89" s="290"/>
      <c r="C89" s="291"/>
      <c r="D89" s="291"/>
      <c r="E89" s="112"/>
    </row>
    <row r="90" spans="1:4" ht="15">
      <c r="A90" s="132"/>
      <c r="B90" s="56"/>
      <c r="C90" s="56"/>
      <c r="D90" s="56"/>
    </row>
    <row r="91" spans="2:4" ht="12.75">
      <c r="B91" s="56"/>
      <c r="C91" s="56"/>
      <c r="D91" s="56"/>
    </row>
    <row r="92" ht="15.75">
      <c r="A92" s="54" t="s">
        <v>207</v>
      </c>
    </row>
    <row r="93" ht="9" customHeight="1">
      <c r="A93" s="131"/>
    </row>
    <row r="94" ht="15">
      <c r="A94" s="132"/>
    </row>
    <row r="95" spans="1:7" ht="39" thickBot="1">
      <c r="A95" s="132"/>
      <c r="B95" s="284" t="s">
        <v>103</v>
      </c>
      <c r="C95" s="284" t="s">
        <v>104</v>
      </c>
      <c r="D95" s="284" t="s">
        <v>147</v>
      </c>
      <c r="E95" s="281"/>
      <c r="F95" s="281"/>
      <c r="G95" s="281"/>
    </row>
    <row r="96" spans="1:3" ht="15">
      <c r="A96" s="132"/>
      <c r="B96" s="30"/>
      <c r="C96" s="30"/>
    </row>
    <row r="97" spans="1:5" ht="12.75">
      <c r="A97" s="109" t="s">
        <v>150</v>
      </c>
      <c r="B97" s="292"/>
      <c r="C97" s="292"/>
      <c r="D97" s="411">
        <f>$G25</f>
        <v>525743.7420953289</v>
      </c>
      <c r="E97" s="112"/>
    </row>
    <row r="98" spans="1:5" ht="12.75">
      <c r="A98" s="112"/>
      <c r="B98" s="285"/>
      <c r="C98" s="285"/>
      <c r="D98" s="286"/>
      <c r="E98" s="112"/>
    </row>
    <row r="99" spans="1:5" ht="12.75">
      <c r="A99" s="109" t="s">
        <v>101</v>
      </c>
      <c r="B99" s="293">
        <v>1</v>
      </c>
      <c r="C99" s="293">
        <v>0</v>
      </c>
      <c r="D99" s="293">
        <f>B99+C99</f>
        <v>1</v>
      </c>
      <c r="E99" s="112"/>
    </row>
    <row r="100" spans="1:5" ht="12.75">
      <c r="A100" s="112"/>
      <c r="B100" s="287"/>
      <c r="C100" s="287"/>
      <c r="D100" s="287"/>
      <c r="E100" s="112"/>
    </row>
    <row r="101" spans="1:5" ht="12.75">
      <c r="A101" s="109" t="s">
        <v>151</v>
      </c>
      <c r="B101" s="406">
        <f>$B99*$D97</f>
        <v>525743.7420953289</v>
      </c>
      <c r="C101" s="406">
        <f>C99*D97</f>
        <v>0</v>
      </c>
      <c r="D101" s="406">
        <f>SUM(B101:C101)</f>
        <v>525743.7420953289</v>
      </c>
      <c r="E101" s="112"/>
    </row>
    <row r="102" spans="1:5" ht="12.75">
      <c r="A102" s="112"/>
      <c r="B102" s="288"/>
      <c r="C102" s="288"/>
      <c r="D102" s="288"/>
      <c r="E102" s="112"/>
    </row>
    <row r="103" spans="1:5" ht="12.75">
      <c r="A103" s="109" t="s">
        <v>164</v>
      </c>
      <c r="B103" s="295">
        <f>$B25</f>
        <v>694596</v>
      </c>
      <c r="C103" s="294"/>
      <c r="D103" s="294"/>
      <c r="E103" s="112"/>
    </row>
    <row r="104" spans="1:5" ht="12.75">
      <c r="A104" s="112"/>
      <c r="B104" s="289"/>
      <c r="C104" s="288"/>
      <c r="D104" s="288"/>
      <c r="E104" s="112"/>
    </row>
    <row r="105" spans="1:5" ht="12.75">
      <c r="A105" s="109" t="s">
        <v>180</v>
      </c>
      <c r="B105" s="416">
        <f>IF(ISERROR($B101/$B103),0,$B101/$B103)</f>
        <v>0.7569058014951553</v>
      </c>
      <c r="C105" s="296"/>
      <c r="D105" s="296"/>
      <c r="E105" s="112"/>
    </row>
    <row r="106" spans="1:8" ht="12.75">
      <c r="A106" s="298"/>
      <c r="B106" s="299"/>
      <c r="C106" s="300"/>
      <c r="D106" s="299"/>
      <c r="E106" s="298"/>
      <c r="F106" s="31"/>
      <c r="G106" s="31"/>
      <c r="H106" s="31"/>
    </row>
    <row r="107" spans="1:5" ht="12.75">
      <c r="A107" s="298"/>
      <c r="B107" s="299"/>
      <c r="C107" s="300"/>
      <c r="D107" s="299"/>
      <c r="E107" s="112"/>
    </row>
    <row r="108" spans="1:5" ht="12.75">
      <c r="A108" s="298"/>
      <c r="B108" s="299"/>
      <c r="C108" s="300"/>
      <c r="D108" s="299"/>
      <c r="E108" s="112"/>
    </row>
    <row r="109" ht="15.75">
      <c r="A109" s="54" t="s">
        <v>206</v>
      </c>
    </row>
    <row r="110" ht="15.75">
      <c r="A110" s="131"/>
    </row>
    <row r="111" ht="15">
      <c r="A111" s="132"/>
    </row>
    <row r="112" spans="1:7" ht="39" thickBot="1">
      <c r="A112" s="132"/>
      <c r="B112" s="284" t="s">
        <v>103</v>
      </c>
      <c r="C112" s="284" t="s">
        <v>104</v>
      </c>
      <c r="D112" s="284" t="s">
        <v>147</v>
      </c>
      <c r="E112" s="281"/>
      <c r="F112" s="281"/>
      <c r="G112" s="281"/>
    </row>
    <row r="113" spans="1:3" ht="15">
      <c r="A113" s="132"/>
      <c r="B113" s="30"/>
      <c r="C113" s="30"/>
    </row>
    <row r="114" spans="1:5" ht="12.75">
      <c r="A114" s="109" t="s">
        <v>150</v>
      </c>
      <c r="B114" s="292"/>
      <c r="C114" s="292"/>
      <c r="D114" s="411">
        <f>$G26</f>
        <v>0</v>
      </c>
      <c r="E114" s="112"/>
    </row>
    <row r="115" spans="1:5" ht="12.75">
      <c r="A115" s="112"/>
      <c r="B115" s="285"/>
      <c r="C115" s="285"/>
      <c r="D115" s="286"/>
      <c r="E115" s="112"/>
    </row>
    <row r="116" spans="1:5" ht="12.75">
      <c r="A116" s="109" t="s">
        <v>101</v>
      </c>
      <c r="B116" s="293">
        <v>1</v>
      </c>
      <c r="C116" s="293">
        <v>0</v>
      </c>
      <c r="D116" s="293">
        <f>B116+C116</f>
        <v>1</v>
      </c>
      <c r="E116" s="112"/>
    </row>
    <row r="117" spans="1:5" ht="12.75">
      <c r="A117" s="112"/>
      <c r="B117" s="287"/>
      <c r="C117" s="287"/>
      <c r="D117" s="287"/>
      <c r="E117" s="112"/>
    </row>
    <row r="118" spans="1:5" ht="12.75">
      <c r="A118" s="109" t="s">
        <v>151</v>
      </c>
      <c r="B118" s="406">
        <f>$B116*$D114</f>
        <v>0</v>
      </c>
      <c r="C118" s="406">
        <f>C116*D114</f>
        <v>0</v>
      </c>
      <c r="D118" s="406">
        <f>SUM(B118:C118)</f>
        <v>0</v>
      </c>
      <c r="E118" s="112"/>
    </row>
    <row r="119" spans="1:5" ht="12.75">
      <c r="A119" s="112"/>
      <c r="B119" s="288"/>
      <c r="C119" s="288"/>
      <c r="D119" s="288"/>
      <c r="E119" s="112"/>
    </row>
    <row r="120" spans="1:5" ht="12.75">
      <c r="A120" s="109" t="s">
        <v>164</v>
      </c>
      <c r="B120" s="295">
        <f>$B26</f>
        <v>0</v>
      </c>
      <c r="C120" s="294"/>
      <c r="D120" s="294"/>
      <c r="E120" s="112"/>
    </row>
    <row r="121" spans="1:5" ht="12.75">
      <c r="A121" s="112"/>
      <c r="B121" s="289"/>
      <c r="C121" s="288"/>
      <c r="D121" s="288"/>
      <c r="E121" s="112"/>
    </row>
    <row r="122" spans="1:5" ht="12.75">
      <c r="A122" s="109" t="s">
        <v>180</v>
      </c>
      <c r="B122" s="416">
        <f>IF(ISERROR($B118/$B120),0,$B118/$B120)</f>
        <v>0</v>
      </c>
      <c r="C122" s="296"/>
      <c r="D122" s="296"/>
      <c r="E122" s="112"/>
    </row>
    <row r="123" spans="1:8" ht="12.75">
      <c r="A123" s="298"/>
      <c r="B123" s="299"/>
      <c r="C123" s="300"/>
      <c r="D123" s="299"/>
      <c r="E123" s="298"/>
      <c r="F123" s="31"/>
      <c r="G123" s="31"/>
      <c r="H123" s="31"/>
    </row>
    <row r="124" spans="1:5" ht="12.75">
      <c r="A124" s="298"/>
      <c r="B124" s="299"/>
      <c r="C124" s="300"/>
      <c r="D124" s="299"/>
      <c r="E124" s="112"/>
    </row>
    <row r="125" spans="1:5" ht="12.75">
      <c r="A125" s="298"/>
      <c r="B125" s="299"/>
      <c r="C125" s="300"/>
      <c r="D125" s="299"/>
      <c r="E125" s="112"/>
    </row>
    <row r="126" ht="15.75">
      <c r="A126" s="54" t="s">
        <v>16</v>
      </c>
    </row>
    <row r="127" ht="15.75">
      <c r="A127" s="131"/>
    </row>
    <row r="128" ht="15">
      <c r="A128" s="132"/>
    </row>
    <row r="129" spans="1:7" ht="39" thickBot="1">
      <c r="A129" s="132"/>
      <c r="B129" s="284" t="s">
        <v>103</v>
      </c>
      <c r="C129" s="284" t="s">
        <v>104</v>
      </c>
      <c r="D129" s="284" t="s">
        <v>147</v>
      </c>
      <c r="E129" s="281"/>
      <c r="F129" s="281"/>
      <c r="G129" s="281"/>
    </row>
    <row r="130" spans="1:3" ht="15">
      <c r="A130" s="132"/>
      <c r="B130" s="30"/>
      <c r="C130" s="30"/>
    </row>
    <row r="131" spans="1:5" ht="12.75">
      <c r="A131" s="109" t="s">
        <v>150</v>
      </c>
      <c r="B131" s="292"/>
      <c r="C131" s="292"/>
      <c r="D131" s="411">
        <f>$G27</f>
        <v>0</v>
      </c>
      <c r="E131" s="112"/>
    </row>
    <row r="132" spans="1:5" ht="12.75">
      <c r="A132" s="112"/>
      <c r="B132" s="285"/>
      <c r="C132" s="285"/>
      <c r="D132" s="286"/>
      <c r="E132" s="112"/>
    </row>
    <row r="133" spans="1:5" ht="12.75">
      <c r="A133" s="109" t="s">
        <v>101</v>
      </c>
      <c r="B133" s="293">
        <v>1</v>
      </c>
      <c r="C133" s="293">
        <v>0</v>
      </c>
      <c r="D133" s="293">
        <f>B133+C133</f>
        <v>1</v>
      </c>
      <c r="E133" s="112"/>
    </row>
    <row r="134" spans="1:5" ht="12.75">
      <c r="A134" s="112"/>
      <c r="B134" s="287"/>
      <c r="C134" s="287"/>
      <c r="D134" s="287"/>
      <c r="E134" s="112"/>
    </row>
    <row r="135" spans="1:5" ht="12.75">
      <c r="A135" s="109" t="s">
        <v>151</v>
      </c>
      <c r="B135" s="406">
        <f>$B133*$D131</f>
        <v>0</v>
      </c>
      <c r="C135" s="406">
        <f>C133*D131</f>
        <v>0</v>
      </c>
      <c r="D135" s="406">
        <f>SUM(B135:C135)</f>
        <v>0</v>
      </c>
      <c r="E135" s="112"/>
    </row>
    <row r="136" spans="1:5" ht="12.75">
      <c r="A136" s="112"/>
      <c r="B136" s="288"/>
      <c r="C136" s="288"/>
      <c r="D136" s="288"/>
      <c r="E136" s="112"/>
    </row>
    <row r="137" spans="1:5" ht="12.75">
      <c r="A137" s="109" t="s">
        <v>164</v>
      </c>
      <c r="B137" s="295">
        <f>$B27</f>
        <v>0</v>
      </c>
      <c r="C137" s="294"/>
      <c r="D137" s="294"/>
      <c r="E137" s="112"/>
    </row>
    <row r="138" spans="1:5" ht="12.75">
      <c r="A138" s="112"/>
      <c r="B138" s="289"/>
      <c r="C138" s="288"/>
      <c r="D138" s="288"/>
      <c r="E138" s="112"/>
    </row>
    <row r="139" spans="1:5" ht="12.75">
      <c r="A139" s="109" t="s">
        <v>180</v>
      </c>
      <c r="B139" s="416">
        <f>IF(ISERROR($B135/$B137),0,$B135/$B137)</f>
        <v>0</v>
      </c>
      <c r="C139" s="296"/>
      <c r="D139" s="296"/>
      <c r="E139" s="112"/>
    </row>
    <row r="140" spans="1:5" ht="12.75">
      <c r="A140" s="112"/>
      <c r="B140" s="290"/>
      <c r="C140" s="291"/>
      <c r="D140" s="291"/>
      <c r="E140" s="112"/>
    </row>
    <row r="141" spans="1:4" ht="15">
      <c r="A141" s="132"/>
      <c r="B141" s="56"/>
      <c r="C141" s="56"/>
      <c r="D141" s="56"/>
    </row>
    <row r="142" spans="2:4" ht="12.75">
      <c r="B142" s="56"/>
      <c r="C142" s="56"/>
      <c r="D142" s="56"/>
    </row>
    <row r="143" ht="15.75">
      <c r="A143" s="54" t="s">
        <v>17</v>
      </c>
    </row>
    <row r="144" ht="15.75">
      <c r="A144" s="131"/>
    </row>
    <row r="145" ht="15">
      <c r="A145" s="132"/>
    </row>
    <row r="146" spans="1:7" ht="39" thickBot="1">
      <c r="A146" s="132"/>
      <c r="B146" s="284" t="s">
        <v>103</v>
      </c>
      <c r="C146" s="284" t="s">
        <v>104</v>
      </c>
      <c r="D146" s="284" t="s">
        <v>147</v>
      </c>
      <c r="E146" s="281"/>
      <c r="F146" s="281"/>
      <c r="G146" s="281"/>
    </row>
    <row r="147" spans="1:3" ht="15">
      <c r="A147" s="132"/>
      <c r="B147" s="30"/>
      <c r="C147" s="30"/>
    </row>
    <row r="148" spans="1:5" ht="12.75">
      <c r="A148" s="109" t="s">
        <v>150</v>
      </c>
      <c r="B148" s="292"/>
      <c r="C148" s="292"/>
      <c r="D148" s="411">
        <f>$G28</f>
        <v>0</v>
      </c>
      <c r="E148" s="112"/>
    </row>
    <row r="149" spans="1:5" ht="12.75">
      <c r="A149" s="112"/>
      <c r="B149" s="285"/>
      <c r="C149" s="285"/>
      <c r="D149" s="286"/>
      <c r="E149" s="112"/>
    </row>
    <row r="150" spans="1:5" ht="12.75">
      <c r="A150" s="109" t="s">
        <v>101</v>
      </c>
      <c r="B150" s="293">
        <v>1</v>
      </c>
      <c r="C150" s="293">
        <v>0</v>
      </c>
      <c r="D150" s="293">
        <f>B150+C150</f>
        <v>1</v>
      </c>
      <c r="E150" s="112"/>
    </row>
    <row r="151" spans="1:5" ht="12.75">
      <c r="A151" s="112"/>
      <c r="B151" s="287"/>
      <c r="C151" s="287"/>
      <c r="D151" s="287"/>
      <c r="E151" s="112"/>
    </row>
    <row r="152" spans="1:5" ht="12.75">
      <c r="A152" s="109" t="s">
        <v>151</v>
      </c>
      <c r="B152" s="406">
        <f>$B150*$D148</f>
        <v>0</v>
      </c>
      <c r="C152" s="406">
        <f>C150*D148</f>
        <v>0</v>
      </c>
      <c r="D152" s="406">
        <f>SUM(B152:C152)</f>
        <v>0</v>
      </c>
      <c r="E152" s="112"/>
    </row>
    <row r="153" spans="1:5" ht="12.75">
      <c r="A153" s="112"/>
      <c r="B153" s="288"/>
      <c r="C153" s="288"/>
      <c r="D153" s="288"/>
      <c r="E153" s="112"/>
    </row>
    <row r="154" spans="1:5" ht="12.75">
      <c r="A154" s="109" t="s">
        <v>164</v>
      </c>
      <c r="B154" s="295">
        <f>$B28</f>
        <v>0</v>
      </c>
      <c r="C154" s="294"/>
      <c r="D154" s="294"/>
      <c r="E154" s="112"/>
    </row>
    <row r="155" spans="1:5" ht="12.75">
      <c r="A155" s="112"/>
      <c r="B155" s="289"/>
      <c r="C155" s="288"/>
      <c r="D155" s="288"/>
      <c r="E155" s="112"/>
    </row>
    <row r="156" spans="1:5" ht="12.75">
      <c r="A156" s="109" t="s">
        <v>180</v>
      </c>
      <c r="B156" s="416">
        <f>IF(ISERROR($B152/$B154),0,$B152/$B154)</f>
        <v>0</v>
      </c>
      <c r="C156" s="296"/>
      <c r="D156" s="296"/>
      <c r="E156" s="112"/>
    </row>
    <row r="157" spans="2:4" ht="12.75">
      <c r="B157" s="56"/>
      <c r="C157" s="56"/>
      <c r="D157" s="56"/>
    </row>
    <row r="158" spans="1:5" ht="12.75">
      <c r="A158" s="298"/>
      <c r="B158" s="299"/>
      <c r="C158" s="300"/>
      <c r="D158" s="299"/>
      <c r="E158" s="112"/>
    </row>
    <row r="159" spans="1:5" ht="12.75">
      <c r="A159" s="298"/>
      <c r="B159" s="299"/>
      <c r="C159" s="300"/>
      <c r="D159" s="299"/>
      <c r="E159" s="112"/>
    </row>
    <row r="160" ht="15.75">
      <c r="A160" s="54" t="s">
        <v>18</v>
      </c>
    </row>
    <row r="161" ht="15.75">
      <c r="A161" s="131"/>
    </row>
    <row r="162" ht="15">
      <c r="A162" s="132"/>
    </row>
    <row r="163" spans="1:7" ht="39" thickBot="1">
      <c r="A163" s="132"/>
      <c r="B163" s="284" t="s">
        <v>103</v>
      </c>
      <c r="C163" s="284" t="s">
        <v>104</v>
      </c>
      <c r="D163" s="284" t="s">
        <v>147</v>
      </c>
      <c r="E163" s="281"/>
      <c r="F163" s="281"/>
      <c r="G163" s="281"/>
    </row>
    <row r="164" spans="1:3" ht="15">
      <c r="A164" s="132"/>
      <c r="B164" s="30"/>
      <c r="C164" s="30"/>
    </row>
    <row r="165" spans="1:5" ht="12.75">
      <c r="A165" s="109" t="s">
        <v>150</v>
      </c>
      <c r="B165" s="292"/>
      <c r="C165" s="292"/>
      <c r="D165" s="411">
        <f>$G29</f>
        <v>131.95889763234678</v>
      </c>
      <c r="E165" s="112"/>
    </row>
    <row r="166" spans="1:5" ht="12.75">
      <c r="A166" s="112"/>
      <c r="B166" s="285"/>
      <c r="C166" s="285"/>
      <c r="D166" s="286"/>
      <c r="E166" s="112"/>
    </row>
    <row r="167" spans="1:5" ht="12.75">
      <c r="A167" s="109" t="s">
        <v>101</v>
      </c>
      <c r="B167" s="293">
        <v>1</v>
      </c>
      <c r="C167" s="293">
        <v>0</v>
      </c>
      <c r="D167" s="293">
        <f>B167+C167</f>
        <v>1</v>
      </c>
      <c r="E167" s="112"/>
    </row>
    <row r="168" spans="1:5" ht="12.75">
      <c r="A168" s="112"/>
      <c r="B168" s="287"/>
      <c r="C168" s="287"/>
      <c r="D168" s="287"/>
      <c r="E168" s="112"/>
    </row>
    <row r="169" spans="1:5" ht="12.75">
      <c r="A169" s="109" t="s">
        <v>151</v>
      </c>
      <c r="B169" s="406">
        <f>$B167*$D165</f>
        <v>131.95889763234678</v>
      </c>
      <c r="C169" s="406">
        <f>C167*D165</f>
        <v>0</v>
      </c>
      <c r="D169" s="406">
        <f>SUM(B169:C169)</f>
        <v>131.95889763234678</v>
      </c>
      <c r="E169" s="112"/>
    </row>
    <row r="170" spans="1:5" ht="12.75">
      <c r="A170" s="112"/>
      <c r="B170" s="288"/>
      <c r="C170" s="288"/>
      <c r="D170" s="288"/>
      <c r="E170" s="112"/>
    </row>
    <row r="171" spans="1:5" ht="12.75">
      <c r="A171" s="109" t="s">
        <v>164</v>
      </c>
      <c r="B171" s="295">
        <f>$B29</f>
        <v>848</v>
      </c>
      <c r="C171" s="294"/>
      <c r="D171" s="294"/>
      <c r="E171" s="112"/>
    </row>
    <row r="172" spans="1:5" ht="12.75">
      <c r="A172" s="112"/>
      <c r="B172" s="289"/>
      <c r="C172" s="288"/>
      <c r="D172" s="288"/>
      <c r="E172" s="112"/>
    </row>
    <row r="173" spans="1:5" ht="12.75">
      <c r="A173" s="109" t="s">
        <v>180</v>
      </c>
      <c r="B173" s="416">
        <f>IF(ISERROR($B169/$B171),0,$B169/$B171)</f>
        <v>0.1556119075853146</v>
      </c>
      <c r="C173" s="296"/>
      <c r="D173" s="296"/>
      <c r="E173" s="112"/>
    </row>
    <row r="174" spans="1:5" ht="12.75">
      <c r="A174" s="298"/>
      <c r="B174" s="299"/>
      <c r="C174" s="300"/>
      <c r="D174" s="299"/>
      <c r="E174" s="298"/>
    </row>
    <row r="175" spans="1:5" ht="12.75">
      <c r="A175" s="298"/>
      <c r="B175" s="299"/>
      <c r="C175" s="300"/>
      <c r="D175" s="299"/>
      <c r="E175" s="112"/>
    </row>
    <row r="176" spans="1:5" ht="12.75">
      <c r="A176" s="298"/>
      <c r="B176" s="299"/>
      <c r="C176" s="300"/>
      <c r="D176" s="299"/>
      <c r="E176" s="112"/>
    </row>
    <row r="177" ht="15.75">
      <c r="A177" s="54" t="s">
        <v>107</v>
      </c>
    </row>
    <row r="178" ht="15.75">
      <c r="A178" s="131"/>
    </row>
    <row r="179" ht="15">
      <c r="A179" s="132"/>
    </row>
    <row r="180" spans="1:7" ht="39" thickBot="1">
      <c r="A180" s="132"/>
      <c r="B180" s="284" t="s">
        <v>103</v>
      </c>
      <c r="C180" s="284" t="s">
        <v>104</v>
      </c>
      <c r="D180" s="284" t="s">
        <v>147</v>
      </c>
      <c r="E180" s="281"/>
      <c r="F180" s="281"/>
      <c r="G180" s="281"/>
    </row>
    <row r="181" spans="1:3" ht="15">
      <c r="A181" s="132"/>
      <c r="B181" s="30"/>
      <c r="C181" s="30"/>
    </row>
    <row r="182" spans="1:5" ht="12.75">
      <c r="A182" s="109" t="s">
        <v>150</v>
      </c>
      <c r="B182" s="292"/>
      <c r="C182" s="292"/>
      <c r="D182" s="411">
        <f>$G30</f>
        <v>809.4978587711576</v>
      </c>
      <c r="E182" s="112"/>
    </row>
    <row r="183" spans="1:5" ht="12.75">
      <c r="A183" s="112"/>
      <c r="B183" s="285"/>
      <c r="C183" s="285"/>
      <c r="D183" s="286"/>
      <c r="E183" s="112"/>
    </row>
    <row r="184" spans="1:5" ht="12.75">
      <c r="A184" s="109" t="s">
        <v>101</v>
      </c>
      <c r="B184" s="293">
        <v>1</v>
      </c>
      <c r="C184" s="293">
        <v>0</v>
      </c>
      <c r="D184" s="293">
        <f>B184+C184</f>
        <v>1</v>
      </c>
      <c r="E184" s="112"/>
    </row>
    <row r="185" spans="1:5" ht="12.75">
      <c r="A185" s="112"/>
      <c r="B185" s="287"/>
      <c r="C185" s="287"/>
      <c r="D185" s="287"/>
      <c r="E185" s="112"/>
    </row>
    <row r="186" spans="1:5" ht="12.75">
      <c r="A186" s="109" t="s">
        <v>151</v>
      </c>
      <c r="B186" s="406">
        <f>$B184*$D182</f>
        <v>809.4978587711576</v>
      </c>
      <c r="C186" s="406">
        <f>C184*D182</f>
        <v>0</v>
      </c>
      <c r="D186" s="406">
        <f>SUM(B186:C186)</f>
        <v>809.4978587711576</v>
      </c>
      <c r="E186" s="112"/>
    </row>
    <row r="187" spans="1:5" ht="12.75">
      <c r="A187" s="112"/>
      <c r="B187" s="288"/>
      <c r="C187" s="288"/>
      <c r="D187" s="288"/>
      <c r="E187" s="112"/>
    </row>
    <row r="188" spans="1:5" ht="12.75">
      <c r="A188" s="109" t="s">
        <v>164</v>
      </c>
      <c r="B188" s="295">
        <f>$B30</f>
        <v>5491</v>
      </c>
      <c r="C188" s="294"/>
      <c r="D188" s="294"/>
      <c r="E188" s="112"/>
    </row>
    <row r="189" spans="1:5" ht="12.75">
      <c r="A189" s="112"/>
      <c r="B189" s="289"/>
      <c r="C189" s="288"/>
      <c r="D189" s="288"/>
      <c r="E189" s="112"/>
    </row>
    <row r="190" spans="1:5" ht="12.75">
      <c r="A190" s="109" t="s">
        <v>180</v>
      </c>
      <c r="B190" s="416">
        <f>IF(ISERROR($B186/$B188),0,$B186/$B188)</f>
        <v>0.14742266595723139</v>
      </c>
      <c r="C190" s="296"/>
      <c r="D190" s="296"/>
      <c r="E190" s="112"/>
    </row>
  </sheetData>
  <mergeCells count="6">
    <mergeCell ref="A3:C3"/>
    <mergeCell ref="A6:C6"/>
    <mergeCell ref="A14:D14"/>
    <mergeCell ref="C33:F33"/>
    <mergeCell ref="B5:D5"/>
    <mergeCell ref="B7:C7"/>
  </mergeCells>
  <printOptions/>
  <pageMargins left="0.31" right="0.17" top="0.45" bottom="0.5" header="0.28" footer="0.23"/>
  <pageSetup fitToHeight="0" fitToWidth="1" horizontalDpi="600" verticalDpi="600" orientation="portrait" scale="69" r:id="rId1"/>
  <rowBreaks count="2" manualBreakCount="2">
    <brk id="91" max="255" man="1"/>
    <brk id="158" max="255" man="1"/>
  </rowBreaks>
</worksheet>
</file>

<file path=xl/worksheets/sheet6.xml><?xml version="1.0" encoding="utf-8"?>
<worksheet xmlns="http://schemas.openxmlformats.org/spreadsheetml/2006/main" xmlns:r="http://schemas.openxmlformats.org/officeDocument/2006/relationships">
  <dimension ref="A1:H95"/>
  <sheetViews>
    <sheetView workbookViewId="0" topLeftCell="A1">
      <selection activeCell="B24" sqref="B24"/>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156</v>
      </c>
    </row>
    <row r="2" ht="22.5" customHeight="1" thickBot="1"/>
    <row r="3" spans="1:5" ht="15.75">
      <c r="A3" s="503" t="str">
        <f>"Name of Utility:      "&amp;'Info Sheet'!B4</f>
        <v>Name of Utility:      PENINSULA WEST UTILITIES LIMITED</v>
      </c>
      <c r="B3" s="504"/>
      <c r="C3" s="504"/>
      <c r="D3" s="460" t="str">
        <f>'Info Sheet'!$B$21</f>
        <v>2005.V1.1</v>
      </c>
      <c r="E3" s="36"/>
    </row>
    <row r="4" spans="1:5" ht="18">
      <c r="A4" s="304" t="str">
        <f>"License Number:   "&amp;'Info Sheet'!B6</f>
        <v>License Number:   ED-2002-0555</v>
      </c>
      <c r="B4" s="27"/>
      <c r="C4" s="396"/>
      <c r="D4" s="399" t="str">
        <f>'Info Sheet'!B8</f>
        <v>RP-2005-0013</v>
      </c>
      <c r="E4" s="36"/>
    </row>
    <row r="5" spans="1:4" ht="15.75">
      <c r="A5" s="505" t="str">
        <f>"Name of Contact:  "&amp;'Info Sheet'!B12</f>
        <v>Name of Contact:  KAREN BUBISH</v>
      </c>
      <c r="B5" s="506"/>
      <c r="C5" s="506"/>
      <c r="D5" s="399" t="str">
        <f>'Info Sheet'!B10</f>
        <v>EB-2005-0066</v>
      </c>
    </row>
    <row r="6" spans="1:4" ht="18" customHeight="1">
      <c r="A6" s="502" t="str">
        <f>"E- Mail Address:    "&amp;'Info Sheet'!B14</f>
        <v>E- Mail Address:    karen@penwest.on.ca</v>
      </c>
      <c r="B6" s="507"/>
      <c r="C6" s="507"/>
      <c r="D6" s="100"/>
    </row>
    <row r="7" spans="1:4" ht="15.75">
      <c r="A7" s="304" t="str">
        <f>"Phone Number:     "&amp;'Info Sheet'!B16</f>
        <v>Phone Number:     905-563-5550</v>
      </c>
      <c r="B7" s="507" t="str">
        <f>'Info Sheet'!$C$16&amp;" "&amp;'Info Sheet'!$D$16</f>
        <v>Extension: 222</v>
      </c>
      <c r="C7" s="507"/>
      <c r="D7" s="100"/>
    </row>
    <row r="8" spans="1:4" ht="16.5" thickBot="1">
      <c r="A8" s="519" t="str">
        <f>"Date:                      "&amp;('Info Sheet'!B18)</f>
        <v>Date:                      JANUARY 14, 2005</v>
      </c>
      <c r="B8" s="520"/>
      <c r="C8" s="520"/>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227</v>
      </c>
      <c r="B14" s="52"/>
      <c r="C14" s="53"/>
      <c r="E14" s="15"/>
      <c r="G14" s="15"/>
    </row>
    <row r="15" spans="2:7" ht="12.75">
      <c r="B15" s="15"/>
      <c r="C15" s="15"/>
      <c r="D15" s="49"/>
      <c r="E15" s="15"/>
      <c r="F15" s="15"/>
      <c r="G15" s="15"/>
    </row>
    <row r="16" spans="1:8" ht="12.75">
      <c r="A16" s="9" t="s">
        <v>1</v>
      </c>
      <c r="B16" s="15">
        <f>IF('3. 2005 Base Rate Schedule'!B14="","",'3. 2005 Base Rate Schedule'!B14+'4. 2003 Data &amp; 2005 PILs'!B51)</f>
        <v>0.019984703608622065</v>
      </c>
      <c r="C16" s="15"/>
      <c r="D16" s="49"/>
      <c r="E16" s="15"/>
      <c r="F16" s="301"/>
      <c r="G16" s="301"/>
      <c r="H16" s="301"/>
    </row>
    <row r="17" spans="2:7" ht="12.75">
      <c r="B17" s="15"/>
      <c r="C17" s="15"/>
      <c r="D17" s="49"/>
      <c r="E17" s="15"/>
      <c r="F17" s="15"/>
      <c r="G17" s="15"/>
    </row>
    <row r="18" spans="1:8" ht="12.75">
      <c r="A18" s="9" t="s">
        <v>20</v>
      </c>
      <c r="B18" s="49">
        <f>IF('3. 2005 Base Rate Schedule'!B16="","",'3. 2005 Base Rate Schedule'!B16)</f>
        <v>9.195373834094259</v>
      </c>
      <c r="C18" s="15"/>
      <c r="D18" s="49"/>
      <c r="E18" s="15"/>
      <c r="F18" s="301"/>
      <c r="G18" s="134"/>
      <c r="H18" s="301"/>
    </row>
    <row r="19" spans="2:7" ht="12.75">
      <c r="B19" s="15">
        <f>IF('3. 2005 Base Rate Schedule'!B17="","",'3. 2005 Base Rate Schedule'!B17+'4. 2003 Data &amp; 2005 PILs'!B74)</f>
      </c>
      <c r="C19" s="15"/>
      <c r="D19" s="49"/>
      <c r="E19" s="15"/>
      <c r="F19" s="15"/>
      <c r="G19" s="15"/>
    </row>
    <row r="20" spans="2:7" ht="12.75">
      <c r="B20" s="15"/>
      <c r="C20" s="15"/>
      <c r="D20" s="15"/>
      <c r="E20" s="15"/>
      <c r="F20" s="15"/>
      <c r="G20" s="15"/>
    </row>
    <row r="21" spans="1:7" ht="18">
      <c r="A21" s="525" t="s">
        <v>228</v>
      </c>
      <c r="B21" s="525"/>
      <c r="C21" s="53"/>
      <c r="D21" s="15"/>
      <c r="E21" s="15"/>
      <c r="F21" s="15"/>
      <c r="G21" s="15"/>
    </row>
    <row r="22" spans="2:7" ht="12.75">
      <c r="B22" s="15">
        <f>IF('3. 2005 Base Rate Schedule'!B20="","",'3. 2005 Base Rate Schedule'!B20+'4. 2003 Data &amp; 2005 PILs'!B77)</f>
      </c>
      <c r="C22" s="15"/>
      <c r="D22" s="15"/>
      <c r="E22" s="15"/>
      <c r="F22" s="15"/>
      <c r="G22" s="15"/>
    </row>
    <row r="23" spans="1:7" ht="12.75">
      <c r="A23" s="9" t="s">
        <v>1</v>
      </c>
      <c r="B23" s="15">
        <f>IF('3. 2005 Base Rate Schedule'!B21="","",'3. 2005 Base Rate Schedule'!B21+'4. 2003 Data &amp; 2005 PILs'!B68)</f>
        <v>0.013677331085329182</v>
      </c>
      <c r="C23" s="15"/>
      <c r="D23" s="15"/>
      <c r="E23" s="15"/>
      <c r="F23" s="15"/>
      <c r="G23" s="15"/>
    </row>
    <row r="24" spans="2:7" ht="12.75">
      <c r="B24" s="15"/>
      <c r="C24" s="15"/>
      <c r="D24" s="15"/>
      <c r="E24" s="15"/>
      <c r="F24" s="15"/>
      <c r="G24" s="15"/>
    </row>
    <row r="25" spans="1:7" ht="12.75">
      <c r="A25" s="9" t="s">
        <v>20</v>
      </c>
      <c r="B25" s="49">
        <f>IF('3. 2005 Base Rate Schedule'!B23="","",'3. 2005 Base Rate Schedule'!B23)</f>
        <v>11.420558946854408</v>
      </c>
      <c r="C25" s="15"/>
      <c r="D25" s="15"/>
      <c r="E25" s="15"/>
      <c r="F25" s="15"/>
      <c r="G25" s="15"/>
    </row>
    <row r="26" spans="2:7" ht="12.75">
      <c r="B26" s="15"/>
      <c r="C26" s="15"/>
      <c r="D26" s="15"/>
      <c r="E26" s="15"/>
      <c r="F26" s="15"/>
      <c r="G26" s="15"/>
    </row>
    <row r="27" spans="2:7" ht="12.75">
      <c r="B27" s="15"/>
      <c r="C27" s="15"/>
      <c r="D27" s="49"/>
      <c r="E27" s="15"/>
      <c r="F27" s="15"/>
      <c r="G27" s="15"/>
    </row>
    <row r="28" spans="1:7" ht="18">
      <c r="A28" s="525" t="s">
        <v>2</v>
      </c>
      <c r="B28" s="525"/>
      <c r="C28" s="53"/>
      <c r="D28" s="49"/>
      <c r="E28" s="15"/>
      <c r="F28" s="15"/>
      <c r="G28" s="15"/>
    </row>
    <row r="29" spans="2:7" ht="12.75">
      <c r="B29" s="15"/>
      <c r="C29" s="15"/>
      <c r="D29" s="49"/>
      <c r="E29" s="15"/>
      <c r="F29" s="15"/>
      <c r="G29" s="15"/>
    </row>
    <row r="30" spans="1:8" ht="12.75">
      <c r="A30" s="9" t="s">
        <v>1</v>
      </c>
      <c r="B30" s="15">
        <f>IF('3. 2005 Base Rate Schedule'!B28="","",'3. 2005 Base Rate Schedule'!B28+'4. 2003 Data &amp; 2005 PILs'!B88)</f>
        <v>0.019544665912190944</v>
      </c>
      <c r="C30" s="15"/>
      <c r="D30" s="49"/>
      <c r="E30" s="15"/>
      <c r="F30" s="15"/>
      <c r="G30" s="302"/>
      <c r="H30" s="301"/>
    </row>
    <row r="31" spans="2:7" ht="12.75">
      <c r="B31" s="15"/>
      <c r="C31" s="15"/>
      <c r="D31" s="49"/>
      <c r="E31" s="15"/>
      <c r="F31" s="15"/>
      <c r="G31" s="302"/>
    </row>
    <row r="32" spans="1:8" ht="12.75">
      <c r="A32" s="9" t="s">
        <v>20</v>
      </c>
      <c r="B32" s="49">
        <f>IF('3. 2005 Base Rate Schedule'!B30="","",'3. 2005 Base Rate Schedule'!B30)</f>
        <v>11.421658485163704</v>
      </c>
      <c r="C32" s="15"/>
      <c r="D32" s="49"/>
      <c r="E32" s="15"/>
      <c r="F32" s="15"/>
      <c r="G32" s="302"/>
      <c r="H32" s="301"/>
    </row>
    <row r="33" spans="2:7" ht="12.75">
      <c r="B33" s="15">
        <f>IF('3. 2005 Base Rate Schedule'!B31="","",'3. 2005 Base Rate Schedule'!B31+'4. 2003 Data &amp; 2005 PILs'!B88)</f>
      </c>
      <c r="C33" s="15"/>
      <c r="D33" s="49"/>
      <c r="E33" s="15"/>
      <c r="F33" s="15"/>
      <c r="G33" s="15"/>
    </row>
    <row r="34" spans="2:7" ht="12.75">
      <c r="B34" s="15">
        <f>IF('3. 2005 Base Rate Schedule'!B32="","",'3. 2005 Base Rate Schedule'!B32+'4. 2003 Data &amp; 2005 PILs'!B89)</f>
      </c>
      <c r="C34" s="15"/>
      <c r="D34" s="49"/>
      <c r="E34" s="15"/>
      <c r="F34" s="15"/>
      <c r="G34" s="15"/>
    </row>
    <row r="35" spans="1:7" ht="18">
      <c r="A35" s="525" t="s">
        <v>3</v>
      </c>
      <c r="B35" s="525"/>
      <c r="C35" s="525"/>
      <c r="D35" s="49"/>
      <c r="E35" s="15"/>
      <c r="F35" s="15"/>
      <c r="G35" s="15"/>
    </row>
    <row r="36" spans="2:7" ht="12.75">
      <c r="B36" s="15">
        <f>IF('3. 2005 Base Rate Schedule'!B34="","",'3. 2005 Base Rate Schedule'!B34+'4. 2003 Data &amp; 2005 PILs'!B91)</f>
      </c>
      <c r="C36" s="15"/>
      <c r="D36" s="49"/>
      <c r="E36" s="15"/>
      <c r="F36" s="15"/>
      <c r="G36" s="15"/>
    </row>
    <row r="37" spans="1:7" ht="12.75">
      <c r="A37" s="9" t="s">
        <v>4</v>
      </c>
      <c r="B37" s="15">
        <f>IF('3. 2005 Base Rate Schedule'!B35="","",'4. 2003 Data &amp; 2005 PILs'!B105+'3. 2005 Base Rate Schedule'!B35)</f>
        <v>6.651914150795814</v>
      </c>
      <c r="C37" s="15"/>
      <c r="D37" s="49"/>
      <c r="E37" s="15"/>
      <c r="F37" s="15"/>
      <c r="G37" s="15"/>
    </row>
    <row r="38" spans="2:7" ht="12.75">
      <c r="B38" s="15"/>
      <c r="C38" s="15"/>
      <c r="D38" s="49"/>
      <c r="E38" s="15"/>
      <c r="F38" s="15"/>
      <c r="G38" s="15"/>
    </row>
    <row r="39" spans="1:7" ht="12.75">
      <c r="A39" s="9" t="s">
        <v>20</v>
      </c>
      <c r="B39" s="49">
        <f>IF('3. 2005 Base Rate Schedule'!B37="","",'3. 2005 Base Rate Schedule'!B37)</f>
        <v>23.742060347832695</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5</v>
      </c>
      <c r="B42" s="52"/>
      <c r="C42" s="53"/>
      <c r="D42" s="49"/>
      <c r="E42" s="15"/>
      <c r="F42" s="15"/>
      <c r="G42" s="15"/>
    </row>
    <row r="43" spans="1:7" ht="18">
      <c r="A43" s="8"/>
      <c r="B43" s="15"/>
      <c r="C43" s="15"/>
      <c r="D43" s="49"/>
      <c r="E43" s="15"/>
      <c r="F43" s="15"/>
      <c r="G43" s="15"/>
    </row>
    <row r="44" spans="1:7" ht="12.75">
      <c r="A44" s="9" t="s">
        <v>4</v>
      </c>
      <c r="B44" s="15">
        <f>IF('3. 2005 Base Rate Schedule'!B42="","",'4. 2003 Data &amp; 2005 PILs'!B122+'3. 2005 Base Rate Schedule'!B42)</f>
      </c>
      <c r="C44" s="15"/>
      <c r="D44" s="49"/>
      <c r="E44" s="15"/>
      <c r="F44" s="15"/>
      <c r="G44" s="15"/>
    </row>
    <row r="45" spans="2:7" ht="12.75">
      <c r="B45" s="15"/>
      <c r="C45" s="15"/>
      <c r="D45" s="49"/>
      <c r="E45" s="15"/>
      <c r="F45" s="15"/>
      <c r="G45" s="15"/>
    </row>
    <row r="46" spans="1:7" ht="12.75">
      <c r="A46" s="9" t="s">
        <v>20</v>
      </c>
      <c r="B46" s="49">
        <f>IF('3. 2005 Base Rate Schedule'!B44="","",'3. 2005 Base Rate Schedule'!B44)</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216</v>
      </c>
      <c r="B49" s="15"/>
      <c r="C49" s="15"/>
      <c r="D49" s="49"/>
      <c r="E49" s="15"/>
      <c r="F49" s="15"/>
      <c r="G49" s="15"/>
    </row>
    <row r="50" spans="2:7" ht="12.75">
      <c r="B50" s="15"/>
      <c r="C50" s="15"/>
      <c r="D50" s="49"/>
      <c r="E50" s="15"/>
      <c r="F50" s="15"/>
      <c r="G50" s="15"/>
    </row>
    <row r="51" spans="1:7" ht="12.75">
      <c r="A51" s="9" t="s">
        <v>4</v>
      </c>
      <c r="B51" s="15">
        <f>IF('3. 2005 Base Rate Schedule'!B49="","",'4. 2003 Data &amp; 2005 PILs'!B139+'3. 2005 Base Rate Schedule'!B49)</f>
      </c>
      <c r="C51" s="15"/>
      <c r="D51" s="49"/>
      <c r="E51" s="15"/>
      <c r="F51" s="15"/>
      <c r="G51" s="15"/>
    </row>
    <row r="52" spans="2:7" ht="12.75">
      <c r="B52" s="15"/>
      <c r="C52" s="15"/>
      <c r="D52" s="49"/>
      <c r="E52" s="15"/>
      <c r="F52" s="15"/>
      <c r="G52" s="15"/>
    </row>
    <row r="53" spans="1:7" ht="12.75">
      <c r="A53" s="9" t="s">
        <v>20</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0</v>
      </c>
      <c r="B56" s="15"/>
      <c r="C56" s="15"/>
      <c r="D56" s="49"/>
      <c r="E56" s="15"/>
      <c r="F56" s="15"/>
      <c r="G56" s="15"/>
    </row>
    <row r="57" spans="2:7" ht="12.75">
      <c r="B57" s="15"/>
      <c r="C57" s="15"/>
      <c r="D57" s="49"/>
      <c r="E57" s="15"/>
      <c r="F57" s="15"/>
      <c r="G57" s="15"/>
    </row>
    <row r="58" spans="1:7" ht="12.75">
      <c r="A58" s="9" t="s">
        <v>4</v>
      </c>
      <c r="B58" s="15">
        <f>IF('3. 2005 Base Rate Schedule'!B56="","",'4. 2003 Data &amp; 2005 PILs'!B156+'3. 2005 Base Rate Schedule'!B56)</f>
      </c>
      <c r="C58" s="15"/>
      <c r="D58" s="49"/>
      <c r="E58" s="15"/>
      <c r="F58" s="15"/>
      <c r="G58" s="15"/>
    </row>
    <row r="59" spans="2:7" ht="12.75">
      <c r="B59" s="15"/>
      <c r="C59" s="15"/>
      <c r="D59" s="49"/>
      <c r="E59" s="15"/>
      <c r="F59" s="15"/>
      <c r="G59" s="15"/>
    </row>
    <row r="60" spans="1:7" ht="12.75">
      <c r="A60" s="9" t="s">
        <v>20</v>
      </c>
      <c r="B60" s="49">
        <f>IF('3. 2005 Base Rate Schedule'!B58="","",'3. 2005 Base Rate Schedule'!B58)</f>
      </c>
      <c r="C60" s="15"/>
      <c r="D60" s="49"/>
      <c r="E60" s="15"/>
      <c r="F60" s="15"/>
      <c r="G60" s="15"/>
    </row>
    <row r="61" spans="2:7" ht="12.75">
      <c r="B61" s="15"/>
      <c r="C61" s="15"/>
      <c r="D61" s="49"/>
      <c r="E61" s="15"/>
      <c r="F61" s="15"/>
      <c r="G61" s="15"/>
    </row>
    <row r="62" spans="3:7" ht="12.75">
      <c r="C62" s="15"/>
      <c r="E62" s="15"/>
      <c r="F62" s="15"/>
      <c r="G62" s="15"/>
    </row>
    <row r="63" spans="1:7" ht="18">
      <c r="A63" s="55" t="s">
        <v>6</v>
      </c>
      <c r="B63" s="15"/>
      <c r="C63" s="15"/>
      <c r="D63" s="49"/>
      <c r="E63" s="15"/>
      <c r="F63" s="15"/>
      <c r="G63" s="15"/>
    </row>
    <row r="64" spans="2:7" ht="12.75">
      <c r="B64" s="15"/>
      <c r="C64" s="15"/>
      <c r="D64" s="49"/>
      <c r="E64" s="15"/>
      <c r="F64" s="15"/>
      <c r="G64" s="15"/>
    </row>
    <row r="65" spans="1:7" ht="12.75">
      <c r="A65" s="9" t="s">
        <v>4</v>
      </c>
      <c r="B65" s="15">
        <f>IF('3. 2005 Base Rate Schedule'!B63="","",'4. 2003 Data &amp; 2005 PILs'!B173+'3. 2005 Base Rate Schedule'!B63)</f>
        <v>0.8873493446348815</v>
      </c>
      <c r="C65" s="15"/>
      <c r="D65" s="49"/>
      <c r="E65" s="15"/>
      <c r="F65" s="15"/>
      <c r="G65" s="15"/>
    </row>
    <row r="66" spans="2:7" ht="12.75">
      <c r="B66" s="15"/>
      <c r="C66" s="15"/>
      <c r="D66" s="49"/>
      <c r="E66" s="15"/>
      <c r="F66" s="15"/>
      <c r="G66" s="15"/>
    </row>
    <row r="67" spans="1:7" ht="12.75">
      <c r="A67" s="9" t="s">
        <v>21</v>
      </c>
      <c r="B67" s="49">
        <f>IF('3. 2005 Base Rate Schedule'!B65="","",'3. 2005 Base Rate Schedule'!B65)</f>
        <v>0.9739853709285965</v>
      </c>
      <c r="C67" s="15"/>
      <c r="D67" s="49"/>
      <c r="E67" s="15"/>
      <c r="F67" s="15"/>
      <c r="G67" s="15"/>
    </row>
    <row r="68" spans="2:7" ht="12.75">
      <c r="B68" s="15"/>
      <c r="C68" s="15"/>
      <c r="D68" s="49"/>
      <c r="E68" s="15"/>
      <c r="F68" s="15"/>
      <c r="G68" s="15"/>
    </row>
    <row r="69" spans="1:7" ht="12.75">
      <c r="A69" s="12" t="s">
        <v>7</v>
      </c>
      <c r="B69" s="15"/>
      <c r="C69" s="15"/>
      <c r="D69" s="49"/>
      <c r="E69" s="15"/>
      <c r="F69" s="15"/>
      <c r="G69" s="15"/>
    </row>
    <row r="70" spans="2:7" ht="12.75">
      <c r="B70" s="15"/>
      <c r="C70" s="15"/>
      <c r="D70" s="49"/>
      <c r="E70" s="15"/>
      <c r="F70" s="15"/>
      <c r="G70" s="15"/>
    </row>
    <row r="71" spans="1:7" ht="18">
      <c r="A71" s="55" t="s">
        <v>8</v>
      </c>
      <c r="B71" s="15"/>
      <c r="C71" s="15"/>
      <c r="D71" s="49"/>
      <c r="E71" s="15"/>
      <c r="F71" s="15"/>
      <c r="G71" s="15"/>
    </row>
    <row r="72" spans="2:7" ht="12.75">
      <c r="B72" s="15"/>
      <c r="C72" s="15"/>
      <c r="D72" s="49"/>
      <c r="E72" s="15"/>
      <c r="F72" s="15"/>
      <c r="G72" s="15"/>
    </row>
    <row r="73" spans="1:7" ht="12.75">
      <c r="A73" s="9" t="s">
        <v>4</v>
      </c>
      <c r="B73" s="15">
        <f>IF('3. 2005 Base Rate Schedule'!B71="","",'4. 2003 Data &amp; 2005 PILs'!B173+'3. 2005 Base Rate Schedule'!B71)</f>
      </c>
      <c r="C73" s="15"/>
      <c r="D73" s="49"/>
      <c r="E73" s="15"/>
      <c r="F73" s="15"/>
      <c r="G73" s="15"/>
    </row>
    <row r="74" spans="2:7" ht="12.75">
      <c r="B74" s="15"/>
      <c r="C74" s="15"/>
      <c r="D74" s="49"/>
      <c r="E74" s="15"/>
      <c r="F74" s="15"/>
      <c r="G74" s="15"/>
    </row>
    <row r="75" spans="1:7" ht="12.75">
      <c r="A75" s="9" t="s">
        <v>21</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9</v>
      </c>
      <c r="B78" s="15"/>
      <c r="C78" s="15"/>
      <c r="D78" s="49"/>
      <c r="E78" s="15"/>
      <c r="F78" s="15"/>
      <c r="G78" s="15"/>
    </row>
    <row r="79" spans="2:7" ht="12.75">
      <c r="B79" s="15"/>
      <c r="C79" s="15"/>
      <c r="D79" s="49"/>
      <c r="E79" s="15"/>
      <c r="F79" s="15"/>
      <c r="G79" s="15"/>
    </row>
    <row r="80" spans="1:7" ht="12.75">
      <c r="A80" s="9" t="s">
        <v>4</v>
      </c>
      <c r="B80" s="15">
        <f>IF('3. 2005 Base Rate Schedule'!B78="","",'4. 2003 Data &amp; 2005 PILs'!B190+'3. 2005 Base Rate Schedule'!B78)</f>
        <v>0.7802520106840174</v>
      </c>
      <c r="C80" s="15"/>
      <c r="D80" s="49"/>
      <c r="E80" s="15"/>
      <c r="F80" s="15"/>
      <c r="G80" s="15"/>
    </row>
    <row r="81" spans="2:7" ht="12.75">
      <c r="B81" s="15"/>
      <c r="C81" s="15"/>
      <c r="D81" s="49"/>
      <c r="E81" s="15"/>
      <c r="F81" s="15"/>
      <c r="G81" s="15"/>
    </row>
    <row r="82" spans="1:7" ht="12.75">
      <c r="A82" s="9" t="s">
        <v>21</v>
      </c>
      <c r="B82" s="49">
        <f>IF('3. 2005 Base Rate Schedule'!B80="","",'3. 2005 Base Rate Schedule'!B80)</f>
        <v>0.5675496838805344</v>
      </c>
      <c r="C82" s="15"/>
      <c r="D82" s="49"/>
      <c r="E82" s="15"/>
      <c r="F82" s="15"/>
      <c r="G82" s="15"/>
    </row>
    <row r="83" spans="2:7" ht="12.75">
      <c r="B83" s="15"/>
      <c r="C83" s="15"/>
      <c r="D83" s="49"/>
      <c r="E83" s="15"/>
      <c r="F83" s="15"/>
      <c r="G83" s="15"/>
    </row>
    <row r="84" spans="1:7" ht="12.75">
      <c r="A84" s="12" t="s">
        <v>7</v>
      </c>
      <c r="B84" s="15"/>
      <c r="C84" s="15"/>
      <c r="D84" s="49"/>
      <c r="E84" s="15"/>
      <c r="F84" s="15"/>
      <c r="G84" s="15"/>
    </row>
    <row r="85" spans="2:7" ht="12.75">
      <c r="B85" s="15"/>
      <c r="C85" s="15"/>
      <c r="D85" s="49"/>
      <c r="E85" s="15"/>
      <c r="F85" s="15"/>
      <c r="G85" s="15"/>
    </row>
    <row r="86" spans="1:7" ht="18">
      <c r="A86" s="55" t="s">
        <v>10</v>
      </c>
      <c r="B86" s="15"/>
      <c r="C86" s="15"/>
      <c r="D86" s="49"/>
      <c r="E86" s="15"/>
      <c r="F86" s="15"/>
      <c r="G86" s="15"/>
    </row>
    <row r="87" spans="2:7" ht="12.75">
      <c r="B87" s="15"/>
      <c r="C87" s="15"/>
      <c r="D87" s="49"/>
      <c r="E87" s="15"/>
      <c r="F87" s="15"/>
      <c r="G87" s="15"/>
    </row>
    <row r="88" spans="1:7" ht="12.75">
      <c r="A88" s="9" t="s">
        <v>4</v>
      </c>
      <c r="B88" s="15">
        <f>IF('3. 2005 Base Rate Schedule'!B86="","",'4. 2003 Data &amp; 2005 PILs'!B190+'3. 2005 Base Rate Schedule'!B86)</f>
      </c>
      <c r="C88" s="15"/>
      <c r="D88" s="49"/>
      <c r="E88" s="15"/>
      <c r="F88" s="15"/>
      <c r="G88" s="15"/>
    </row>
    <row r="89" spans="2:7" ht="12.75">
      <c r="B89" s="15"/>
      <c r="C89" s="15"/>
      <c r="D89" s="49"/>
      <c r="E89" s="15"/>
      <c r="F89" s="15"/>
      <c r="G89" s="15"/>
    </row>
    <row r="90" spans="1:7" ht="12.75">
      <c r="A90" s="9" t="s">
        <v>21</v>
      </c>
      <c r="B90" s="49">
        <f>IF('3. 2005 Base Rate Schedule'!B88="","",'3. 2005 Base Rate Schedule'!B88)</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H205"/>
  <sheetViews>
    <sheetView view="pageBreakPreview" zoomScale="60" workbookViewId="0" topLeftCell="A1">
      <pane ySplit="1" topLeftCell="BM2" activePane="bottomLeft" state="frozen"/>
      <selection pane="topLeft" activeCell="H27" sqref="H27"/>
      <selection pane="bottomLeft" activeCell="F67" sqref="F67"/>
    </sheetView>
  </sheetViews>
  <sheetFormatPr defaultColWidth="9.140625" defaultRowHeight="12.75"/>
  <cols>
    <col min="1" max="1" width="44.8515625" style="9" customWidth="1"/>
    <col min="2" max="2" width="21.8515625" style="9" customWidth="1"/>
    <col min="3" max="3" width="18.140625" style="9" customWidth="1"/>
    <col min="4" max="4" width="34.140625" style="9" customWidth="1"/>
    <col min="5" max="5" width="2.57421875" style="9" customWidth="1"/>
    <col min="6" max="6" width="17.57421875" style="9" customWidth="1"/>
    <col min="7" max="7" width="18.28125" style="9" customWidth="1"/>
    <col min="8" max="16384" width="9.140625" style="9" customWidth="1"/>
  </cols>
  <sheetData>
    <row r="1" spans="1:4" ht="18">
      <c r="A1" s="37" t="s">
        <v>152</v>
      </c>
      <c r="B1" s="35"/>
      <c r="C1" s="35"/>
      <c r="D1" s="10"/>
    </row>
    <row r="2" ht="13.5" thickBot="1"/>
    <row r="3" spans="1:3" ht="15.75">
      <c r="A3" s="503" t="str">
        <f>"Name of Utility:      "&amp;'Info Sheet'!B4</f>
        <v>Name of Utility:      PENINSULA WEST UTILITIES LIMITED</v>
      </c>
      <c r="B3" s="504"/>
      <c r="C3" s="460" t="str">
        <f>'Info Sheet'!$B$21</f>
        <v>2005.V1.1</v>
      </c>
    </row>
    <row r="4" spans="1:3" ht="15.75">
      <c r="A4" s="304" t="str">
        <f>"License Number:   "&amp;'Info Sheet'!B6</f>
        <v>License Number:   ED-2002-0555</v>
      </c>
      <c r="B4" s="461"/>
      <c r="C4" s="399" t="str">
        <f>'Info Sheet'!B8</f>
        <v>RP-2005-0013</v>
      </c>
    </row>
    <row r="5" spans="1:3" ht="18" customHeight="1">
      <c r="A5" s="505" t="str">
        <f>"Name of Contact:  "&amp;'Info Sheet'!B12</f>
        <v>Name of Contact:  KAREN BUBISH</v>
      </c>
      <c r="B5" s="506"/>
      <c r="C5" s="399" t="str">
        <f>'Info Sheet'!B10</f>
        <v>EB-2005-0066</v>
      </c>
    </row>
    <row r="6" spans="1:3" ht="15.75">
      <c r="A6" s="502" t="str">
        <f>"E- Mail Address:    "&amp;'Info Sheet'!B14</f>
        <v>E- Mail Address:    karen@penwest.on.ca</v>
      </c>
      <c r="B6" s="507"/>
      <c r="C6" s="465"/>
    </row>
    <row r="7" spans="1:4" ht="20.25">
      <c r="A7" s="304" t="str">
        <f>"Phone Number:     "&amp;'Info Sheet'!B16</f>
        <v>Phone Number:     905-563-5550</v>
      </c>
      <c r="B7" s="507" t="str">
        <f>'Info Sheet'!$C$16&amp;" "&amp;'Info Sheet'!$D$16</f>
        <v>Extension: 222</v>
      </c>
      <c r="C7" s="533"/>
      <c r="D7" s="13"/>
    </row>
    <row r="8" spans="1:4" ht="21" thickBot="1">
      <c r="A8" s="519" t="str">
        <f>"Date:                      "&amp;('Info Sheet'!B18)</f>
        <v>Date:                      JANUARY 14, 2005</v>
      </c>
      <c r="B8" s="520"/>
      <c r="C8" s="468"/>
      <c r="D8" s="13"/>
    </row>
    <row r="9" spans="2:4" ht="12" customHeight="1">
      <c r="B9" s="29"/>
      <c r="C9" s="27"/>
      <c r="D9" s="13"/>
    </row>
    <row r="10" spans="1:4" ht="64.5" customHeight="1">
      <c r="A10" s="532" t="s">
        <v>214</v>
      </c>
      <c r="B10" s="532"/>
      <c r="C10" s="532"/>
      <c r="D10" s="532"/>
    </row>
    <row r="11" spans="1:4" ht="13.5" customHeight="1">
      <c r="A11" s="38"/>
      <c r="B11" s="39"/>
      <c r="C11" s="40"/>
      <c r="D11" s="534" t="s">
        <v>161</v>
      </c>
    </row>
    <row r="12" spans="1:7" ht="15" customHeight="1">
      <c r="A12" s="536" t="s">
        <v>31</v>
      </c>
      <c r="B12" s="534" t="s">
        <v>57</v>
      </c>
      <c r="C12" s="40" t="s">
        <v>166</v>
      </c>
      <c r="D12" s="534"/>
      <c r="F12" s="494" t="s">
        <v>236</v>
      </c>
      <c r="G12" s="495" t="s">
        <v>238</v>
      </c>
    </row>
    <row r="13" spans="1:7" ht="15" customHeight="1">
      <c r="A13" s="537"/>
      <c r="B13" s="535"/>
      <c r="C13" s="41"/>
      <c r="D13" s="535"/>
      <c r="G13" s="9" t="s">
        <v>239</v>
      </c>
    </row>
    <row r="14" spans="1:7" ht="14.25" customHeight="1">
      <c r="A14" s="42"/>
      <c r="C14" s="43"/>
      <c r="E14" s="15"/>
      <c r="G14" s="9" t="s">
        <v>240</v>
      </c>
    </row>
    <row r="15" spans="1:5" ht="7.5" customHeight="1" thickBot="1">
      <c r="A15" s="11"/>
      <c r="B15" s="17"/>
      <c r="C15" s="17"/>
      <c r="D15" s="44"/>
      <c r="E15" s="15"/>
    </row>
    <row r="16" spans="1:7" ht="15">
      <c r="A16" s="324" t="s">
        <v>32</v>
      </c>
      <c r="B16" s="325">
        <v>1580</v>
      </c>
      <c r="C16" s="326"/>
      <c r="D16" s="498">
        <f>F16+G16</f>
        <v>494746</v>
      </c>
      <c r="E16" s="15"/>
      <c r="F16" s="327">
        <v>494746</v>
      </c>
      <c r="G16" s="496"/>
    </row>
    <row r="17" spans="1:7" ht="15">
      <c r="A17" s="328" t="s">
        <v>36</v>
      </c>
      <c r="B17" s="58">
        <v>1582</v>
      </c>
      <c r="C17" s="59"/>
      <c r="D17" s="499">
        <f>F17+G17</f>
        <v>37028</v>
      </c>
      <c r="E17" s="15"/>
      <c r="F17" s="329">
        <v>37028</v>
      </c>
      <c r="G17" s="496"/>
    </row>
    <row r="18" spans="1:7" ht="15">
      <c r="A18" s="328" t="s">
        <v>33</v>
      </c>
      <c r="B18" s="58">
        <v>1584</v>
      </c>
      <c r="C18" s="59"/>
      <c r="D18" s="499">
        <f>F18+G18</f>
        <v>-168621.57556587443</v>
      </c>
      <c r="E18" s="15"/>
      <c r="F18" s="329">
        <v>-126877</v>
      </c>
      <c r="G18" s="496">
        <v>-41744.575565874424</v>
      </c>
    </row>
    <row r="19" spans="1:7" ht="15">
      <c r="A19" s="328" t="s">
        <v>34</v>
      </c>
      <c r="B19" s="58">
        <v>1586</v>
      </c>
      <c r="C19" s="59"/>
      <c r="D19" s="499">
        <f>F19+G19</f>
        <v>857248.621738605</v>
      </c>
      <c r="E19" s="15"/>
      <c r="F19" s="329">
        <v>-904218</v>
      </c>
      <c r="G19" s="496">
        <v>1761466.621738605</v>
      </c>
    </row>
    <row r="20" spans="1:7" ht="15">
      <c r="A20" s="328" t="s">
        <v>35</v>
      </c>
      <c r="B20" s="58">
        <v>1588</v>
      </c>
      <c r="C20" s="59"/>
      <c r="D20" s="499">
        <f>F20+G20</f>
        <v>633104</v>
      </c>
      <c r="E20" s="15"/>
      <c r="F20" s="329">
        <v>633104</v>
      </c>
      <c r="G20" s="496"/>
    </row>
    <row r="21" spans="1:7" ht="15">
      <c r="A21" s="330" t="s">
        <v>124</v>
      </c>
      <c r="B21" s="331"/>
      <c r="C21" s="332"/>
      <c r="D21" s="333">
        <f>SUM(D16:D20)</f>
        <v>1853505.0461727306</v>
      </c>
      <c r="E21" s="15"/>
      <c r="F21" s="333">
        <f>SUM(F16:F20)</f>
        <v>133783</v>
      </c>
      <c r="G21" s="333">
        <f>SUM(G16:G20)</f>
        <v>1719722.0461727306</v>
      </c>
    </row>
    <row r="22" spans="1:5" ht="15">
      <c r="A22" s="101"/>
      <c r="B22" s="322"/>
      <c r="C22" s="21"/>
      <c r="D22" s="87"/>
      <c r="E22" s="15"/>
    </row>
    <row r="23" spans="1:5" ht="15">
      <c r="A23" s="528" t="s">
        <v>201</v>
      </c>
      <c r="B23" s="518"/>
      <c r="C23" s="518"/>
      <c r="D23" s="329">
        <v>-56686</v>
      </c>
      <c r="E23" s="15"/>
    </row>
    <row r="24" spans="1:5" ht="15">
      <c r="A24" s="101"/>
      <c r="B24" s="322"/>
      <c r="C24" s="21"/>
      <c r="D24" s="87"/>
      <c r="E24" s="15"/>
    </row>
    <row r="25" spans="1:5" ht="15.75" thickBot="1">
      <c r="A25" s="334" t="s">
        <v>126</v>
      </c>
      <c r="B25" s="335"/>
      <c r="C25" s="336"/>
      <c r="D25" s="337">
        <f>D21-D23</f>
        <v>1910191.0461727306</v>
      </c>
      <c r="E25" s="15"/>
    </row>
    <row r="26" ht="13.5" thickBot="1"/>
    <row r="27" spans="1:7" ht="15">
      <c r="A27" s="324" t="s">
        <v>37</v>
      </c>
      <c r="B27" s="325">
        <v>1508</v>
      </c>
      <c r="C27" s="326"/>
      <c r="D27" s="327"/>
      <c r="E27" s="15"/>
      <c r="F27" s="327"/>
      <c r="G27" s="496"/>
    </row>
    <row r="28" spans="1:7" ht="15">
      <c r="A28" s="338" t="s">
        <v>38</v>
      </c>
      <c r="B28" s="60">
        <v>1518</v>
      </c>
      <c r="C28" s="61"/>
      <c r="D28" s="499">
        <f>F28+G28</f>
        <v>1925</v>
      </c>
      <c r="E28" s="15"/>
      <c r="F28" s="339">
        <v>1925</v>
      </c>
      <c r="G28" s="496"/>
    </row>
    <row r="29" spans="1:7" ht="15">
      <c r="A29" s="338" t="s">
        <v>39</v>
      </c>
      <c r="B29" s="60">
        <v>1548</v>
      </c>
      <c r="C29" s="62"/>
      <c r="D29" s="499">
        <f aca="true" t="shared" si="0" ref="D29:D34">F29+G29</f>
        <v>7236</v>
      </c>
      <c r="E29" s="15"/>
      <c r="F29" s="339">
        <v>7236</v>
      </c>
      <c r="G29" s="496"/>
    </row>
    <row r="30" spans="1:7" ht="15">
      <c r="A30" s="338" t="s">
        <v>40</v>
      </c>
      <c r="B30" s="60">
        <v>1525</v>
      </c>
      <c r="C30" s="61"/>
      <c r="D30" s="499">
        <f t="shared" si="0"/>
        <v>42718</v>
      </c>
      <c r="E30" s="15"/>
      <c r="F30" s="339">
        <v>42718</v>
      </c>
      <c r="G30" s="496"/>
    </row>
    <row r="31" spans="1:7" ht="15">
      <c r="A31" s="338" t="s">
        <v>41</v>
      </c>
      <c r="B31" s="60">
        <v>1562</v>
      </c>
      <c r="C31" s="61"/>
      <c r="D31" s="499">
        <f t="shared" si="0"/>
        <v>578000</v>
      </c>
      <c r="E31" s="15"/>
      <c r="F31" s="339">
        <v>578000</v>
      </c>
      <c r="G31" s="496"/>
    </row>
    <row r="32" spans="1:7" ht="15">
      <c r="A32" s="340" t="s">
        <v>54</v>
      </c>
      <c r="B32" s="60">
        <v>1563</v>
      </c>
      <c r="C32" s="61"/>
      <c r="D32" s="339"/>
      <c r="E32" s="15"/>
      <c r="F32" s="339"/>
      <c r="G32" s="496"/>
    </row>
    <row r="33" spans="1:7" ht="15">
      <c r="A33" s="338" t="s">
        <v>42</v>
      </c>
      <c r="B33" s="60">
        <v>1570</v>
      </c>
      <c r="C33" s="61"/>
      <c r="D33" s="499">
        <f t="shared" si="0"/>
        <v>377887.5883956586</v>
      </c>
      <c r="E33" s="15"/>
      <c r="F33" s="339">
        <v>377833</v>
      </c>
      <c r="G33" s="496">
        <v>54.58839565858096</v>
      </c>
    </row>
    <row r="34" spans="1:7" ht="15">
      <c r="A34" s="338" t="s">
        <v>51</v>
      </c>
      <c r="B34" s="60">
        <v>1571</v>
      </c>
      <c r="C34" s="61"/>
      <c r="D34" s="499">
        <f t="shared" si="0"/>
        <v>628302</v>
      </c>
      <c r="E34" s="15"/>
      <c r="F34" s="339">
        <v>628302</v>
      </c>
      <c r="G34" s="496"/>
    </row>
    <row r="35" spans="1:7" ht="15">
      <c r="A35" s="338" t="s">
        <v>43</v>
      </c>
      <c r="B35" s="60">
        <v>1572</v>
      </c>
      <c r="C35" s="61"/>
      <c r="D35" s="339"/>
      <c r="E35" s="15"/>
      <c r="F35" s="339"/>
      <c r="G35" s="496"/>
    </row>
    <row r="36" spans="1:7" ht="15">
      <c r="A36" s="338" t="s">
        <v>44</v>
      </c>
      <c r="B36" s="60">
        <v>1574</v>
      </c>
      <c r="C36" s="63"/>
      <c r="D36" s="341"/>
      <c r="E36" s="15"/>
      <c r="F36" s="341"/>
      <c r="G36" s="496"/>
    </row>
    <row r="37" spans="1:7" ht="15">
      <c r="A37" s="338" t="s">
        <v>45</v>
      </c>
      <c r="B37" s="60">
        <v>2425</v>
      </c>
      <c r="C37" s="63"/>
      <c r="D37" s="341"/>
      <c r="E37" s="15"/>
      <c r="F37" s="341"/>
      <c r="G37" s="496"/>
    </row>
    <row r="38" spans="1:7" ht="15">
      <c r="A38" s="330" t="s">
        <v>125</v>
      </c>
      <c r="B38" s="331"/>
      <c r="C38" s="332"/>
      <c r="D38" s="333">
        <f>SUM(D27:D37)</f>
        <v>1636068.5883956586</v>
      </c>
      <c r="E38" s="15"/>
      <c r="F38" s="333">
        <f>SUM(F27:F37)</f>
        <v>1636014</v>
      </c>
      <c r="G38" s="333">
        <f>SUM(G27:G37)</f>
        <v>54.58839565858096</v>
      </c>
    </row>
    <row r="39" spans="1:8" ht="15">
      <c r="A39" s="92"/>
      <c r="B39" s="322"/>
      <c r="C39" s="70"/>
      <c r="D39" s="342"/>
      <c r="E39" s="15"/>
      <c r="H39" s="501"/>
    </row>
    <row r="40" spans="1:8" ht="15">
      <c r="A40" s="528" t="s">
        <v>202</v>
      </c>
      <c r="B40" s="518"/>
      <c r="C40" s="518"/>
      <c r="D40" s="329">
        <v>338520</v>
      </c>
      <c r="E40" s="15"/>
      <c r="G40" s="497">
        <f>G21+G38</f>
        <v>1719776.6345683893</v>
      </c>
      <c r="H40" s="500"/>
    </row>
    <row r="41" spans="1:6" ht="15">
      <c r="A41" s="101"/>
      <c r="B41" s="322"/>
      <c r="C41" s="21"/>
      <c r="D41" s="87"/>
      <c r="E41" s="15"/>
      <c r="F41" s="9" t="s">
        <v>237</v>
      </c>
    </row>
    <row r="42" spans="1:5" ht="15.75" thickBot="1">
      <c r="A42" s="334" t="s">
        <v>127</v>
      </c>
      <c r="B42" s="335"/>
      <c r="C42" s="336"/>
      <c r="D42" s="337">
        <f>D38-D40</f>
        <v>1297548.5883956586</v>
      </c>
      <c r="E42" s="15"/>
    </row>
    <row r="43" spans="1:5" ht="15.75" thickBot="1">
      <c r="A43" s="258"/>
      <c r="B43" s="322"/>
      <c r="C43" s="21"/>
      <c r="D43" s="323"/>
      <c r="E43" s="15"/>
    </row>
    <row r="44" spans="1:5" ht="15.75" thickBot="1">
      <c r="A44" s="64" t="s">
        <v>119</v>
      </c>
      <c r="B44" s="65"/>
      <c r="C44" s="77"/>
      <c r="D44" s="66">
        <f>D25+D42</f>
        <v>3207739.6345683895</v>
      </c>
      <c r="E44" s="15"/>
    </row>
    <row r="45" spans="1:5" ht="15.75" thickBot="1" thickTop="1">
      <c r="A45" s="347"/>
      <c r="B45" s="348"/>
      <c r="C45" s="349"/>
      <c r="D45" s="350"/>
      <c r="E45" s="15"/>
    </row>
    <row r="46" spans="1:5" ht="16.5" thickBot="1" thickTop="1">
      <c r="A46" s="343" t="s">
        <v>120</v>
      </c>
      <c r="B46" s="344"/>
      <c r="C46" s="345"/>
      <c r="D46" s="346">
        <f>D44*1/3</f>
        <v>1069246.54485613</v>
      </c>
      <c r="E46" s="15"/>
    </row>
    <row r="47" spans="1:5" ht="15" thickTop="1">
      <c r="A47" s="11"/>
      <c r="B47" s="46"/>
      <c r="C47" s="78"/>
      <c r="D47" s="44"/>
      <c r="E47" s="15"/>
    </row>
    <row r="48" spans="1:6" ht="6" customHeight="1">
      <c r="A48" s="47"/>
      <c r="B48" s="48"/>
      <c r="C48" s="79"/>
      <c r="D48" s="45"/>
      <c r="E48" s="15"/>
      <c r="F48" s="18"/>
    </row>
    <row r="49" spans="1:6" ht="8.25" customHeight="1">
      <c r="A49" s="68"/>
      <c r="E49" s="15"/>
      <c r="F49" s="18"/>
    </row>
    <row r="50" spans="1:6" ht="18">
      <c r="A50" s="529" t="str">
        <f>IF(D46&gt;D25,"---------------------------------------- Please go to Section 2 ----------------------------------------",IF(D46&lt;D25,"---------------------------------------- Please go to Section 1 ----------------------------------------",""))</f>
        <v>---------------------------------------- Please go to Section 1 ----------------------------------------</v>
      </c>
      <c r="B50" s="529"/>
      <c r="C50" s="529"/>
      <c r="D50" s="529"/>
      <c r="E50" s="15"/>
      <c r="F50" s="18"/>
    </row>
    <row r="51" spans="1:6" ht="18">
      <c r="A51" s="67"/>
      <c r="E51" s="15"/>
      <c r="F51" s="18"/>
    </row>
    <row r="52" spans="1:6" ht="13.5" thickBot="1">
      <c r="A52" s="31"/>
      <c r="B52" s="31"/>
      <c r="E52" s="15"/>
      <c r="F52" s="18"/>
    </row>
    <row r="53" spans="1:5" ht="15">
      <c r="A53" s="82" t="s">
        <v>128</v>
      </c>
      <c r="B53" s="97"/>
      <c r="C53" s="84"/>
      <c r="D53" s="85"/>
      <c r="E53" s="15"/>
    </row>
    <row r="54" spans="1:5" ht="15">
      <c r="A54" s="98"/>
      <c r="B54" s="31"/>
      <c r="C54" s="20"/>
      <c r="D54" s="87"/>
      <c r="E54" s="15"/>
    </row>
    <row r="55" spans="1:5" ht="12.75">
      <c r="A55" s="86"/>
      <c r="B55" s="50"/>
      <c r="C55" s="20"/>
      <c r="D55" s="89"/>
      <c r="E55" s="15"/>
    </row>
    <row r="56" spans="1:5" ht="31.5" customHeight="1">
      <c r="A56" s="530" t="s">
        <v>130</v>
      </c>
      <c r="B56" s="531"/>
      <c r="C56" s="73" t="s">
        <v>52</v>
      </c>
      <c r="D56" s="102">
        <f>IF(D46&lt;D25,D25,"N/A")</f>
        <v>1910191.0461727306</v>
      </c>
      <c r="E56" s="15"/>
    </row>
    <row r="57" spans="1:6" ht="15">
      <c r="A57" s="88"/>
      <c r="B57" s="21"/>
      <c r="C57" s="21"/>
      <c r="D57" s="87"/>
      <c r="E57" s="15"/>
      <c r="F57" s="22"/>
    </row>
    <row r="58" spans="1:6" ht="15">
      <c r="A58" s="528" t="s">
        <v>120</v>
      </c>
      <c r="B58" s="518"/>
      <c r="C58" s="73" t="s">
        <v>53</v>
      </c>
      <c r="D58" s="102">
        <f>IF(D46&lt;D25,D46,"N/A")</f>
        <v>1069246.54485613</v>
      </c>
      <c r="E58" s="15"/>
      <c r="F58" s="21"/>
    </row>
    <row r="59" spans="1:6" ht="15" thickBot="1">
      <c r="A59" s="92"/>
      <c r="B59" s="21"/>
      <c r="C59" s="21"/>
      <c r="D59" s="99"/>
      <c r="E59" s="15"/>
      <c r="F59" s="11"/>
    </row>
    <row r="60" spans="1:6" ht="15.75" thickBot="1">
      <c r="A60" s="88" t="s">
        <v>134</v>
      </c>
      <c r="B60" s="21"/>
      <c r="C60" s="21"/>
      <c r="D60" s="104">
        <f>IF(D46&lt;D25,D56-D58,"N/A")</f>
        <v>840944.5013166007</v>
      </c>
      <c r="E60" s="15"/>
      <c r="F60" s="11"/>
    </row>
    <row r="61" spans="1:5" ht="13.5" thickTop="1">
      <c r="A61" s="86"/>
      <c r="B61" s="31"/>
      <c r="C61" s="31"/>
      <c r="D61" s="100"/>
      <c r="E61" s="15"/>
    </row>
    <row r="62" spans="1:5" ht="13.5" thickBot="1">
      <c r="A62" s="94"/>
      <c r="B62" s="95"/>
      <c r="C62" s="95"/>
      <c r="D62" s="96"/>
      <c r="E62" s="15"/>
    </row>
    <row r="63" spans="2:5" ht="12.75">
      <c r="B63" s="15"/>
      <c r="C63" s="15"/>
      <c r="D63" s="49"/>
      <c r="E63" s="15"/>
    </row>
    <row r="64" spans="1:5" ht="15">
      <c r="A64" s="47"/>
      <c r="B64" s="15"/>
      <c r="C64" s="15"/>
      <c r="D64" s="49"/>
      <c r="E64" s="15"/>
    </row>
    <row r="65" spans="1:5" ht="12" customHeight="1" thickBot="1">
      <c r="A65" s="81"/>
      <c r="B65" s="52"/>
      <c r="C65" s="53"/>
      <c r="D65" s="49"/>
      <c r="E65" s="15"/>
    </row>
    <row r="66" spans="1:5" ht="15">
      <c r="A66" s="82" t="s">
        <v>129</v>
      </c>
      <c r="B66" s="83"/>
      <c r="C66" s="84"/>
      <c r="D66" s="85"/>
      <c r="E66" s="15"/>
    </row>
    <row r="67" spans="1:5" ht="14.25">
      <c r="A67" s="86"/>
      <c r="B67" s="20"/>
      <c r="C67" s="20"/>
      <c r="D67" s="87"/>
      <c r="E67" s="15"/>
    </row>
    <row r="68" spans="1:5" ht="15">
      <c r="A68" s="88"/>
      <c r="B68" s="50"/>
      <c r="C68" s="20"/>
      <c r="D68" s="89"/>
      <c r="E68" s="15"/>
    </row>
    <row r="69" spans="1:5" ht="15">
      <c r="A69" s="530" t="s">
        <v>131</v>
      </c>
      <c r="B69" s="531"/>
      <c r="C69" s="73"/>
      <c r="D69" s="102" t="str">
        <f>IF(D46&gt;D25,D46,"N/A")</f>
        <v>N/A</v>
      </c>
      <c r="E69" s="15"/>
    </row>
    <row r="70" spans="1:5" ht="15">
      <c r="A70" s="88"/>
      <c r="B70" s="21"/>
      <c r="C70" s="74"/>
      <c r="D70" s="90"/>
      <c r="E70" s="15"/>
    </row>
    <row r="71" spans="1:5" ht="15">
      <c r="A71" s="528" t="s">
        <v>130</v>
      </c>
      <c r="B71" s="518"/>
      <c r="C71" s="73"/>
      <c r="D71" s="103" t="str">
        <f>IF(D46&gt;D25,D25,"N/A")</f>
        <v>N/A</v>
      </c>
      <c r="E71" s="15"/>
    </row>
    <row r="72" spans="1:6" ht="15">
      <c r="A72" s="88"/>
      <c r="B72" s="21"/>
      <c r="C72" s="74"/>
      <c r="D72" s="91"/>
      <c r="E72" s="15"/>
      <c r="F72" s="21"/>
    </row>
    <row r="73" spans="1:6" ht="15">
      <c r="A73" s="528" t="s">
        <v>133</v>
      </c>
      <c r="B73" s="518"/>
      <c r="C73" s="75"/>
      <c r="D73" s="103" t="str">
        <f>IF(D46&gt;D25,D71,"N/A")</f>
        <v>N/A</v>
      </c>
      <c r="E73" s="15"/>
      <c r="F73" s="11"/>
    </row>
    <row r="74" spans="1:5" ht="14.25">
      <c r="A74" s="92"/>
      <c r="B74" s="21"/>
      <c r="C74" s="74"/>
      <c r="D74" s="93"/>
      <c r="E74" s="15"/>
    </row>
    <row r="75" spans="1:5" ht="15">
      <c r="A75" s="528" t="s">
        <v>132</v>
      </c>
      <c r="B75" s="518"/>
      <c r="C75" s="76"/>
      <c r="D75" s="103" t="str">
        <f>IF(D46&gt;D25,D69-D73,"N/A")</f>
        <v>N/A</v>
      </c>
      <c r="E75" s="15"/>
    </row>
    <row r="76" spans="1:6" ht="15">
      <c r="A76" s="88"/>
      <c r="B76" s="21"/>
      <c r="C76" s="21"/>
      <c r="D76" s="91"/>
      <c r="E76" s="15"/>
      <c r="F76" s="22"/>
    </row>
    <row r="77" spans="1:5" ht="13.5" thickBot="1">
      <c r="A77" s="94"/>
      <c r="B77" s="95"/>
      <c r="C77" s="95"/>
      <c r="D77" s="96"/>
      <c r="E77" s="15"/>
    </row>
    <row r="78" spans="2:5" ht="12.75">
      <c r="B78" s="15"/>
      <c r="C78" s="15"/>
      <c r="D78" s="49"/>
      <c r="E78" s="15"/>
    </row>
    <row r="79" spans="2:5" ht="12.75">
      <c r="B79" s="15"/>
      <c r="C79" s="15"/>
      <c r="D79" s="49"/>
      <c r="E79" s="15"/>
    </row>
    <row r="80" spans="1:5" ht="14.25" customHeight="1">
      <c r="A80" s="54" t="s">
        <v>55</v>
      </c>
      <c r="B80" s="52"/>
      <c r="C80" s="53"/>
      <c r="D80" s="24"/>
      <c r="E80" s="15"/>
    </row>
    <row r="81" spans="2:5" ht="12.75">
      <c r="B81" s="15"/>
      <c r="C81" s="15"/>
      <c r="D81" s="16"/>
      <c r="E81" s="15"/>
    </row>
    <row r="82" spans="1:5" ht="24.75" customHeight="1">
      <c r="A82" s="526" t="s">
        <v>64</v>
      </c>
      <c r="B82" s="526"/>
      <c r="C82" s="19"/>
      <c r="D82" s="80"/>
      <c r="E82" s="15"/>
    </row>
    <row r="83" spans="1:5" ht="21" customHeight="1">
      <c r="A83" s="527"/>
      <c r="B83" s="527"/>
      <c r="C83" s="23"/>
      <c r="D83" s="51"/>
      <c r="E83" s="15"/>
    </row>
    <row r="84" spans="2:5" ht="12.75">
      <c r="B84" s="49"/>
      <c r="C84" s="15"/>
      <c r="D84" s="49"/>
      <c r="E84" s="15"/>
    </row>
    <row r="85" spans="2:5" ht="12.75">
      <c r="B85" s="15"/>
      <c r="C85" s="15"/>
      <c r="D85" s="49"/>
      <c r="E85" s="15"/>
    </row>
    <row r="86" spans="1:5" ht="23.25" customHeight="1">
      <c r="A86" s="526" t="s">
        <v>65</v>
      </c>
      <c r="B86" s="526"/>
      <c r="C86" s="19"/>
      <c r="D86" s="80"/>
      <c r="E86" s="15"/>
    </row>
    <row r="87" spans="1:5" ht="24.75" customHeight="1">
      <c r="A87" s="527"/>
      <c r="B87" s="527"/>
      <c r="C87" s="23"/>
      <c r="D87" s="51"/>
      <c r="E87" s="15"/>
    </row>
    <row r="88" spans="2:5" ht="12.75">
      <c r="B88" s="15"/>
      <c r="C88" s="15"/>
      <c r="D88" s="49"/>
      <c r="E88" s="15"/>
    </row>
    <row r="89" spans="2:5" ht="12.75">
      <c r="B89" s="15"/>
      <c r="C89" s="15"/>
      <c r="D89" s="49"/>
      <c r="E89" s="15"/>
    </row>
    <row r="90" spans="2:5" ht="12.75">
      <c r="B90" s="15"/>
      <c r="C90" s="15"/>
      <c r="D90" s="49"/>
      <c r="E90" s="15"/>
    </row>
    <row r="91" spans="2:5" ht="12.75">
      <c r="B91" s="15"/>
      <c r="C91" s="15"/>
      <c r="D91" s="49"/>
      <c r="E91" s="15"/>
    </row>
    <row r="92" spans="1:5" ht="18">
      <c r="A92" s="55"/>
      <c r="B92" s="52"/>
      <c r="C92" s="53"/>
      <c r="D92" s="49"/>
      <c r="E92" s="15"/>
    </row>
    <row r="93" spans="1:5" ht="18">
      <c r="A93" s="8"/>
      <c r="B93" s="15"/>
      <c r="C93" s="15"/>
      <c r="D93" s="49"/>
      <c r="E93" s="15"/>
    </row>
    <row r="94" spans="2:5" ht="12.75">
      <c r="B94" s="15"/>
      <c r="C94" s="15"/>
      <c r="D94" s="49"/>
      <c r="E94" s="15"/>
    </row>
    <row r="95" spans="2:5" ht="12.75">
      <c r="B95" s="15"/>
      <c r="C95" s="15"/>
      <c r="D95" s="49"/>
      <c r="E95" s="15"/>
    </row>
    <row r="96" spans="2:5" ht="12.75">
      <c r="B96" s="49"/>
      <c r="C96" s="15"/>
      <c r="D96" s="49"/>
      <c r="E96" s="15"/>
    </row>
    <row r="97" spans="2:5" ht="12.75">
      <c r="B97" s="15"/>
      <c r="C97" s="15"/>
      <c r="D97" s="49"/>
      <c r="E97" s="15"/>
    </row>
    <row r="98" spans="2:5" ht="12.75">
      <c r="B98" s="16"/>
      <c r="C98" s="16"/>
      <c r="D98" s="16"/>
      <c r="E98" s="16"/>
    </row>
    <row r="99" spans="2:5" ht="12.75">
      <c r="B99" s="16"/>
      <c r="C99" s="16"/>
      <c r="D99" s="16"/>
      <c r="E99" s="16"/>
    </row>
    <row r="100" spans="2:5" ht="12.75">
      <c r="B100" s="16"/>
      <c r="C100" s="16"/>
      <c r="D100" s="16"/>
      <c r="E100" s="16"/>
    </row>
    <row r="101" spans="1:5" ht="12.75" customHeight="1">
      <c r="A101" s="8"/>
      <c r="B101" s="25"/>
      <c r="C101" s="25"/>
      <c r="D101" s="16"/>
      <c r="E101" s="16"/>
    </row>
    <row r="102" spans="1:5" ht="12.75" customHeight="1">
      <c r="A102" s="8"/>
      <c r="B102" s="15"/>
      <c r="C102" s="15"/>
      <c r="D102" s="15"/>
      <c r="E102" s="15"/>
    </row>
    <row r="103" spans="1:5" ht="12.75" customHeight="1">
      <c r="A103" s="8"/>
      <c r="B103" s="15"/>
      <c r="C103" s="15"/>
      <c r="D103" s="15"/>
      <c r="E103" s="15"/>
    </row>
    <row r="104" spans="1:5" ht="11.25" customHeight="1">
      <c r="A104" s="8"/>
      <c r="B104" s="15"/>
      <c r="C104" s="15"/>
      <c r="D104" s="49"/>
      <c r="E104" s="15"/>
    </row>
    <row r="105" spans="1:5" ht="18">
      <c r="A105" s="55"/>
      <c r="B105" s="15"/>
      <c r="C105" s="15"/>
      <c r="D105" s="49"/>
      <c r="E105" s="15"/>
    </row>
    <row r="106" spans="2:5" ht="12.75">
      <c r="B106" s="15"/>
      <c r="C106" s="15"/>
      <c r="D106" s="49"/>
      <c r="E106" s="15"/>
    </row>
    <row r="107" spans="2:5" ht="12.75">
      <c r="B107" s="15"/>
      <c r="C107" s="15"/>
      <c r="D107" s="49"/>
      <c r="E107" s="15"/>
    </row>
    <row r="108" spans="2:5" ht="12.75">
      <c r="B108" s="15"/>
      <c r="C108" s="15"/>
      <c r="D108" s="49"/>
      <c r="E108" s="15"/>
    </row>
    <row r="109" spans="2:5" ht="12.75">
      <c r="B109" s="49"/>
      <c r="C109" s="15"/>
      <c r="D109" s="49"/>
      <c r="E109" s="15"/>
    </row>
    <row r="110" spans="2:5" ht="12.75">
      <c r="B110" s="15"/>
      <c r="C110" s="15"/>
      <c r="D110" s="49"/>
      <c r="E110" s="15"/>
    </row>
    <row r="111" spans="2:5" ht="12.75">
      <c r="B111" s="16"/>
      <c r="C111" s="16"/>
      <c r="D111" s="16"/>
      <c r="E111" s="16"/>
    </row>
    <row r="112" spans="2:5" ht="12.75">
      <c r="B112" s="16"/>
      <c r="C112" s="16"/>
      <c r="D112" s="16"/>
      <c r="E112" s="16"/>
    </row>
    <row r="113" spans="2:5" ht="12.75">
      <c r="B113" s="16"/>
      <c r="C113" s="16"/>
      <c r="D113" s="16"/>
      <c r="E113" s="16"/>
    </row>
    <row r="114" spans="1:5" ht="12.75">
      <c r="A114" s="12"/>
      <c r="B114" s="25"/>
      <c r="C114" s="25"/>
      <c r="D114" s="16"/>
      <c r="E114" s="16"/>
    </row>
    <row r="115" spans="2:5" ht="12.75">
      <c r="B115" s="15"/>
      <c r="C115" s="15"/>
      <c r="D115" s="49"/>
      <c r="E115" s="15"/>
    </row>
    <row r="116" spans="2:5" ht="12.75">
      <c r="B116" s="15"/>
      <c r="C116" s="15"/>
      <c r="D116" s="49"/>
      <c r="E116" s="15"/>
    </row>
    <row r="117" spans="2:5" ht="12.75">
      <c r="B117" s="15"/>
      <c r="C117" s="15"/>
      <c r="D117" s="49"/>
      <c r="E117" s="15"/>
    </row>
    <row r="118" spans="1:5" ht="18">
      <c r="A118" s="55"/>
      <c r="B118" s="15"/>
      <c r="C118" s="15"/>
      <c r="D118" s="49"/>
      <c r="E118" s="15"/>
    </row>
    <row r="119" spans="2:5" ht="12.75">
      <c r="B119" s="15"/>
      <c r="C119" s="15"/>
      <c r="D119" s="49"/>
      <c r="E119" s="15"/>
    </row>
    <row r="120" spans="2:5" ht="12.75">
      <c r="B120" s="15"/>
      <c r="C120" s="15"/>
      <c r="D120" s="49"/>
      <c r="E120" s="15"/>
    </row>
    <row r="121" spans="2:5" ht="12.75">
      <c r="B121" s="15"/>
      <c r="C121" s="15"/>
      <c r="D121" s="49"/>
      <c r="E121" s="15"/>
    </row>
    <row r="122" spans="2:5" ht="12.75">
      <c r="B122" s="49"/>
      <c r="C122" s="15"/>
      <c r="D122" s="49"/>
      <c r="E122" s="15"/>
    </row>
    <row r="123" spans="2:5" ht="12.75">
      <c r="B123" s="15"/>
      <c r="C123" s="15"/>
      <c r="D123" s="49"/>
      <c r="E123" s="15"/>
    </row>
    <row r="124" spans="2:5" ht="12.75">
      <c r="B124" s="16"/>
      <c r="C124" s="16"/>
      <c r="D124" s="16"/>
      <c r="E124" s="16"/>
    </row>
    <row r="125" spans="2:5" ht="12.75">
      <c r="B125" s="16"/>
      <c r="C125" s="16"/>
      <c r="D125" s="16"/>
      <c r="E125" s="16"/>
    </row>
    <row r="126" spans="2:5" ht="12.75">
      <c r="B126" s="16"/>
      <c r="C126" s="16"/>
      <c r="D126" s="16"/>
      <c r="E126" s="16"/>
    </row>
    <row r="127" spans="1:5" ht="12.75">
      <c r="A127" s="12"/>
      <c r="B127" s="16"/>
      <c r="C127" s="16"/>
      <c r="D127" s="16"/>
      <c r="E127" s="16"/>
    </row>
    <row r="128" spans="1:5" ht="12.75">
      <c r="A128" s="12"/>
      <c r="B128" s="15"/>
      <c r="C128" s="15"/>
      <c r="D128" s="15"/>
      <c r="E128" s="15"/>
    </row>
    <row r="129" spans="1:5" ht="12.75">
      <c r="A129" s="12"/>
      <c r="B129" s="15"/>
      <c r="C129" s="15"/>
      <c r="D129" s="15"/>
      <c r="E129" s="15"/>
    </row>
    <row r="130" spans="3:5" ht="12.75">
      <c r="C130" s="15"/>
      <c r="E130" s="15"/>
    </row>
    <row r="131" spans="1:5" ht="18">
      <c r="A131" s="55"/>
      <c r="B131" s="15"/>
      <c r="C131" s="15"/>
      <c r="D131" s="49"/>
      <c r="E131" s="15"/>
    </row>
    <row r="132" spans="2:5" ht="12.75">
      <c r="B132" s="15"/>
      <c r="C132" s="15"/>
      <c r="D132" s="49"/>
      <c r="E132" s="15"/>
    </row>
    <row r="133" spans="2:5" ht="12.75">
      <c r="B133" s="15"/>
      <c r="C133" s="15"/>
      <c r="D133" s="49"/>
      <c r="E133" s="15"/>
    </row>
    <row r="134" spans="2:5" ht="12.75">
      <c r="B134" s="15"/>
      <c r="C134" s="15"/>
      <c r="D134" s="49"/>
      <c r="E134" s="15"/>
    </row>
    <row r="135" spans="2:5" ht="12.75">
      <c r="B135" s="49"/>
      <c r="C135" s="15"/>
      <c r="D135" s="49"/>
      <c r="E135" s="15"/>
    </row>
    <row r="136" spans="2:5" ht="12.75">
      <c r="B136" s="15"/>
      <c r="C136" s="15"/>
      <c r="D136" s="49"/>
      <c r="E136" s="15"/>
    </row>
    <row r="137" spans="2:5" ht="12.75">
      <c r="B137" s="15"/>
      <c r="C137" s="15"/>
      <c r="D137" s="49"/>
      <c r="E137" s="15"/>
    </row>
    <row r="138" spans="2:5" ht="12.75">
      <c r="B138" s="15"/>
      <c r="C138" s="15"/>
      <c r="D138" s="49"/>
      <c r="E138" s="15"/>
    </row>
    <row r="139" spans="1:5" ht="12.75">
      <c r="A139" s="12"/>
      <c r="B139" s="15"/>
      <c r="C139" s="15"/>
      <c r="D139" s="49"/>
      <c r="E139" s="15"/>
    </row>
    <row r="140" spans="2:5" ht="12.75">
      <c r="B140" s="15"/>
      <c r="C140" s="15"/>
      <c r="D140" s="49"/>
      <c r="E140" s="15"/>
    </row>
    <row r="141" spans="1:5" ht="18">
      <c r="A141" s="55"/>
      <c r="B141" s="15"/>
      <c r="C141" s="15"/>
      <c r="D141" s="49"/>
      <c r="E141" s="15"/>
    </row>
    <row r="142" spans="2:5" ht="12.75">
      <c r="B142" s="15"/>
      <c r="C142" s="15"/>
      <c r="D142" s="49"/>
      <c r="E142" s="15"/>
    </row>
    <row r="143" spans="2:5" ht="12.75">
      <c r="B143" s="15"/>
      <c r="C143" s="15"/>
      <c r="D143" s="49"/>
      <c r="E143" s="15"/>
    </row>
    <row r="144" spans="2:5" ht="12.75">
      <c r="B144" s="15"/>
      <c r="C144" s="15"/>
      <c r="D144" s="49"/>
      <c r="E144" s="15"/>
    </row>
    <row r="145" spans="2:5" ht="12.75">
      <c r="B145" s="49"/>
      <c r="C145" s="15"/>
      <c r="D145" s="49"/>
      <c r="E145" s="15"/>
    </row>
    <row r="146" spans="2:5" ht="12.75">
      <c r="B146" s="15"/>
      <c r="C146" s="15"/>
      <c r="D146" s="49"/>
      <c r="E146" s="15"/>
    </row>
    <row r="147" spans="2:5" ht="12.75">
      <c r="B147" s="16"/>
      <c r="C147" s="16"/>
      <c r="D147" s="49"/>
      <c r="E147" s="15"/>
    </row>
    <row r="148" spans="2:5" ht="12.75">
      <c r="B148" s="16"/>
      <c r="C148" s="16"/>
      <c r="D148" s="49"/>
      <c r="E148" s="15"/>
    </row>
    <row r="149" spans="2:5" ht="12.75">
      <c r="B149" s="16"/>
      <c r="C149" s="16"/>
      <c r="D149" s="49"/>
      <c r="E149" s="15"/>
    </row>
    <row r="150" spans="1:5" ht="12.75" customHeight="1">
      <c r="A150" s="8"/>
      <c r="B150" s="15"/>
      <c r="C150" s="15"/>
      <c r="D150" s="49"/>
      <c r="E150" s="15"/>
    </row>
    <row r="151" spans="1:5" ht="14.25" customHeight="1">
      <c r="A151" s="8"/>
      <c r="B151" s="15"/>
      <c r="C151" s="15"/>
      <c r="D151" s="49"/>
      <c r="E151" s="15"/>
    </row>
    <row r="152" spans="2:5" ht="12.75">
      <c r="B152" s="15"/>
      <c r="C152" s="15"/>
      <c r="D152" s="49"/>
      <c r="E152" s="15"/>
    </row>
    <row r="153" spans="1:5" ht="18">
      <c r="A153" s="55"/>
      <c r="B153" s="15"/>
      <c r="C153" s="15"/>
      <c r="D153" s="49"/>
      <c r="E153" s="15"/>
    </row>
    <row r="154" spans="2:5" ht="12.75">
      <c r="B154" s="15"/>
      <c r="C154" s="15"/>
      <c r="D154" s="49"/>
      <c r="E154" s="15"/>
    </row>
    <row r="155" spans="2:5" ht="12.75">
      <c r="B155" s="15"/>
      <c r="C155" s="15"/>
      <c r="D155" s="49"/>
      <c r="E155" s="15"/>
    </row>
    <row r="156" spans="2:5" ht="12.75">
      <c r="B156" s="15"/>
      <c r="C156" s="15"/>
      <c r="D156" s="49"/>
      <c r="E156" s="15"/>
    </row>
    <row r="157" spans="2:5" ht="12.75">
      <c r="B157" s="49"/>
      <c r="C157" s="15"/>
      <c r="D157" s="49"/>
      <c r="E157" s="15"/>
    </row>
    <row r="158" spans="2:5" ht="12.75">
      <c r="B158" s="15"/>
      <c r="C158" s="15"/>
      <c r="D158" s="49"/>
      <c r="E158" s="15"/>
    </row>
    <row r="159" spans="2:5" ht="12.75">
      <c r="B159" s="15"/>
      <c r="C159" s="15"/>
      <c r="D159" s="49"/>
      <c r="E159" s="15"/>
    </row>
    <row r="160" spans="2:5" ht="12.75">
      <c r="B160" s="15"/>
      <c r="C160" s="15"/>
      <c r="D160" s="49"/>
      <c r="E160" s="15"/>
    </row>
    <row r="161" spans="1:5" ht="12.75">
      <c r="A161" s="12"/>
      <c r="B161" s="15"/>
      <c r="C161" s="15"/>
      <c r="D161" s="49"/>
      <c r="E161" s="15"/>
    </row>
    <row r="162" spans="2:5" ht="12.75">
      <c r="B162" s="15"/>
      <c r="C162" s="15"/>
      <c r="D162" s="49"/>
      <c r="E162" s="15"/>
    </row>
    <row r="163" spans="1:5" ht="18">
      <c r="A163" s="55"/>
      <c r="B163" s="15"/>
      <c r="C163" s="15"/>
      <c r="D163" s="49"/>
      <c r="E163" s="15"/>
    </row>
    <row r="164" spans="2:5" ht="12.75">
      <c r="B164" s="15"/>
      <c r="C164" s="15"/>
      <c r="D164" s="49"/>
      <c r="E164" s="15"/>
    </row>
    <row r="165" spans="2:5" ht="12.75">
      <c r="B165" s="15"/>
      <c r="C165" s="15"/>
      <c r="D165" s="49"/>
      <c r="E165" s="15"/>
    </row>
    <row r="166" spans="2:5" ht="12.75">
      <c r="B166" s="15"/>
      <c r="C166" s="15"/>
      <c r="D166" s="49"/>
      <c r="E166" s="15"/>
    </row>
    <row r="167" spans="2:5" ht="12.75">
      <c r="B167" s="49"/>
      <c r="C167" s="15"/>
      <c r="D167" s="49"/>
      <c r="E167" s="15"/>
    </row>
    <row r="168" spans="2:5" ht="12.75">
      <c r="B168" s="15"/>
      <c r="C168" s="15"/>
      <c r="D168" s="49"/>
      <c r="E168" s="15"/>
    </row>
    <row r="169" spans="2:5" ht="12.75">
      <c r="B169" s="16"/>
      <c r="C169" s="16"/>
      <c r="D169" s="49"/>
      <c r="E169" s="15"/>
    </row>
    <row r="170" spans="2:5" ht="12.75">
      <c r="B170" s="16"/>
      <c r="C170" s="16"/>
      <c r="D170" s="49"/>
      <c r="E170" s="15"/>
    </row>
    <row r="171" spans="2:5" ht="12.75">
      <c r="B171" s="16"/>
      <c r="C171" s="16"/>
      <c r="E171" s="15"/>
    </row>
    <row r="172" spans="2:5" ht="12.75">
      <c r="B172" s="15"/>
      <c r="C172" s="15"/>
      <c r="D172" s="49"/>
      <c r="E172" s="15"/>
    </row>
    <row r="173" spans="2:5" ht="12.75">
      <c r="B173" s="15"/>
      <c r="C173" s="15"/>
      <c r="D173" s="49"/>
      <c r="E173" s="15"/>
    </row>
    <row r="175" ht="18">
      <c r="A175" s="55"/>
    </row>
    <row r="177" ht="14.25">
      <c r="A177" s="11"/>
    </row>
    <row r="178" ht="14.25">
      <c r="A178" s="11"/>
    </row>
    <row r="179" ht="14.25">
      <c r="A179" s="11"/>
    </row>
    <row r="182" spans="2:3" ht="12.75">
      <c r="B182" s="56"/>
      <c r="C182" s="56"/>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7"/>
      <c r="C190" s="57"/>
    </row>
    <row r="191" spans="2:3" ht="12.75">
      <c r="B191" s="56"/>
      <c r="C191" s="56"/>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ht="12.75">
      <c r="C204" s="56"/>
    </row>
    <row r="205" ht="12.75">
      <c r="C205" s="56"/>
    </row>
  </sheetData>
  <mergeCells count="20">
    <mergeCell ref="A10:D10"/>
    <mergeCell ref="B7:C7"/>
    <mergeCell ref="A23:C23"/>
    <mergeCell ref="A40:C40"/>
    <mergeCell ref="D11:D13"/>
    <mergeCell ref="B12:B13"/>
    <mergeCell ref="A12:A13"/>
    <mergeCell ref="A50:D50"/>
    <mergeCell ref="A56:B56"/>
    <mergeCell ref="A69:B69"/>
    <mergeCell ref="A58:B58"/>
    <mergeCell ref="A82:B83"/>
    <mergeCell ref="A86:B87"/>
    <mergeCell ref="A71:B71"/>
    <mergeCell ref="A73:B73"/>
    <mergeCell ref="A75:B75"/>
    <mergeCell ref="A5:B5"/>
    <mergeCell ref="A3:B3"/>
    <mergeCell ref="A6:B6"/>
    <mergeCell ref="A8:B8"/>
  </mergeCells>
  <conditionalFormatting sqref="A53:C53">
    <cfRule type="expression" priority="1" dxfId="0" stopIfTrue="1">
      <formula>$D$25&gt;$D$47</formula>
    </cfRule>
  </conditionalFormatting>
  <conditionalFormatting sqref="A66:C66">
    <cfRule type="expression" priority="2" dxfId="1" stopIfTrue="1">
      <formula>$D$25&lt;$D$47</formula>
    </cfRule>
  </conditionalFormatting>
  <printOptions/>
  <pageMargins left="0.07" right="0.07" top="0.17" bottom="0.08" header="0.32" footer="0.33"/>
  <pageSetup fitToHeight="0" horizontalDpi="600" verticalDpi="600" orientation="portrait" scale="62" r:id="rId4"/>
  <rowBreaks count="1" manualBreakCount="1">
    <brk id="46" max="255" man="1"/>
  </rowBreaks>
  <drawing r:id="rId3"/>
  <legacyDrawing r:id="rId2"/>
</worksheet>
</file>

<file path=xl/worksheets/sheet8.xml><?xml version="1.0" encoding="utf-8"?>
<worksheet xmlns="http://schemas.openxmlformats.org/spreadsheetml/2006/main" xmlns:r="http://schemas.openxmlformats.org/officeDocument/2006/relationships">
  <dimension ref="A1:H189"/>
  <sheetViews>
    <sheetView workbookViewId="0" topLeftCell="A14">
      <selection activeCell="B34" sqref="B34"/>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7.8515625" style="9" bestFit="1" customWidth="1"/>
    <col min="6" max="6" width="11.7109375" style="9" customWidth="1"/>
    <col min="7" max="7" width="14.7109375" style="9" bestFit="1" customWidth="1"/>
    <col min="8" max="8" width="15.28125" style="9" customWidth="1"/>
    <col min="9" max="16384" width="9.140625" style="9" customWidth="1"/>
  </cols>
  <sheetData>
    <row r="1" ht="18">
      <c r="A1" s="37" t="s">
        <v>181</v>
      </c>
    </row>
    <row r="2" ht="18.75" thickBot="1">
      <c r="A2" s="116"/>
    </row>
    <row r="3" spans="1:7" ht="18">
      <c r="A3" s="503" t="str">
        <f>"Name of Utility:      "&amp;'Info Sheet'!B4</f>
        <v>Name of Utility:      PENINSULA WEST UTILITIES LIMITED</v>
      </c>
      <c r="B3" s="504"/>
      <c r="C3" s="504"/>
      <c r="D3" s="460" t="str">
        <f>'Info Sheet'!$B$21</f>
        <v>2005.V1.1</v>
      </c>
      <c r="E3" s="36"/>
      <c r="F3" s="116"/>
      <c r="G3" s="117"/>
    </row>
    <row r="4" spans="1:7" ht="18">
      <c r="A4" s="304" t="str">
        <f>"License Number:   "&amp;'Info Sheet'!B6</f>
        <v>License Number:   ED-2002-0555</v>
      </c>
      <c r="B4" s="461"/>
      <c r="C4" s="395"/>
      <c r="D4" s="399" t="str">
        <f>'Info Sheet'!B8</f>
        <v>RP-2005-0013</v>
      </c>
      <c r="E4" s="36"/>
      <c r="F4" s="116"/>
      <c r="G4" s="117"/>
    </row>
    <row r="5" spans="1:4" ht="15.75">
      <c r="A5" s="505" t="str">
        <f>"Name of Contact:  "&amp;'Info Sheet'!B12</f>
        <v>Name of Contact:  KAREN BUBISH</v>
      </c>
      <c r="B5" s="506"/>
      <c r="C5" s="467"/>
      <c r="D5" s="399" t="str">
        <f>'Info Sheet'!B10</f>
        <v>EB-2005-0066</v>
      </c>
    </row>
    <row r="6" spans="1:4" ht="15.75">
      <c r="A6" s="502" t="str">
        <f>"E- Mail Address:    "&amp;'Info Sheet'!B14</f>
        <v>E- Mail Address:    karen@penwest.on.ca</v>
      </c>
      <c r="B6" s="507"/>
      <c r="C6" s="507"/>
      <c r="D6" s="465"/>
    </row>
    <row r="7" spans="1:4" ht="15.75">
      <c r="A7" s="304" t="str">
        <f>"Phone Number:     "&amp;'Info Sheet'!B16</f>
        <v>Phone Number:     905-563-5550</v>
      </c>
      <c r="B7" s="507" t="str">
        <f>'Info Sheet'!$C$16&amp;" "&amp;'Info Sheet'!$D$16</f>
        <v>Extension: 222</v>
      </c>
      <c r="C7" s="507"/>
      <c r="D7" s="465"/>
    </row>
    <row r="8" spans="1:4" ht="16.5" thickBot="1">
      <c r="A8" s="305" t="str">
        <f>"Date:                      "&amp;('Info Sheet'!B18)</f>
        <v>Date:                      JANUARY 14, 2005</v>
      </c>
      <c r="B8" s="463"/>
      <c r="C8" s="464"/>
      <c r="D8" s="466"/>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18" t="s">
        <v>116</v>
      </c>
      <c r="B14" s="518"/>
      <c r="C14" s="518"/>
      <c r="D14" s="518"/>
      <c r="E14" s="34"/>
      <c r="F14" s="139"/>
      <c r="G14" s="388">
        <f>IF('6. Dec. 31, 2003 Reg. Assets'!D58="N/A",'6. Dec. 31, 2003 Reg. Assets'!D73,'6. Dec. 31, 2003 Reg. Assets'!D58)</f>
        <v>1069246.54485613</v>
      </c>
    </row>
    <row r="15" spans="1:7" ht="14.25">
      <c r="A15" s="141"/>
      <c r="B15" s="142"/>
      <c r="C15" s="143"/>
      <c r="D15" s="144"/>
      <c r="E15" s="144"/>
      <c r="F15" s="105"/>
      <c r="G15" s="105"/>
    </row>
    <row r="16" spans="1:7" ht="14.25">
      <c r="A16" s="141"/>
      <c r="B16" s="142"/>
      <c r="C16" s="143"/>
      <c r="D16" s="144"/>
      <c r="E16" s="144"/>
      <c r="F16" s="105"/>
      <c r="G16" s="119"/>
    </row>
    <row r="17" spans="1:7" ht="15">
      <c r="A17" s="389" t="s">
        <v>182</v>
      </c>
      <c r="B17" s="138"/>
      <c r="C17" s="138"/>
      <c r="D17" s="138"/>
      <c r="E17" s="138"/>
      <c r="F17" s="138"/>
      <c r="G17" s="138"/>
    </row>
    <row r="18" spans="2:7" ht="12.75">
      <c r="B18" s="138"/>
      <c r="C18" s="138"/>
      <c r="D18" s="138"/>
      <c r="E18" s="138"/>
      <c r="F18" s="138"/>
      <c r="G18" s="138"/>
    </row>
    <row r="19" ht="13.5" thickBot="1"/>
    <row r="20" spans="1:8" ht="37.5" thickBot="1">
      <c r="A20" s="151" t="s">
        <v>176</v>
      </c>
      <c r="B20" s="152" t="s">
        <v>11</v>
      </c>
      <c r="C20" s="152" t="s">
        <v>12</v>
      </c>
      <c r="D20" s="152" t="s">
        <v>22</v>
      </c>
      <c r="E20" s="152" t="s">
        <v>13</v>
      </c>
      <c r="F20" s="152" t="s">
        <v>136</v>
      </c>
      <c r="G20" s="153" t="s">
        <v>137</v>
      </c>
      <c r="H20" s="121"/>
    </row>
    <row r="21" spans="1:7" ht="12.75">
      <c r="A21" s="86"/>
      <c r="B21" s="31"/>
      <c r="C21" s="122"/>
      <c r="D21" s="122"/>
      <c r="E21" s="31"/>
      <c r="F21" s="31"/>
      <c r="G21" s="100"/>
    </row>
    <row r="22" spans="1:8" ht="12.75">
      <c r="A22" s="148" t="s">
        <v>15</v>
      </c>
      <c r="B22" s="124">
        <f>'4. 2003 Data &amp; 2005 PILs'!B22</f>
        <v>0</v>
      </c>
      <c r="C22" s="124">
        <f>'4. 2003 Data &amp; 2005 PILs'!C22</f>
        <v>86537504</v>
      </c>
      <c r="D22" s="124">
        <f>'4. 2003 Data &amp; 2005 PILs'!D22</f>
        <v>7691</v>
      </c>
      <c r="E22" s="382">
        <f>'4. 2003 Data &amp; 2005 PILs'!E22</f>
        <v>1138629</v>
      </c>
      <c r="F22" s="145">
        <f>IF(ISERROR(C22/C$32),"",C22/C$32)</f>
        <v>0.23600010489680906</v>
      </c>
      <c r="G22" s="420">
        <f>IF(ISERROR($G$33*F22),0,$G$33*F22)</f>
        <v>252342.2967465973</v>
      </c>
      <c r="H22" s="125"/>
    </row>
    <row r="23" spans="1:8" ht="12.75">
      <c r="A23" s="148" t="s">
        <v>15</v>
      </c>
      <c r="B23" s="124">
        <f>'4. 2003 Data &amp; 2005 PILs'!B23</f>
        <v>0</v>
      </c>
      <c r="C23" s="124">
        <f>'4. 2003 Data &amp; 2005 PILs'!C23</f>
        <v>91033602</v>
      </c>
      <c r="D23" s="124">
        <f>'4. 2003 Data &amp; 2005 PILs'!D23</f>
        <v>4722</v>
      </c>
      <c r="E23" s="382">
        <f>'4. 2003 Data &amp; 2005 PILs'!E23</f>
        <v>770851</v>
      </c>
      <c r="F23" s="145">
        <f>IF(ISERROR(C23/C$32),"",C23/C$32)</f>
        <v>0.2482616048312922</v>
      </c>
      <c r="G23" s="420">
        <f>IF(ISERROR($G$33*F23),0,$G$33*F23)</f>
        <v>265452.86318629707</v>
      </c>
      <c r="H23" s="125"/>
    </row>
    <row r="24" spans="1:8" ht="12.75">
      <c r="A24" s="148" t="s">
        <v>70</v>
      </c>
      <c r="B24" s="124">
        <f>'4. 2003 Data &amp; 2005 PILs'!B24</f>
        <v>0</v>
      </c>
      <c r="C24" s="124">
        <f>'4. 2003 Data &amp; 2005 PILs'!C24</f>
        <v>41322391</v>
      </c>
      <c r="D24" s="124">
        <f>'4. 2003 Data &amp; 2005 PILs'!D24</f>
        <v>1288</v>
      </c>
      <c r="E24" s="382">
        <f>'4. 2003 Data &amp; 2005 PILs'!E24</f>
        <v>665481</v>
      </c>
      <c r="F24" s="145">
        <f aca="true" t="shared" si="0" ref="F24:F30">IF(ISERROR(C24/C$32),"",C24/C$32)</f>
        <v>0.11269204864733513</v>
      </c>
      <c r="G24" s="420">
        <f aca="true" t="shared" si="1" ref="G24:G30">IF(ISERROR($G$33*F24),0,$G$33*F24)</f>
        <v>120495.583648922</v>
      </c>
      <c r="H24" s="125"/>
    </row>
    <row r="25" spans="1:8" ht="12.75">
      <c r="A25" s="148" t="s">
        <v>71</v>
      </c>
      <c r="B25" s="124">
        <f>'4. 2003 Data &amp; 2005 PILs'!B25</f>
        <v>694596</v>
      </c>
      <c r="C25" s="124">
        <v>145323804</v>
      </c>
      <c r="D25" s="124">
        <f>'4. 2003 Data &amp; 2005 PILs'!D25</f>
        <v>391</v>
      </c>
      <c r="E25" s="382">
        <f>'4. 2003 Data &amp; 2005 PILs'!E25</f>
        <v>2103630</v>
      </c>
      <c r="F25" s="145">
        <f t="shared" si="0"/>
        <v>0.3963187219728838</v>
      </c>
      <c r="G25" s="420">
        <f t="shared" si="1"/>
        <v>423762.4241313032</v>
      </c>
      <c r="H25" s="125"/>
    </row>
    <row r="26" spans="1:8" ht="12.75">
      <c r="A26" s="148" t="s">
        <v>72</v>
      </c>
      <c r="B26" s="124">
        <f>'4. 2003 Data &amp; 2005 PILs'!B26</f>
        <v>0</v>
      </c>
      <c r="C26" s="124">
        <f>'4. 2003 Data &amp; 2005 PILs'!C26</f>
        <v>0</v>
      </c>
      <c r="D26" s="124">
        <f>'4. 2003 Data &amp; 2005 PILs'!D26</f>
        <v>0</v>
      </c>
      <c r="E26" s="382">
        <f>'4. 2003 Data &amp; 2005 PILs'!E26</f>
        <v>0</v>
      </c>
      <c r="F26" s="145">
        <f t="shared" si="0"/>
        <v>0</v>
      </c>
      <c r="G26" s="420">
        <f t="shared" si="1"/>
        <v>0</v>
      </c>
      <c r="H26" s="126"/>
    </row>
    <row r="27" spans="1:8" ht="12.75">
      <c r="A27" s="148" t="s">
        <v>154</v>
      </c>
      <c r="B27" s="124">
        <f>'4. 2003 Data &amp; 2005 PILs'!B27</f>
        <v>0</v>
      </c>
      <c r="C27" s="124">
        <f>'4. 2003 Data &amp; 2005 PILs'!C27</f>
        <v>0</v>
      </c>
      <c r="D27" s="124">
        <f>'4. 2003 Data &amp; 2005 PILs'!D27</f>
        <v>0</v>
      </c>
      <c r="E27" s="382">
        <f>'4. 2003 Data &amp; 2005 PILs'!E27</f>
        <v>0</v>
      </c>
      <c r="F27" s="145">
        <f t="shared" si="0"/>
        <v>0</v>
      </c>
      <c r="G27" s="420">
        <f t="shared" si="1"/>
        <v>0</v>
      </c>
      <c r="H27" s="126"/>
    </row>
    <row r="28" spans="1:8" ht="12.75">
      <c r="A28" s="148" t="s">
        <v>73</v>
      </c>
      <c r="B28" s="124">
        <f>'4. 2003 Data &amp; 2005 PILs'!B28</f>
        <v>0</v>
      </c>
      <c r="C28" s="124">
        <f>'4. 2003 Data &amp; 2005 PILs'!C28</f>
        <v>0</v>
      </c>
      <c r="D28" s="124">
        <f>'4. 2003 Data &amp; 2005 PILs'!D28</f>
        <v>0</v>
      </c>
      <c r="E28" s="382">
        <f>'4. 2003 Data &amp; 2005 PILs'!E28</f>
        <v>0</v>
      </c>
      <c r="F28" s="145">
        <f t="shared" si="0"/>
        <v>0</v>
      </c>
      <c r="G28" s="420">
        <f t="shared" si="1"/>
        <v>0</v>
      </c>
      <c r="H28" s="126"/>
    </row>
    <row r="29" spans="1:8" ht="12.75">
      <c r="A29" s="148" t="s">
        <v>74</v>
      </c>
      <c r="B29" s="124">
        <f>'4. 2003 Data &amp; 2005 PILs'!B29</f>
        <v>848</v>
      </c>
      <c r="C29" s="124">
        <v>335617</v>
      </c>
      <c r="D29" s="124">
        <f>'4. 2003 Data &amp; 2005 PILs'!D29</f>
        <v>530</v>
      </c>
      <c r="E29" s="382">
        <f>'4. 2003 Data &amp; 2005 PILs'!E29</f>
        <v>528</v>
      </c>
      <c r="F29" s="145">
        <f t="shared" si="0"/>
        <v>0.0009152753840132987</v>
      </c>
      <c r="G29" s="420">
        <f t="shared" si="1"/>
        <v>978.6550419480872</v>
      </c>
      <c r="H29" s="125"/>
    </row>
    <row r="30" spans="1:8" ht="12.75">
      <c r="A30" s="148" t="s">
        <v>75</v>
      </c>
      <c r="B30" s="366">
        <f>'4. 2003 Data &amp; 2005 PILs'!B30</f>
        <v>5491</v>
      </c>
      <c r="C30" s="366">
        <v>2131258</v>
      </c>
      <c r="D30" s="366">
        <f>'4. 2003 Data &amp; 2005 PILs'!D30</f>
        <v>2252</v>
      </c>
      <c r="E30" s="383">
        <f>'4. 2003 Data &amp; 2005 PILs'!E30</f>
        <v>3239</v>
      </c>
      <c r="F30" s="146">
        <f t="shared" si="0"/>
        <v>0.005812244267666462</v>
      </c>
      <c r="G30" s="421">
        <f t="shared" si="1"/>
        <v>6214.722101062212</v>
      </c>
      <c r="H30" s="127"/>
    </row>
    <row r="31" spans="1:8" ht="12.75">
      <c r="A31" s="148"/>
      <c r="B31" s="119"/>
      <c r="C31" s="128"/>
      <c r="D31" s="129"/>
      <c r="E31" s="119"/>
      <c r="F31" s="147"/>
      <c r="G31" s="420"/>
      <c r="H31" s="105"/>
    </row>
    <row r="32" spans="1:8" ht="12.75">
      <c r="A32" s="148" t="s">
        <v>14</v>
      </c>
      <c r="B32" s="154">
        <f aca="true" t="shared" si="2" ref="B32:G32">SUM(B22:B30)</f>
        <v>700935</v>
      </c>
      <c r="C32" s="154">
        <f t="shared" si="2"/>
        <v>366684176</v>
      </c>
      <c r="D32" s="154">
        <f t="shared" si="2"/>
        <v>16874</v>
      </c>
      <c r="E32" s="155">
        <f t="shared" si="2"/>
        <v>4682358</v>
      </c>
      <c r="F32" s="156">
        <f t="shared" si="2"/>
        <v>0.9999999999999999</v>
      </c>
      <c r="G32" s="413">
        <f t="shared" si="2"/>
        <v>1069246.5448561301</v>
      </c>
      <c r="H32" s="105"/>
    </row>
    <row r="33" spans="1:8" ht="12.75">
      <c r="A33" s="86"/>
      <c r="B33" s="31"/>
      <c r="C33" s="521" t="s">
        <v>211</v>
      </c>
      <c r="D33" s="521"/>
      <c r="E33" s="521"/>
      <c r="F33" s="522"/>
      <c r="G33" s="422">
        <f>G14</f>
        <v>1069246.54485613</v>
      </c>
      <c r="H33" s="130"/>
    </row>
    <row r="34" spans="1:7" ht="13.5" thickBot="1">
      <c r="A34" s="94"/>
      <c r="B34" s="149"/>
      <c r="C34" s="149"/>
      <c r="D34" s="149"/>
      <c r="E34" s="149"/>
      <c r="F34" s="149"/>
      <c r="G34" s="150"/>
    </row>
    <row r="36" ht="15.75">
      <c r="A36" s="164" t="s">
        <v>183</v>
      </c>
    </row>
    <row r="37" ht="15.75">
      <c r="A37" s="54"/>
    </row>
    <row r="38" ht="15.75">
      <c r="A38" s="54" t="s">
        <v>229</v>
      </c>
    </row>
    <row r="39" ht="10.5" customHeight="1">
      <c r="A39" s="131"/>
    </row>
    <row r="40" ht="9" customHeight="1">
      <c r="A40" s="132"/>
    </row>
    <row r="41" spans="1:7" ht="39" thickBot="1">
      <c r="A41" s="132"/>
      <c r="B41" s="284" t="s">
        <v>103</v>
      </c>
      <c r="C41" s="284" t="s">
        <v>104</v>
      </c>
      <c r="D41" s="284" t="s">
        <v>140</v>
      </c>
      <c r="E41" s="281"/>
      <c r="F41" s="281"/>
      <c r="G41" s="281"/>
    </row>
    <row r="42" spans="1:3" ht="15">
      <c r="A42" s="132"/>
      <c r="B42" s="30"/>
      <c r="C42" s="30"/>
    </row>
    <row r="43" spans="1:5" ht="12.75">
      <c r="A43" s="109" t="s">
        <v>138</v>
      </c>
      <c r="B43" s="292"/>
      <c r="C43" s="292"/>
      <c r="D43" s="411">
        <f>$G22</f>
        <v>252342.2967465973</v>
      </c>
      <c r="E43" s="112"/>
    </row>
    <row r="44" spans="1:5" ht="7.5" customHeight="1">
      <c r="A44" s="112"/>
      <c r="B44" s="285"/>
      <c r="C44" s="285"/>
      <c r="D44" s="286"/>
      <c r="E44" s="112"/>
    </row>
    <row r="45" spans="1:5" ht="12.75">
      <c r="A45" s="109" t="s">
        <v>101</v>
      </c>
      <c r="B45" s="293">
        <v>1</v>
      </c>
      <c r="C45" s="293">
        <v>0</v>
      </c>
      <c r="D45" s="293">
        <f>B45+C45</f>
        <v>1</v>
      </c>
      <c r="E45" s="112"/>
    </row>
    <row r="46" spans="1:5" ht="7.5" customHeight="1">
      <c r="A46" s="112"/>
      <c r="B46" s="287"/>
      <c r="C46" s="287"/>
      <c r="D46" s="287"/>
      <c r="E46" s="112"/>
    </row>
    <row r="47" spans="1:5" ht="13.5" customHeight="1">
      <c r="A47" s="109" t="s">
        <v>139</v>
      </c>
      <c r="B47" s="406">
        <f>$B45*$D43</f>
        <v>252342.2967465973</v>
      </c>
      <c r="C47" s="406">
        <f>C45*D43</f>
        <v>0</v>
      </c>
      <c r="D47" s="406">
        <f>SUM(B47:C47)</f>
        <v>252342.2967465973</v>
      </c>
      <c r="E47" s="112"/>
    </row>
    <row r="48" spans="1:5" ht="7.5" customHeight="1">
      <c r="A48" s="112"/>
      <c r="B48" s="288"/>
      <c r="C48" s="288"/>
      <c r="D48" s="288"/>
      <c r="E48" s="112"/>
    </row>
    <row r="49" spans="1:5" ht="13.5" customHeight="1">
      <c r="A49" s="109" t="s">
        <v>99</v>
      </c>
      <c r="B49" s="295">
        <f>$C22</f>
        <v>86537504</v>
      </c>
      <c r="C49" s="294"/>
      <c r="D49" s="294"/>
      <c r="E49" s="112"/>
    </row>
    <row r="50" spans="1:5" ht="7.5" customHeight="1">
      <c r="A50" s="112"/>
      <c r="B50" s="289"/>
      <c r="C50" s="288"/>
      <c r="D50" s="288"/>
      <c r="E50" s="112"/>
    </row>
    <row r="51" spans="1:5" ht="13.5" customHeight="1">
      <c r="A51" s="109" t="s">
        <v>184</v>
      </c>
      <c r="B51" s="416">
        <f>IF(ISERROR($B47/$B49),0,$B47/$B49)</f>
        <v>0.002915987694151628</v>
      </c>
      <c r="C51" s="296"/>
      <c r="D51" s="296"/>
      <c r="E51" s="112"/>
    </row>
    <row r="52" spans="1:5" ht="13.5" customHeight="1">
      <c r="A52" s="298"/>
      <c r="B52" s="488"/>
      <c r="C52" s="489"/>
      <c r="D52" s="489"/>
      <c r="E52" s="112"/>
    </row>
    <row r="53" spans="1:5" ht="13.5" customHeight="1">
      <c r="A53" s="298"/>
      <c r="B53" s="488"/>
      <c r="C53" s="489"/>
      <c r="D53" s="489"/>
      <c r="E53" s="112"/>
    </row>
    <row r="54" spans="1:5" ht="13.5" customHeight="1">
      <c r="A54" s="298"/>
      <c r="B54" s="488"/>
      <c r="C54" s="489"/>
      <c r="D54" s="489"/>
      <c r="E54" s="112"/>
    </row>
    <row r="55" spans="1:5" ht="13.5" customHeight="1">
      <c r="A55" s="298"/>
      <c r="B55" s="488"/>
      <c r="C55" s="489"/>
      <c r="D55" s="489"/>
      <c r="E55" s="112"/>
    </row>
    <row r="56" ht="15.75">
      <c r="A56" s="54" t="s">
        <v>230</v>
      </c>
    </row>
    <row r="57" ht="10.5" customHeight="1">
      <c r="A57" s="131"/>
    </row>
    <row r="58" ht="9" customHeight="1">
      <c r="A58" s="132"/>
    </row>
    <row r="59" spans="1:7" ht="39" thickBot="1">
      <c r="A59" s="132"/>
      <c r="B59" s="284" t="s">
        <v>103</v>
      </c>
      <c r="C59" s="284" t="s">
        <v>104</v>
      </c>
      <c r="D59" s="284" t="s">
        <v>140</v>
      </c>
      <c r="E59" s="281"/>
      <c r="F59" s="281"/>
      <c r="G59" s="281"/>
    </row>
    <row r="60" spans="1:3" ht="15">
      <c r="A60" s="132"/>
      <c r="B60" s="30"/>
      <c r="C60" s="30"/>
    </row>
    <row r="61" spans="1:5" ht="12.75">
      <c r="A61" s="109" t="s">
        <v>138</v>
      </c>
      <c r="B61" s="292"/>
      <c r="C61" s="292"/>
      <c r="D61" s="411">
        <f>G23</f>
        <v>265452.86318629707</v>
      </c>
      <c r="E61" s="112"/>
    </row>
    <row r="62" spans="1:5" ht="7.5" customHeight="1">
      <c r="A62" s="112"/>
      <c r="B62" s="285"/>
      <c r="C62" s="285"/>
      <c r="D62" s="286"/>
      <c r="E62" s="112"/>
    </row>
    <row r="63" spans="1:5" ht="12.75">
      <c r="A63" s="109" t="s">
        <v>101</v>
      </c>
      <c r="B63" s="293">
        <v>1</v>
      </c>
      <c r="C63" s="293">
        <v>0</v>
      </c>
      <c r="D63" s="293">
        <f>B63+C63</f>
        <v>1</v>
      </c>
      <c r="E63" s="112"/>
    </row>
    <row r="64" spans="1:5" ht="7.5" customHeight="1">
      <c r="A64" s="112"/>
      <c r="B64" s="287"/>
      <c r="C64" s="287"/>
      <c r="D64" s="287"/>
      <c r="E64" s="112"/>
    </row>
    <row r="65" spans="1:5" ht="13.5" customHeight="1">
      <c r="A65" s="109" t="s">
        <v>139</v>
      </c>
      <c r="B65" s="406">
        <f>$B63*$D61</f>
        <v>265452.86318629707</v>
      </c>
      <c r="C65" s="406">
        <f>C63*D61</f>
        <v>0</v>
      </c>
      <c r="D65" s="406">
        <f>SUM(B65:C65)</f>
        <v>265452.86318629707</v>
      </c>
      <c r="E65" s="112"/>
    </row>
    <row r="66" spans="1:5" ht="7.5" customHeight="1">
      <c r="A66" s="112"/>
      <c r="B66" s="288"/>
      <c r="C66" s="288"/>
      <c r="D66" s="288"/>
      <c r="E66" s="112"/>
    </row>
    <row r="67" spans="1:5" ht="13.5" customHeight="1">
      <c r="A67" s="109" t="s">
        <v>99</v>
      </c>
      <c r="B67" s="295">
        <f>C23</f>
        <v>91033602</v>
      </c>
      <c r="C67" s="294"/>
      <c r="D67" s="294"/>
      <c r="E67" s="112"/>
    </row>
    <row r="68" spans="1:5" ht="7.5" customHeight="1">
      <c r="A68" s="112"/>
      <c r="B68" s="289"/>
      <c r="C68" s="288"/>
      <c r="D68" s="288"/>
      <c r="E68" s="112"/>
    </row>
    <row r="69" spans="1:5" ht="13.5" customHeight="1">
      <c r="A69" s="109" t="s">
        <v>184</v>
      </c>
      <c r="B69" s="416">
        <f>IF(ISERROR($B65/$B67),0,$B65/$B67)</f>
        <v>0.002915987694151628</v>
      </c>
      <c r="C69" s="296"/>
      <c r="D69" s="296"/>
      <c r="E69" s="112"/>
    </row>
    <row r="70" spans="1:5" ht="13.5" customHeight="1">
      <c r="A70" s="298"/>
      <c r="B70" s="488"/>
      <c r="C70" s="489"/>
      <c r="D70" s="489"/>
      <c r="E70" s="112"/>
    </row>
    <row r="71" spans="1:5" ht="13.5" customHeight="1">
      <c r="A71" s="298"/>
      <c r="B71" s="488"/>
      <c r="C71" s="489"/>
      <c r="D71" s="489"/>
      <c r="E71" s="112"/>
    </row>
    <row r="72" spans="1:5" ht="13.5" customHeight="1">
      <c r="A72" s="298"/>
      <c r="B72" s="488"/>
      <c r="C72" s="489"/>
      <c r="D72" s="489"/>
      <c r="E72" s="112"/>
    </row>
    <row r="73" spans="1:5" ht="13.5" customHeight="1">
      <c r="A73" s="298"/>
      <c r="B73" s="488"/>
      <c r="C73" s="489"/>
      <c r="D73" s="489"/>
      <c r="E73" s="112"/>
    </row>
    <row r="74" spans="1:5" ht="13.5" customHeight="1">
      <c r="A74" s="54" t="s">
        <v>2</v>
      </c>
      <c r="B74" s="488"/>
      <c r="C74" s="489"/>
      <c r="D74" s="489"/>
      <c r="E74" s="112"/>
    </row>
    <row r="75" ht="10.5" customHeight="1">
      <c r="A75" s="131"/>
    </row>
    <row r="76" ht="9" customHeight="1">
      <c r="A76" s="132"/>
    </row>
    <row r="77" spans="1:7" ht="39" thickBot="1">
      <c r="A77" s="132"/>
      <c r="B77" s="284" t="s">
        <v>103</v>
      </c>
      <c r="C77" s="284" t="s">
        <v>104</v>
      </c>
      <c r="D77" s="284" t="s">
        <v>140</v>
      </c>
      <c r="E77" s="281"/>
      <c r="F77" s="281"/>
      <c r="G77" s="281"/>
    </row>
    <row r="78" spans="1:3" ht="15">
      <c r="A78" s="132"/>
      <c r="B78" s="30"/>
      <c r="C78" s="30"/>
    </row>
    <row r="79" spans="1:5" ht="12.75">
      <c r="A79" s="109" t="s">
        <v>138</v>
      </c>
      <c r="B79" s="292"/>
      <c r="C79" s="292"/>
      <c r="D79" s="411">
        <f>$G24</f>
        <v>120495.583648922</v>
      </c>
      <c r="E79" s="112"/>
    </row>
    <row r="80" spans="1:5" ht="7.5" customHeight="1">
      <c r="A80" s="112"/>
      <c r="B80" s="285"/>
      <c r="C80" s="285"/>
      <c r="D80" s="286"/>
      <c r="E80" s="112"/>
    </row>
    <row r="81" spans="1:5" ht="12.75">
      <c r="A81" s="109" t="s">
        <v>101</v>
      </c>
      <c r="B81" s="293">
        <v>1</v>
      </c>
      <c r="C81" s="293">
        <v>0</v>
      </c>
      <c r="D81" s="293">
        <f>B81+C81</f>
        <v>1</v>
      </c>
      <c r="E81" s="112"/>
    </row>
    <row r="82" spans="1:5" ht="7.5" customHeight="1">
      <c r="A82" s="112"/>
      <c r="B82" s="287"/>
      <c r="C82" s="287"/>
      <c r="D82" s="287"/>
      <c r="E82" s="112"/>
    </row>
    <row r="83" spans="1:5" ht="13.5" customHeight="1">
      <c r="A83" s="109" t="s">
        <v>139</v>
      </c>
      <c r="B83" s="406">
        <f>$B81*$D79</f>
        <v>120495.583648922</v>
      </c>
      <c r="C83" s="406">
        <f>C81*D79</f>
        <v>0</v>
      </c>
      <c r="D83" s="406">
        <f>SUM(B83:C83)</f>
        <v>120495.583648922</v>
      </c>
      <c r="E83" s="112"/>
    </row>
    <row r="84" spans="1:5" ht="7.5" customHeight="1">
      <c r="A84" s="112"/>
      <c r="B84" s="288"/>
      <c r="C84" s="288"/>
      <c r="D84" s="288"/>
      <c r="E84" s="112"/>
    </row>
    <row r="85" spans="1:5" ht="13.5" customHeight="1">
      <c r="A85" s="109" t="s">
        <v>99</v>
      </c>
      <c r="B85" s="295">
        <f>$C24</f>
        <v>41322391</v>
      </c>
      <c r="C85" s="294"/>
      <c r="D85" s="294"/>
      <c r="E85" s="112"/>
    </row>
    <row r="86" spans="1:5" ht="7.5" customHeight="1">
      <c r="A86" s="112"/>
      <c r="B86" s="289"/>
      <c r="C86" s="288"/>
      <c r="D86" s="288"/>
      <c r="E86" s="112"/>
    </row>
    <row r="87" spans="1:5" ht="13.5" customHeight="1">
      <c r="A87" s="109" t="s">
        <v>184</v>
      </c>
      <c r="B87" s="416">
        <f>IF(ISERROR($B83/$B85),0,$B83/$B85)</f>
        <v>0.002915987694151628</v>
      </c>
      <c r="C87" s="296"/>
      <c r="D87" s="296"/>
      <c r="E87" s="112"/>
    </row>
    <row r="88" spans="1:5" ht="12.75">
      <c r="A88" s="112"/>
      <c r="B88" s="290"/>
      <c r="C88" s="291"/>
      <c r="D88" s="291"/>
      <c r="E88" s="112"/>
    </row>
    <row r="89" spans="1:4" ht="15">
      <c r="A89" s="132"/>
      <c r="B89" s="56"/>
      <c r="C89" s="56"/>
      <c r="D89" s="56"/>
    </row>
    <row r="90" spans="2:4" ht="12.75">
      <c r="B90" s="56"/>
      <c r="C90" s="56"/>
      <c r="D90" s="56"/>
    </row>
    <row r="91" ht="15.75">
      <c r="A91" s="54" t="s">
        <v>207</v>
      </c>
    </row>
    <row r="92" ht="10.5" customHeight="1">
      <c r="A92" s="131"/>
    </row>
    <row r="93" ht="9" customHeight="1">
      <c r="A93" s="132"/>
    </row>
    <row r="94" spans="1:7" ht="39" thickBot="1">
      <c r="A94" s="132"/>
      <c r="B94" s="284" t="s">
        <v>103</v>
      </c>
      <c r="C94" s="284" t="s">
        <v>104</v>
      </c>
      <c r="D94" s="284" t="s">
        <v>140</v>
      </c>
      <c r="E94" s="281"/>
      <c r="F94" s="281"/>
      <c r="G94" s="281"/>
    </row>
    <row r="95" spans="1:3" ht="15">
      <c r="A95" s="132"/>
      <c r="B95" s="30"/>
      <c r="C95" s="30"/>
    </row>
    <row r="96" spans="1:5" ht="12.75">
      <c r="A96" s="109" t="s">
        <v>138</v>
      </c>
      <c r="B96" s="292"/>
      <c r="C96" s="292"/>
      <c r="D96" s="411">
        <f>$G25</f>
        <v>423762.4241313032</v>
      </c>
      <c r="E96" s="112"/>
    </row>
    <row r="97" spans="1:5" ht="7.5" customHeight="1">
      <c r="A97" s="112"/>
      <c r="B97" s="285"/>
      <c r="C97" s="285"/>
      <c r="D97" s="286"/>
      <c r="E97" s="112"/>
    </row>
    <row r="98" spans="1:5" ht="12.75">
      <c r="A98" s="109" t="s">
        <v>101</v>
      </c>
      <c r="B98" s="293">
        <v>1</v>
      </c>
      <c r="C98" s="293">
        <v>0</v>
      </c>
      <c r="D98" s="293">
        <f>B98+C98</f>
        <v>1</v>
      </c>
      <c r="E98" s="112"/>
    </row>
    <row r="99" spans="1:5" ht="7.5" customHeight="1">
      <c r="A99" s="112"/>
      <c r="B99" s="287"/>
      <c r="C99" s="287"/>
      <c r="D99" s="287"/>
      <c r="E99" s="112"/>
    </row>
    <row r="100" spans="1:5" ht="13.5" customHeight="1">
      <c r="A100" s="109" t="s">
        <v>139</v>
      </c>
      <c r="B100" s="406">
        <f>$B98*$D96</f>
        <v>423762.4241313032</v>
      </c>
      <c r="C100" s="406">
        <f>C98*D96</f>
        <v>0</v>
      </c>
      <c r="D100" s="406">
        <f>SUM(B100:C100)</f>
        <v>423762.4241313032</v>
      </c>
      <c r="E100" s="112"/>
    </row>
    <row r="101" spans="1:5" ht="7.5" customHeight="1">
      <c r="A101" s="112"/>
      <c r="B101" s="288"/>
      <c r="C101" s="288"/>
      <c r="D101" s="288"/>
      <c r="E101" s="112"/>
    </row>
    <row r="102" spans="1:5" ht="13.5" customHeight="1">
      <c r="A102" s="109" t="s">
        <v>164</v>
      </c>
      <c r="B102" s="295">
        <f>$B25</f>
        <v>694596</v>
      </c>
      <c r="C102" s="294"/>
      <c r="D102" s="294"/>
      <c r="E102" s="112"/>
    </row>
    <row r="103" spans="1:5" ht="7.5" customHeight="1">
      <c r="A103" s="112"/>
      <c r="B103" s="289"/>
      <c r="C103" s="288"/>
      <c r="D103" s="288"/>
      <c r="E103" s="112"/>
    </row>
    <row r="104" spans="1:5" ht="13.5" customHeight="1">
      <c r="A104" s="109" t="s">
        <v>180</v>
      </c>
      <c r="B104" s="416">
        <f>IF(ISERROR($B100/$B102),0,$B100/$B102)</f>
        <v>0.6100847458541414</v>
      </c>
      <c r="C104" s="296"/>
      <c r="D104" s="296"/>
      <c r="E104" s="112"/>
    </row>
    <row r="105" spans="1:5" s="31" customFormat="1" ht="12.75">
      <c r="A105" s="298"/>
      <c r="B105" s="299"/>
      <c r="C105" s="300"/>
      <c r="D105" s="299"/>
      <c r="E105" s="298"/>
    </row>
    <row r="106" spans="1:5" ht="12.75">
      <c r="A106" s="298"/>
      <c r="B106" s="299"/>
      <c r="C106" s="300"/>
      <c r="D106" s="299"/>
      <c r="E106" s="112"/>
    </row>
    <row r="107" spans="1:5" ht="12.75">
      <c r="A107" s="298"/>
      <c r="B107" s="299"/>
      <c r="C107" s="300"/>
      <c r="D107" s="299"/>
      <c r="E107" s="112"/>
    </row>
    <row r="108" ht="15.75">
      <c r="A108" s="54" t="s">
        <v>206</v>
      </c>
    </row>
    <row r="109" ht="10.5" customHeight="1">
      <c r="A109" s="131"/>
    </row>
    <row r="110" ht="9" customHeight="1">
      <c r="A110" s="132"/>
    </row>
    <row r="111" spans="1:7" ht="39" thickBot="1">
      <c r="A111" s="132"/>
      <c r="B111" s="284" t="s">
        <v>103</v>
      </c>
      <c r="C111" s="284" t="s">
        <v>104</v>
      </c>
      <c r="D111" s="284" t="s">
        <v>140</v>
      </c>
      <c r="E111" s="281"/>
      <c r="F111" s="281"/>
      <c r="G111" s="281"/>
    </row>
    <row r="112" spans="1:3" ht="15">
      <c r="A112" s="132"/>
      <c r="B112" s="30"/>
      <c r="C112" s="30"/>
    </row>
    <row r="113" spans="1:5" ht="12.75">
      <c r="A113" s="109" t="s">
        <v>138</v>
      </c>
      <c r="B113" s="292"/>
      <c r="C113" s="292"/>
      <c r="D113" s="411">
        <f>$G26</f>
        <v>0</v>
      </c>
      <c r="E113" s="112"/>
    </row>
    <row r="114" spans="1:5" ht="7.5" customHeight="1">
      <c r="A114" s="112"/>
      <c r="B114" s="285"/>
      <c r="C114" s="285"/>
      <c r="D114" s="286"/>
      <c r="E114" s="112"/>
    </row>
    <row r="115" spans="1:5" ht="12.75">
      <c r="A115" s="109" t="s">
        <v>101</v>
      </c>
      <c r="B115" s="293">
        <v>1</v>
      </c>
      <c r="C115" s="293">
        <v>0</v>
      </c>
      <c r="D115" s="293">
        <f>B115+C115</f>
        <v>1</v>
      </c>
      <c r="E115" s="112"/>
    </row>
    <row r="116" spans="1:5" ht="7.5" customHeight="1">
      <c r="A116" s="112"/>
      <c r="B116" s="287"/>
      <c r="C116" s="287"/>
      <c r="D116" s="287"/>
      <c r="E116" s="112"/>
    </row>
    <row r="117" spans="1:5" ht="13.5" customHeight="1">
      <c r="A117" s="109" t="s">
        <v>139</v>
      </c>
      <c r="B117" s="406">
        <f>$B115*$D113</f>
        <v>0</v>
      </c>
      <c r="C117" s="406">
        <f>C115*D113</f>
        <v>0</v>
      </c>
      <c r="D117" s="406">
        <f>SUM(B117:C117)</f>
        <v>0</v>
      </c>
      <c r="E117" s="112"/>
    </row>
    <row r="118" spans="1:5" ht="7.5" customHeight="1">
      <c r="A118" s="112"/>
      <c r="B118" s="288"/>
      <c r="C118" s="288"/>
      <c r="D118" s="288"/>
      <c r="E118" s="112"/>
    </row>
    <row r="119" spans="1:5" ht="13.5" customHeight="1">
      <c r="A119" s="109" t="s">
        <v>164</v>
      </c>
      <c r="B119" s="295">
        <f>$B26</f>
        <v>0</v>
      </c>
      <c r="C119" s="294"/>
      <c r="D119" s="294"/>
      <c r="E119" s="112"/>
    </row>
    <row r="120" spans="1:5" ht="7.5" customHeight="1">
      <c r="A120" s="112"/>
      <c r="B120" s="289"/>
      <c r="C120" s="288"/>
      <c r="D120" s="288"/>
      <c r="E120" s="112"/>
    </row>
    <row r="121" spans="1:5" ht="13.5" customHeight="1">
      <c r="A121" s="109" t="s">
        <v>180</v>
      </c>
      <c r="B121" s="416">
        <f>IF(ISERROR($B117/$B119),0,$B117/$B119)</f>
        <v>0</v>
      </c>
      <c r="C121" s="296"/>
      <c r="D121" s="296"/>
      <c r="E121" s="112"/>
    </row>
    <row r="122" spans="1:5" s="31" customFormat="1" ht="12.75">
      <c r="A122" s="298"/>
      <c r="B122" s="299"/>
      <c r="C122" s="300"/>
      <c r="D122" s="299"/>
      <c r="E122" s="298"/>
    </row>
    <row r="123" spans="1:5" ht="12.75">
      <c r="A123" s="298"/>
      <c r="B123" s="299"/>
      <c r="C123" s="300"/>
      <c r="D123" s="299"/>
      <c r="E123" s="112"/>
    </row>
    <row r="124" spans="1:5" ht="12.75">
      <c r="A124" s="298"/>
      <c r="B124" s="299"/>
      <c r="C124" s="300"/>
      <c r="D124" s="299"/>
      <c r="E124" s="112"/>
    </row>
    <row r="125" ht="15.75">
      <c r="A125" s="54" t="s">
        <v>16</v>
      </c>
    </row>
    <row r="126" ht="10.5" customHeight="1">
      <c r="A126" s="131"/>
    </row>
    <row r="127" ht="9" customHeight="1">
      <c r="A127" s="132"/>
    </row>
    <row r="128" spans="1:7" ht="39" thickBot="1">
      <c r="A128" s="132"/>
      <c r="B128" s="284" t="s">
        <v>103</v>
      </c>
      <c r="C128" s="284" t="s">
        <v>104</v>
      </c>
      <c r="D128" s="284" t="s">
        <v>140</v>
      </c>
      <c r="E128" s="281"/>
      <c r="F128" s="281"/>
      <c r="G128" s="281"/>
    </row>
    <row r="129" spans="1:3" ht="15">
      <c r="A129" s="132"/>
      <c r="B129" s="30"/>
      <c r="C129" s="30"/>
    </row>
    <row r="130" spans="1:5" ht="12.75">
      <c r="A130" s="109" t="s">
        <v>138</v>
      </c>
      <c r="B130" s="292"/>
      <c r="C130" s="292"/>
      <c r="D130" s="411">
        <f>$G27</f>
        <v>0</v>
      </c>
      <c r="E130" s="112"/>
    </row>
    <row r="131" spans="1:5" ht="7.5" customHeight="1">
      <c r="A131" s="112"/>
      <c r="B131" s="285"/>
      <c r="C131" s="285"/>
      <c r="D131" s="286"/>
      <c r="E131" s="112"/>
    </row>
    <row r="132" spans="1:5" ht="12.75">
      <c r="A132" s="109" t="s">
        <v>101</v>
      </c>
      <c r="B132" s="293">
        <v>1</v>
      </c>
      <c r="C132" s="293">
        <v>0</v>
      </c>
      <c r="D132" s="293">
        <f>B132+C132</f>
        <v>1</v>
      </c>
      <c r="E132" s="112"/>
    </row>
    <row r="133" spans="1:5" ht="7.5" customHeight="1">
      <c r="A133" s="112"/>
      <c r="B133" s="287"/>
      <c r="C133" s="287"/>
      <c r="D133" s="287"/>
      <c r="E133" s="112"/>
    </row>
    <row r="134" spans="1:5" ht="13.5" customHeight="1">
      <c r="A134" s="109" t="s">
        <v>139</v>
      </c>
      <c r="B134" s="406">
        <f>$B132*$D130</f>
        <v>0</v>
      </c>
      <c r="C134" s="406">
        <f>C132*D130</f>
        <v>0</v>
      </c>
      <c r="D134" s="406">
        <f>SUM(B134:C134)</f>
        <v>0</v>
      </c>
      <c r="E134" s="112"/>
    </row>
    <row r="135" spans="1:5" ht="7.5" customHeight="1">
      <c r="A135" s="112"/>
      <c r="B135" s="288"/>
      <c r="C135" s="288"/>
      <c r="D135" s="288"/>
      <c r="E135" s="112"/>
    </row>
    <row r="136" spans="1:5" ht="13.5" customHeight="1">
      <c r="A136" s="109" t="s">
        <v>164</v>
      </c>
      <c r="B136" s="295">
        <f>$B27</f>
        <v>0</v>
      </c>
      <c r="C136" s="294"/>
      <c r="D136" s="294"/>
      <c r="E136" s="112"/>
    </row>
    <row r="137" spans="1:5" ht="7.5" customHeight="1">
      <c r="A137" s="112"/>
      <c r="B137" s="289"/>
      <c r="C137" s="288"/>
      <c r="D137" s="288"/>
      <c r="E137" s="112"/>
    </row>
    <row r="138" spans="1:5" ht="13.5" customHeight="1">
      <c r="A138" s="109" t="s">
        <v>180</v>
      </c>
      <c r="B138" s="416">
        <f>IF(ISERROR($B134/$B136),0,$B134/$B136)</f>
        <v>0</v>
      </c>
      <c r="C138" s="296"/>
      <c r="D138" s="296"/>
      <c r="E138" s="112"/>
    </row>
    <row r="139" spans="1:5" ht="12.75">
      <c r="A139" s="112"/>
      <c r="B139" s="290"/>
      <c r="C139" s="291"/>
      <c r="D139" s="291"/>
      <c r="E139" s="112"/>
    </row>
    <row r="140" spans="1:4" ht="15">
      <c r="A140" s="132"/>
      <c r="B140" s="56"/>
      <c r="C140" s="56"/>
      <c r="D140" s="56"/>
    </row>
    <row r="141" spans="2:4" ht="12.75">
      <c r="B141" s="56"/>
      <c r="C141" s="56"/>
      <c r="D141" s="56"/>
    </row>
    <row r="142" ht="15.75">
      <c r="A142" s="54" t="s">
        <v>17</v>
      </c>
    </row>
    <row r="143" ht="10.5" customHeight="1">
      <c r="A143" s="131"/>
    </row>
    <row r="144" ht="9" customHeight="1">
      <c r="A144" s="132"/>
    </row>
    <row r="145" spans="1:7" ht="39" thickBot="1">
      <c r="A145" s="132"/>
      <c r="B145" s="284" t="s">
        <v>103</v>
      </c>
      <c r="C145" s="284" t="s">
        <v>104</v>
      </c>
      <c r="D145" s="284" t="s">
        <v>140</v>
      </c>
      <c r="E145" s="281"/>
      <c r="F145" s="281"/>
      <c r="G145" s="281"/>
    </row>
    <row r="146" spans="1:3" ht="15">
      <c r="A146" s="132"/>
      <c r="B146" s="30"/>
      <c r="C146" s="30"/>
    </row>
    <row r="147" spans="1:5" ht="12.75">
      <c r="A147" s="109" t="s">
        <v>138</v>
      </c>
      <c r="B147" s="292"/>
      <c r="C147" s="292"/>
      <c r="D147" s="411">
        <f>$G28</f>
        <v>0</v>
      </c>
      <c r="E147" s="112"/>
    </row>
    <row r="148" spans="1:5" ht="7.5" customHeight="1">
      <c r="A148" s="112"/>
      <c r="B148" s="285"/>
      <c r="C148" s="285"/>
      <c r="D148" s="286"/>
      <c r="E148" s="112"/>
    </row>
    <row r="149" spans="1:5" ht="12.75">
      <c r="A149" s="109" t="s">
        <v>101</v>
      </c>
      <c r="B149" s="293">
        <v>1</v>
      </c>
      <c r="C149" s="293">
        <v>0</v>
      </c>
      <c r="D149" s="293">
        <f>B149+C149</f>
        <v>1</v>
      </c>
      <c r="E149" s="112"/>
    </row>
    <row r="150" spans="1:5" ht="7.5" customHeight="1">
      <c r="A150" s="112"/>
      <c r="B150" s="287"/>
      <c r="C150" s="287"/>
      <c r="D150" s="287"/>
      <c r="E150" s="112"/>
    </row>
    <row r="151" spans="1:5" ht="13.5" customHeight="1">
      <c r="A151" s="109" t="s">
        <v>139</v>
      </c>
      <c r="B151" s="406">
        <f>$B149*$D147</f>
        <v>0</v>
      </c>
      <c r="C151" s="406">
        <f>C149*D147</f>
        <v>0</v>
      </c>
      <c r="D151" s="406">
        <f>SUM(B151:C151)</f>
        <v>0</v>
      </c>
      <c r="E151" s="112"/>
    </row>
    <row r="152" spans="1:5" ht="7.5" customHeight="1">
      <c r="A152" s="112"/>
      <c r="B152" s="288"/>
      <c r="C152" s="288"/>
      <c r="D152" s="288"/>
      <c r="E152" s="112"/>
    </row>
    <row r="153" spans="1:5" ht="13.5" customHeight="1">
      <c r="A153" s="109" t="s">
        <v>164</v>
      </c>
      <c r="B153" s="295">
        <f>$B28</f>
        <v>0</v>
      </c>
      <c r="C153" s="294"/>
      <c r="D153" s="294"/>
      <c r="E153" s="112"/>
    </row>
    <row r="154" spans="1:5" ht="7.5" customHeight="1">
      <c r="A154" s="112"/>
      <c r="B154" s="289"/>
      <c r="C154" s="288"/>
      <c r="D154" s="288"/>
      <c r="E154" s="112"/>
    </row>
    <row r="155" spans="1:5" ht="13.5" customHeight="1">
      <c r="A155" s="109" t="s">
        <v>180</v>
      </c>
      <c r="B155" s="416">
        <f>IF(ISERROR($B151/$B153),0,$B151/$B153)</f>
        <v>0</v>
      </c>
      <c r="C155" s="296"/>
      <c r="D155" s="296"/>
      <c r="E155" s="112"/>
    </row>
    <row r="156" spans="2:4" ht="12.75">
      <c r="B156" s="56"/>
      <c r="C156" s="56"/>
      <c r="D156" s="56"/>
    </row>
    <row r="157" spans="1:5" ht="12.75">
      <c r="A157" s="298"/>
      <c r="B157" s="299"/>
      <c r="C157" s="300"/>
      <c r="D157" s="299"/>
      <c r="E157" s="112"/>
    </row>
    <row r="158" spans="1:5" ht="12.75">
      <c r="A158" s="298"/>
      <c r="B158" s="299"/>
      <c r="C158" s="300"/>
      <c r="D158" s="299"/>
      <c r="E158" s="112"/>
    </row>
    <row r="159" ht="15.75">
      <c r="A159" s="54" t="s">
        <v>18</v>
      </c>
    </row>
    <row r="160" ht="10.5" customHeight="1">
      <c r="A160" s="131"/>
    </row>
    <row r="161" ht="9" customHeight="1">
      <c r="A161" s="132"/>
    </row>
    <row r="162" spans="1:7" ht="39" thickBot="1">
      <c r="A162" s="132"/>
      <c r="B162" s="284" t="s">
        <v>103</v>
      </c>
      <c r="C162" s="284" t="s">
        <v>104</v>
      </c>
      <c r="D162" s="284" t="s">
        <v>140</v>
      </c>
      <c r="E162" s="281"/>
      <c r="F162" s="281"/>
      <c r="G162" s="281"/>
    </row>
    <row r="163" spans="1:3" ht="15">
      <c r="A163" s="132"/>
      <c r="B163" s="30"/>
      <c r="C163" s="30"/>
    </row>
    <row r="164" spans="1:5" ht="12.75">
      <c r="A164" s="109" t="s">
        <v>138</v>
      </c>
      <c r="B164" s="292"/>
      <c r="C164" s="292"/>
      <c r="D164" s="411">
        <f>$G29</f>
        <v>978.6550419480872</v>
      </c>
      <c r="E164" s="112"/>
    </row>
    <row r="165" spans="1:5" ht="7.5" customHeight="1">
      <c r="A165" s="112"/>
      <c r="B165" s="285"/>
      <c r="C165" s="285"/>
      <c r="D165" s="286"/>
      <c r="E165" s="112"/>
    </row>
    <row r="166" spans="1:5" ht="12.75">
      <c r="A166" s="109" t="s">
        <v>101</v>
      </c>
      <c r="B166" s="293">
        <v>1</v>
      </c>
      <c r="C166" s="293">
        <v>0</v>
      </c>
      <c r="D166" s="293">
        <f>B166+C166</f>
        <v>1</v>
      </c>
      <c r="E166" s="112"/>
    </row>
    <row r="167" spans="1:5" ht="7.5" customHeight="1">
      <c r="A167" s="112"/>
      <c r="B167" s="287"/>
      <c r="C167" s="287"/>
      <c r="D167" s="287"/>
      <c r="E167" s="112"/>
    </row>
    <row r="168" spans="1:5" ht="13.5" customHeight="1">
      <c r="A168" s="109" t="s">
        <v>139</v>
      </c>
      <c r="B168" s="406">
        <f>$B166*$D164</f>
        <v>978.6550419480872</v>
      </c>
      <c r="C168" s="406">
        <f>C166*D164</f>
        <v>0</v>
      </c>
      <c r="D168" s="406">
        <f>SUM(B168:C168)</f>
        <v>978.6550419480872</v>
      </c>
      <c r="E168" s="112"/>
    </row>
    <row r="169" spans="1:5" ht="7.5" customHeight="1">
      <c r="A169" s="112"/>
      <c r="B169" s="288"/>
      <c r="C169" s="288"/>
      <c r="D169" s="288"/>
      <c r="E169" s="112"/>
    </row>
    <row r="170" spans="1:5" ht="13.5" customHeight="1">
      <c r="A170" s="109" t="s">
        <v>164</v>
      </c>
      <c r="B170" s="295">
        <f>$B29</f>
        <v>848</v>
      </c>
      <c r="C170" s="294"/>
      <c r="D170" s="294"/>
      <c r="E170" s="112"/>
    </row>
    <row r="171" spans="1:5" ht="7.5" customHeight="1">
      <c r="A171" s="112"/>
      <c r="B171" s="289"/>
      <c r="C171" s="288"/>
      <c r="D171" s="288"/>
      <c r="E171" s="112"/>
    </row>
    <row r="172" spans="1:5" ht="13.5" customHeight="1">
      <c r="A172" s="109" t="s">
        <v>180</v>
      </c>
      <c r="B172" s="416">
        <f>IF(ISERROR($B168/$B170),0,$B168/$B170)</f>
        <v>1.1540743419199142</v>
      </c>
      <c r="C172" s="296"/>
      <c r="D172" s="296"/>
      <c r="E172" s="112"/>
    </row>
    <row r="173" spans="1:5" ht="12.75">
      <c r="A173" s="298"/>
      <c r="B173" s="299"/>
      <c r="C173" s="300"/>
      <c r="D173" s="299"/>
      <c r="E173" s="298"/>
    </row>
    <row r="174" spans="1:5" ht="12.75">
      <c r="A174" s="298"/>
      <c r="B174" s="299"/>
      <c r="C174" s="300"/>
      <c r="D174" s="299"/>
      <c r="E174" s="112"/>
    </row>
    <row r="175" spans="1:5" ht="12.75">
      <c r="A175" s="298"/>
      <c r="B175" s="299"/>
      <c r="C175" s="300"/>
      <c r="D175" s="299"/>
      <c r="E175" s="112"/>
    </row>
    <row r="176" ht="15.75">
      <c r="A176" s="54" t="s">
        <v>107</v>
      </c>
    </row>
    <row r="177" ht="10.5" customHeight="1">
      <c r="A177" s="131"/>
    </row>
    <row r="178" ht="9" customHeight="1">
      <c r="A178" s="132"/>
    </row>
    <row r="179" spans="1:7" ht="39" thickBot="1">
      <c r="A179" s="132"/>
      <c r="B179" s="284" t="s">
        <v>103</v>
      </c>
      <c r="C179" s="284" t="s">
        <v>104</v>
      </c>
      <c r="D179" s="284" t="s">
        <v>140</v>
      </c>
      <c r="E179" s="281"/>
      <c r="F179" s="281"/>
      <c r="G179" s="281"/>
    </row>
    <row r="180" spans="1:3" ht="15">
      <c r="A180" s="132"/>
      <c r="B180" s="30"/>
      <c r="C180" s="30"/>
    </row>
    <row r="181" spans="1:5" ht="12.75">
      <c r="A181" s="109" t="s">
        <v>138</v>
      </c>
      <c r="B181" s="292"/>
      <c r="C181" s="292"/>
      <c r="D181" s="411">
        <f>$G30</f>
        <v>6214.722101062212</v>
      </c>
      <c r="E181" s="112"/>
    </row>
    <row r="182" spans="1:5" ht="7.5" customHeight="1">
      <c r="A182" s="112"/>
      <c r="B182" s="285"/>
      <c r="C182" s="285"/>
      <c r="D182" s="286"/>
      <c r="E182" s="112"/>
    </row>
    <row r="183" spans="1:5" ht="12.75">
      <c r="A183" s="109" t="s">
        <v>101</v>
      </c>
      <c r="B183" s="293">
        <v>1</v>
      </c>
      <c r="C183" s="293">
        <v>0</v>
      </c>
      <c r="D183" s="293">
        <f>B183+C183</f>
        <v>1</v>
      </c>
      <c r="E183" s="112"/>
    </row>
    <row r="184" spans="1:5" ht="7.5" customHeight="1">
      <c r="A184" s="112"/>
      <c r="B184" s="287"/>
      <c r="C184" s="287"/>
      <c r="D184" s="287"/>
      <c r="E184" s="112"/>
    </row>
    <row r="185" spans="1:5" ht="13.5" customHeight="1">
      <c r="A185" s="109" t="s">
        <v>139</v>
      </c>
      <c r="B185" s="406">
        <f>$B183*$D181</f>
        <v>6214.722101062212</v>
      </c>
      <c r="C185" s="406">
        <f>C183*D181</f>
        <v>0</v>
      </c>
      <c r="D185" s="406">
        <f>SUM(B185:C185)</f>
        <v>6214.722101062212</v>
      </c>
      <c r="E185" s="112"/>
    </row>
    <row r="186" spans="1:5" ht="7.5" customHeight="1">
      <c r="A186" s="112"/>
      <c r="B186" s="288"/>
      <c r="C186" s="288"/>
      <c r="D186" s="288"/>
      <c r="E186" s="112"/>
    </row>
    <row r="187" spans="1:5" ht="13.5" customHeight="1">
      <c r="A187" s="109" t="s">
        <v>164</v>
      </c>
      <c r="B187" s="295">
        <f>$B30</f>
        <v>5491</v>
      </c>
      <c r="C187" s="294"/>
      <c r="D187" s="294"/>
      <c r="E187" s="112"/>
    </row>
    <row r="188" spans="1:5" ht="7.5" customHeight="1">
      <c r="A188" s="112"/>
      <c r="B188" s="289"/>
      <c r="C188" s="288"/>
      <c r="D188" s="288"/>
      <c r="E188" s="112"/>
    </row>
    <row r="189" spans="1:5" ht="13.5" customHeight="1">
      <c r="A189" s="109" t="s">
        <v>180</v>
      </c>
      <c r="B189" s="416">
        <f>IF(ISERROR($B185/$B187),0,$B185/$B187)</f>
        <v>1.131801511757824</v>
      </c>
      <c r="C189" s="296"/>
      <c r="D189" s="296"/>
      <c r="E189" s="112"/>
    </row>
  </sheetData>
  <mergeCells count="6">
    <mergeCell ref="A3:C3"/>
    <mergeCell ref="A6:C6"/>
    <mergeCell ref="A14:D14"/>
    <mergeCell ref="C33:F33"/>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90" max="255" man="1"/>
    <brk id="15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86"/>
  <sheetViews>
    <sheetView workbookViewId="0" topLeftCell="A13">
      <selection activeCell="C26" sqref="C26"/>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185</v>
      </c>
    </row>
    <row r="2" ht="18.75" thickBot="1">
      <c r="A2" s="116"/>
    </row>
    <row r="3" spans="1:7" ht="18">
      <c r="A3" s="503" t="str">
        <f>"Name of Utility:      "&amp;'Info Sheet'!B4</f>
        <v>Name of Utility:      PENINSULA WEST UTILITIES LIMITED</v>
      </c>
      <c r="B3" s="504"/>
      <c r="C3" s="504"/>
      <c r="D3" s="460" t="str">
        <f>'Info Sheet'!$B$21</f>
        <v>2005.V1.1</v>
      </c>
      <c r="E3" s="36"/>
      <c r="F3" s="116"/>
      <c r="G3" s="117"/>
    </row>
    <row r="4" spans="1:7" ht="18">
      <c r="A4" s="304" t="str">
        <f>"License Number:   "&amp;'Info Sheet'!B6</f>
        <v>License Number:   ED-2002-0555</v>
      </c>
      <c r="B4" s="27"/>
      <c r="C4" s="396"/>
      <c r="D4" s="399" t="str">
        <f>'Info Sheet'!B8</f>
        <v>RP-2005-0013</v>
      </c>
      <c r="E4" s="36"/>
      <c r="F4" s="116"/>
      <c r="G4" s="117"/>
    </row>
    <row r="5" spans="1:4" ht="15.75">
      <c r="A5" s="505" t="str">
        <f>"Name of Contact:  "&amp;'Info Sheet'!B12</f>
        <v>Name of Contact:  KAREN BUBISH</v>
      </c>
      <c r="B5" s="506"/>
      <c r="C5" s="394"/>
      <c r="D5" s="399" t="str">
        <f>'Info Sheet'!B10</f>
        <v>EB-2005-0066</v>
      </c>
    </row>
    <row r="6" spans="1:4" ht="18" customHeight="1">
      <c r="A6" s="502" t="str">
        <f>"E- Mail Address:    "&amp;'Info Sheet'!B14</f>
        <v>E- Mail Address:    karen@penwest.on.ca</v>
      </c>
      <c r="B6" s="507"/>
      <c r="C6" s="507"/>
      <c r="D6" s="100"/>
    </row>
    <row r="7" spans="1:4" ht="15.75">
      <c r="A7" s="304" t="str">
        <f>"Phone Number:     "&amp;'Info Sheet'!B16</f>
        <v>Phone Number:     905-563-5550</v>
      </c>
      <c r="B7" s="507" t="str">
        <f>'Info Sheet'!$C$16&amp;" "&amp;'Info Sheet'!$D$16</f>
        <v>Extension: 222</v>
      </c>
      <c r="C7" s="507"/>
      <c r="D7" s="100"/>
    </row>
    <row r="8" spans="1:4" ht="16.5" thickBot="1">
      <c r="A8" s="305" t="str">
        <f>"Date:                      "&amp;('Info Sheet'!B18)</f>
        <v>Date:                      JANUARY 14, 2005</v>
      </c>
      <c r="B8" s="306"/>
      <c r="C8" s="397"/>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18" t="s">
        <v>135</v>
      </c>
      <c r="B14" s="518"/>
      <c r="C14" s="518"/>
      <c r="D14" s="518"/>
      <c r="E14" s="34"/>
      <c r="F14" s="263"/>
      <c r="G14" s="388">
        <f>IF('6. Dec. 31, 2003 Reg. Assets'!D58="N/A",'6. Dec. 31, 2003 Reg. Assets'!D75,0)</f>
        <v>0</v>
      </c>
    </row>
    <row r="15" spans="1:7" ht="14.25">
      <c r="A15" s="141"/>
      <c r="B15" s="142"/>
      <c r="C15" s="143"/>
      <c r="D15" s="144"/>
      <c r="E15" s="144"/>
      <c r="F15" s="56"/>
      <c r="G15" s="56"/>
    </row>
    <row r="16" ht="12.75">
      <c r="C16" s="120"/>
    </row>
    <row r="17" spans="1:7" ht="15">
      <c r="A17" s="389" t="s">
        <v>186</v>
      </c>
      <c r="B17" s="138"/>
      <c r="C17" s="138"/>
      <c r="D17" s="138"/>
      <c r="E17" s="138"/>
      <c r="F17" s="138"/>
      <c r="G17" s="138"/>
    </row>
    <row r="18" spans="2:7" ht="12.75">
      <c r="B18" s="138"/>
      <c r="C18" s="138"/>
      <c r="D18" s="138"/>
      <c r="E18" s="138"/>
      <c r="F18" s="138"/>
      <c r="G18" s="138"/>
    </row>
    <row r="19" ht="13.5" thickBot="1"/>
    <row r="20" spans="1:8" ht="39" thickBot="1">
      <c r="A20" s="151" t="s">
        <v>176</v>
      </c>
      <c r="B20" s="152" t="s">
        <v>11</v>
      </c>
      <c r="C20" s="152" t="s">
        <v>12</v>
      </c>
      <c r="D20" s="152" t="s">
        <v>22</v>
      </c>
      <c r="E20" s="152" t="s">
        <v>13</v>
      </c>
      <c r="F20" s="152" t="s">
        <v>96</v>
      </c>
      <c r="G20" s="153" t="s">
        <v>69</v>
      </c>
      <c r="H20" s="121"/>
    </row>
    <row r="21" spans="1:7" ht="12.75">
      <c r="A21" s="86"/>
      <c r="B21" s="31"/>
      <c r="C21" s="122"/>
      <c r="D21" s="122"/>
      <c r="E21" s="31"/>
      <c r="F21" s="31"/>
      <c r="G21" s="100"/>
    </row>
    <row r="22" spans="1:8" ht="12.75">
      <c r="A22" s="148" t="s">
        <v>15</v>
      </c>
      <c r="B22" s="309">
        <f>'4. 2003 Data &amp; 2005 PILs'!B22</f>
        <v>0</v>
      </c>
      <c r="C22" s="309">
        <f>'4. 2003 Data &amp; 2005 PILs'!C22</f>
        <v>86537504</v>
      </c>
      <c r="D22" s="309">
        <f>'4. 2003 Data &amp; 2005 PILs'!D22</f>
        <v>7691</v>
      </c>
      <c r="E22" s="427">
        <f>'4. 2003 Data &amp; 2005 PILs'!E22</f>
        <v>1138629</v>
      </c>
      <c r="F22" s="267">
        <f>IF(ISERROR(E22/E$32),"",E22/E$32)</f>
        <v>0.24317427244990664</v>
      </c>
      <c r="G22" s="423">
        <f>IF(ISERROR($G$33*F22),0,$G$33*F22)</f>
        <v>0</v>
      </c>
      <c r="H22" s="269"/>
    </row>
    <row r="23" spans="1:8" ht="12.75">
      <c r="A23" s="148" t="s">
        <v>15</v>
      </c>
      <c r="B23" s="309">
        <f>'4. 2003 Data &amp; 2005 PILs'!B23</f>
        <v>0</v>
      </c>
      <c r="C23" s="309">
        <f>'4. 2003 Data &amp; 2005 PILs'!C23</f>
        <v>91033602</v>
      </c>
      <c r="D23" s="309">
        <f>'4. 2003 Data &amp; 2005 PILs'!D23</f>
        <v>4722</v>
      </c>
      <c r="E23" s="427">
        <f>'4. 2003 Data &amp; 2005 PILs'!E23</f>
        <v>770851</v>
      </c>
      <c r="F23" s="267">
        <f>IF(ISERROR(E23/E$32),"",E23/E$32)</f>
        <v>0.16462880454676895</v>
      </c>
      <c r="G23" s="423">
        <f>IF(ISERROR($G$33*F23),0,$G$33*F23)</f>
        <v>0</v>
      </c>
      <c r="H23" s="269"/>
    </row>
    <row r="24" spans="1:8" ht="12.75">
      <c r="A24" s="148" t="s">
        <v>70</v>
      </c>
      <c r="B24" s="309">
        <f>'4. 2003 Data &amp; 2005 PILs'!B24</f>
        <v>0</v>
      </c>
      <c r="C24" s="309">
        <f>'4. 2003 Data &amp; 2005 PILs'!C24</f>
        <v>41322391</v>
      </c>
      <c r="D24" s="309">
        <f>'4. 2003 Data &amp; 2005 PILs'!D24</f>
        <v>1288</v>
      </c>
      <c r="E24" s="427">
        <f>'4. 2003 Data &amp; 2005 PILs'!E24</f>
        <v>665481</v>
      </c>
      <c r="F24" s="267">
        <f aca="true" t="shared" si="0" ref="F24:F30">IF(ISERROR(E24/E$32),"",E24/E$32)</f>
        <v>0.14212518564364365</v>
      </c>
      <c r="G24" s="423">
        <f aca="true" t="shared" si="1" ref="G24:G30">IF(ISERROR($G$33*F24),0,$G$33*F24)</f>
        <v>0</v>
      </c>
      <c r="H24" s="269"/>
    </row>
    <row r="25" spans="1:8" ht="12.75">
      <c r="A25" s="148" t="s">
        <v>71</v>
      </c>
      <c r="B25" s="309">
        <f>'4. 2003 Data &amp; 2005 PILs'!B25</f>
        <v>694596</v>
      </c>
      <c r="C25" s="309">
        <f>'4. 2003 Data &amp; 2005 PILs'!C25</f>
        <v>145323804</v>
      </c>
      <c r="D25" s="309">
        <f>'4. 2003 Data &amp; 2005 PILs'!D25</f>
        <v>391</v>
      </c>
      <c r="E25" s="427">
        <f>'4. 2003 Data &amp; 2005 PILs'!E25</f>
        <v>2103630</v>
      </c>
      <c r="F25" s="267">
        <f t="shared" si="0"/>
        <v>0.4492672281786228</v>
      </c>
      <c r="G25" s="423">
        <f t="shared" si="1"/>
        <v>0</v>
      </c>
      <c r="H25" s="269"/>
    </row>
    <row r="26" spans="1:8" ht="12.75">
      <c r="A26" s="148" t="s">
        <v>72</v>
      </c>
      <c r="B26" s="309">
        <f>'4. 2003 Data &amp; 2005 PILs'!B26</f>
        <v>0</v>
      </c>
      <c r="C26" s="309">
        <f>'4. 2003 Data &amp; 2005 PILs'!C26</f>
        <v>0</v>
      </c>
      <c r="D26" s="309">
        <f>'4. 2003 Data &amp; 2005 PILs'!D26</f>
        <v>0</v>
      </c>
      <c r="E26" s="427">
        <f>'4. 2003 Data &amp; 2005 PILs'!E26</f>
        <v>0</v>
      </c>
      <c r="F26" s="267">
        <f t="shared" si="0"/>
        <v>0</v>
      </c>
      <c r="G26" s="423">
        <f t="shared" si="1"/>
        <v>0</v>
      </c>
      <c r="H26" s="271"/>
    </row>
    <row r="27" spans="1:8" ht="12.75">
      <c r="A27" s="148" t="s">
        <v>154</v>
      </c>
      <c r="B27" s="309">
        <f>'4. 2003 Data &amp; 2005 PILs'!B27</f>
        <v>0</v>
      </c>
      <c r="C27" s="309">
        <f>'4. 2003 Data &amp; 2005 PILs'!C27</f>
        <v>0</v>
      </c>
      <c r="D27" s="309">
        <f>'4. 2003 Data &amp; 2005 PILs'!D27</f>
        <v>0</v>
      </c>
      <c r="E27" s="427">
        <f>'4. 2003 Data &amp; 2005 PILs'!E27</f>
        <v>0</v>
      </c>
      <c r="F27" s="267">
        <f t="shared" si="0"/>
        <v>0</v>
      </c>
      <c r="G27" s="423">
        <f t="shared" si="1"/>
        <v>0</v>
      </c>
      <c r="H27" s="271"/>
    </row>
    <row r="28" spans="1:8" ht="12.75">
      <c r="A28" s="148" t="s">
        <v>73</v>
      </c>
      <c r="B28" s="309">
        <f>'4. 2003 Data &amp; 2005 PILs'!B28</f>
        <v>0</v>
      </c>
      <c r="C28" s="309">
        <f>'4. 2003 Data &amp; 2005 PILs'!C28</f>
        <v>0</v>
      </c>
      <c r="D28" s="309">
        <f>'4. 2003 Data &amp; 2005 PILs'!D28</f>
        <v>0</v>
      </c>
      <c r="E28" s="427">
        <f>'4. 2003 Data &amp; 2005 PILs'!E28</f>
        <v>0</v>
      </c>
      <c r="F28" s="267">
        <f t="shared" si="0"/>
        <v>0</v>
      </c>
      <c r="G28" s="423">
        <f t="shared" si="1"/>
        <v>0</v>
      </c>
      <c r="H28" s="271"/>
    </row>
    <row r="29" spans="1:8" ht="12.75">
      <c r="A29" s="148" t="s">
        <v>74</v>
      </c>
      <c r="B29" s="309">
        <f>'4. 2003 Data &amp; 2005 PILs'!B29</f>
        <v>848</v>
      </c>
      <c r="C29" s="309">
        <f>'4. 2003 Data &amp; 2005 PILs'!C29</f>
        <v>335617</v>
      </c>
      <c r="D29" s="309">
        <f>'4. 2003 Data &amp; 2005 PILs'!D29</f>
        <v>530</v>
      </c>
      <c r="E29" s="427">
        <f>'4. 2003 Data &amp; 2005 PILs'!E29</f>
        <v>528</v>
      </c>
      <c r="F29" s="267">
        <f t="shared" si="0"/>
        <v>0.0001127636972653522</v>
      </c>
      <c r="G29" s="423">
        <f t="shared" si="1"/>
        <v>0</v>
      </c>
      <c r="H29" s="269"/>
    </row>
    <row r="30" spans="1:8" ht="12.75">
      <c r="A30" s="148" t="s">
        <v>75</v>
      </c>
      <c r="B30" s="365">
        <f>'4. 2003 Data &amp; 2005 PILs'!B30</f>
        <v>5491</v>
      </c>
      <c r="C30" s="365">
        <f>'4. 2003 Data &amp; 2005 PILs'!C30</f>
        <v>2131258</v>
      </c>
      <c r="D30" s="365">
        <f>'4. 2003 Data &amp; 2005 PILs'!D30</f>
        <v>2252</v>
      </c>
      <c r="E30" s="428">
        <f>'4. 2003 Data &amp; 2005 PILs'!E30</f>
        <v>3239</v>
      </c>
      <c r="F30" s="275">
        <f t="shared" si="0"/>
        <v>0.0006917454837925678</v>
      </c>
      <c r="G30" s="424">
        <f t="shared" si="1"/>
        <v>0</v>
      </c>
      <c r="H30" s="272"/>
    </row>
    <row r="31" spans="1:8" ht="12.75">
      <c r="A31" s="148"/>
      <c r="B31" s="265"/>
      <c r="C31" s="276"/>
      <c r="D31" s="277"/>
      <c r="E31" s="429"/>
      <c r="F31" s="278"/>
      <c r="G31" s="423"/>
      <c r="H31" s="56"/>
    </row>
    <row r="32" spans="1:8" ht="12.75">
      <c r="A32" s="148" t="s">
        <v>14</v>
      </c>
      <c r="B32" s="31"/>
      <c r="C32" s="154">
        <f>SUM(C22:C30)</f>
        <v>366684176</v>
      </c>
      <c r="D32" s="154">
        <f>SUM(D22:D30)</f>
        <v>16874</v>
      </c>
      <c r="E32" s="430">
        <f>SUM(E22:E30)</f>
        <v>4682358</v>
      </c>
      <c r="F32" s="156">
        <f>SUM(F22:F30)</f>
        <v>0.9999999999999999</v>
      </c>
      <c r="G32" s="425">
        <f>SUM(G22:G30)</f>
        <v>0</v>
      </c>
      <c r="H32" s="56"/>
    </row>
    <row r="33" spans="1:8" ht="12.75">
      <c r="A33" s="86"/>
      <c r="B33" s="31"/>
      <c r="C33" s="521" t="s">
        <v>149</v>
      </c>
      <c r="D33" s="521"/>
      <c r="E33" s="521"/>
      <c r="F33" s="522"/>
      <c r="G33" s="426">
        <f>G14</f>
        <v>0</v>
      </c>
      <c r="H33" s="279"/>
    </row>
    <row r="34" spans="1:7" ht="13.5" thickBot="1">
      <c r="A34" s="94"/>
      <c r="B34" s="149"/>
      <c r="C34" s="149"/>
      <c r="D34" s="149"/>
      <c r="E34" s="149"/>
      <c r="F34" s="149"/>
      <c r="G34" s="150"/>
    </row>
    <row r="36" ht="15.75">
      <c r="A36" s="164" t="s">
        <v>183</v>
      </c>
    </row>
    <row r="37" ht="15.75">
      <c r="A37" s="54"/>
    </row>
    <row r="38" ht="15.75">
      <c r="A38" s="54" t="s">
        <v>231</v>
      </c>
    </row>
    <row r="39" ht="10.5" customHeight="1">
      <c r="A39" s="131"/>
    </row>
    <row r="40" ht="9" customHeight="1">
      <c r="A40" s="132"/>
    </row>
    <row r="41" spans="1:7" ht="39" thickBot="1">
      <c r="A41" s="132"/>
      <c r="B41" s="284" t="s">
        <v>103</v>
      </c>
      <c r="C41" s="284" t="s">
        <v>104</v>
      </c>
      <c r="D41" s="284" t="s">
        <v>140</v>
      </c>
      <c r="E41" s="281"/>
      <c r="F41" s="281"/>
      <c r="G41" s="281"/>
    </row>
    <row r="42" spans="1:3" ht="15">
      <c r="A42" s="132"/>
      <c r="B42" s="30"/>
      <c r="C42" s="30"/>
    </row>
    <row r="43" spans="1:5" ht="12.75">
      <c r="A43" s="109" t="s">
        <v>138</v>
      </c>
      <c r="B43" s="292"/>
      <c r="C43" s="292"/>
      <c r="D43" s="411">
        <f>$G22</f>
        <v>0</v>
      </c>
      <c r="E43" s="112"/>
    </row>
    <row r="44" spans="1:5" ht="7.5" customHeight="1">
      <c r="A44" s="112"/>
      <c r="B44" s="285"/>
      <c r="C44" s="285"/>
      <c r="D44" s="286"/>
      <c r="E44" s="112"/>
    </row>
    <row r="45" spans="1:5" ht="12.75">
      <c r="A45" s="109" t="s">
        <v>101</v>
      </c>
      <c r="B45" s="293">
        <v>1</v>
      </c>
      <c r="C45" s="293">
        <v>0</v>
      </c>
      <c r="D45" s="293">
        <f>B45+C45</f>
        <v>1</v>
      </c>
      <c r="E45" s="112"/>
    </row>
    <row r="46" spans="1:5" ht="7.5" customHeight="1">
      <c r="A46" s="112"/>
      <c r="B46" s="287"/>
      <c r="C46" s="287"/>
      <c r="D46" s="287"/>
      <c r="E46" s="112"/>
    </row>
    <row r="47" spans="1:5" ht="13.5" customHeight="1">
      <c r="A47" s="109" t="s">
        <v>139</v>
      </c>
      <c r="B47" s="406">
        <f>$B45*$D43</f>
        <v>0</v>
      </c>
      <c r="C47" s="406">
        <f>C45*D43</f>
        <v>0</v>
      </c>
      <c r="D47" s="406">
        <f>SUM(B47:C47)</f>
        <v>0</v>
      </c>
      <c r="E47" s="112"/>
    </row>
    <row r="48" spans="1:5" ht="7.5" customHeight="1">
      <c r="A48" s="112"/>
      <c r="B48" s="288"/>
      <c r="C48" s="288"/>
      <c r="D48" s="288"/>
      <c r="E48" s="112"/>
    </row>
    <row r="49" spans="1:5" ht="13.5" customHeight="1">
      <c r="A49" s="109" t="s">
        <v>99</v>
      </c>
      <c r="B49" s="295">
        <f>$C22</f>
        <v>86537504</v>
      </c>
      <c r="C49" s="294"/>
      <c r="D49" s="294"/>
      <c r="E49" s="112"/>
    </row>
    <row r="50" spans="1:5" ht="7.5" customHeight="1">
      <c r="A50" s="112"/>
      <c r="B50" s="289"/>
      <c r="C50" s="288"/>
      <c r="D50" s="288"/>
      <c r="E50" s="112"/>
    </row>
    <row r="51" spans="1:5" ht="13.5" customHeight="1">
      <c r="A51" s="109" t="s">
        <v>184</v>
      </c>
      <c r="B51" s="416">
        <f>IF(ISERROR($B47/$B49),0,$B47/$B49)</f>
        <v>0</v>
      </c>
      <c r="C51" s="296"/>
      <c r="D51" s="296"/>
      <c r="E51" s="112"/>
    </row>
    <row r="52" spans="1:5" ht="13.5" customHeight="1">
      <c r="A52" s="298"/>
      <c r="B52" s="488"/>
      <c r="C52" s="489"/>
      <c r="D52" s="489"/>
      <c r="E52" s="112"/>
    </row>
    <row r="53" ht="13.5" customHeight="1">
      <c r="A53" s="54" t="s">
        <v>230</v>
      </c>
    </row>
    <row r="54" ht="13.5" customHeight="1">
      <c r="A54" s="131"/>
    </row>
    <row r="55" ht="13.5" customHeight="1">
      <c r="A55" s="132"/>
    </row>
    <row r="56" spans="1:5" ht="13.5" customHeight="1" thickBot="1">
      <c r="A56" s="132"/>
      <c r="B56" s="284" t="s">
        <v>103</v>
      </c>
      <c r="C56" s="284" t="s">
        <v>104</v>
      </c>
      <c r="D56" s="284" t="s">
        <v>140</v>
      </c>
      <c r="E56" s="281"/>
    </row>
    <row r="57" spans="1:3" ht="13.5" customHeight="1">
      <c r="A57" s="132"/>
      <c r="B57" s="30"/>
      <c r="C57" s="30"/>
    </row>
    <row r="58" spans="1:5" ht="13.5" customHeight="1">
      <c r="A58" s="109" t="s">
        <v>138</v>
      </c>
      <c r="B58" s="292"/>
      <c r="C58" s="292"/>
      <c r="D58" s="411">
        <f>G23</f>
        <v>0</v>
      </c>
      <c r="E58" s="112"/>
    </row>
    <row r="59" spans="1:5" ht="13.5" customHeight="1">
      <c r="A59" s="112"/>
      <c r="B59" s="285"/>
      <c r="C59" s="285"/>
      <c r="D59" s="286"/>
      <c r="E59" s="112"/>
    </row>
    <row r="60" spans="1:5" ht="13.5" customHeight="1">
      <c r="A60" s="109" t="s">
        <v>101</v>
      </c>
      <c r="B60" s="293">
        <v>1</v>
      </c>
      <c r="C60" s="293">
        <v>0</v>
      </c>
      <c r="D60" s="293">
        <f>B60+C60</f>
        <v>1</v>
      </c>
      <c r="E60" s="112"/>
    </row>
    <row r="61" spans="1:5" ht="13.5" customHeight="1">
      <c r="A61" s="112"/>
      <c r="B61" s="287"/>
      <c r="C61" s="287"/>
      <c r="D61" s="287"/>
      <c r="E61" s="112"/>
    </row>
    <row r="62" spans="1:5" ht="13.5" customHeight="1">
      <c r="A62" s="109" t="s">
        <v>139</v>
      </c>
      <c r="B62" s="406">
        <f>$B60*$D58</f>
        <v>0</v>
      </c>
      <c r="C62" s="406">
        <f>C60*D58</f>
        <v>0</v>
      </c>
      <c r="D62" s="406">
        <f>SUM(B62:C62)</f>
        <v>0</v>
      </c>
      <c r="E62" s="112"/>
    </row>
    <row r="63" spans="1:5" ht="13.5" customHeight="1">
      <c r="A63" s="112"/>
      <c r="B63" s="288"/>
      <c r="C63" s="288"/>
      <c r="D63" s="288"/>
      <c r="E63" s="112"/>
    </row>
    <row r="64" spans="1:5" ht="13.5" customHeight="1">
      <c r="A64" s="109" t="s">
        <v>99</v>
      </c>
      <c r="B64" s="295">
        <f>C23</f>
        <v>91033602</v>
      </c>
      <c r="C64" s="294"/>
      <c r="D64" s="294"/>
      <c r="E64" s="112"/>
    </row>
    <row r="65" spans="1:5" ht="13.5" customHeight="1">
      <c r="A65" s="112"/>
      <c r="B65" s="289"/>
      <c r="C65" s="288"/>
      <c r="D65" s="288"/>
      <c r="E65" s="112"/>
    </row>
    <row r="66" spans="1:5" ht="13.5" customHeight="1">
      <c r="A66" s="109" t="s">
        <v>184</v>
      </c>
      <c r="B66" s="416">
        <f>IF(ISERROR($B62/$B64),0,$B62/$B64)</f>
        <v>0</v>
      </c>
      <c r="C66" s="296"/>
      <c r="D66" s="296"/>
      <c r="E66" s="112"/>
    </row>
    <row r="67" spans="1:5" ht="13.5" customHeight="1">
      <c r="A67" s="298"/>
      <c r="B67" s="488"/>
      <c r="C67" s="489"/>
      <c r="D67" s="489"/>
      <c r="E67" s="112"/>
    </row>
    <row r="68" spans="1:5" ht="13.5" customHeight="1">
      <c r="A68" s="298"/>
      <c r="B68" s="488"/>
      <c r="C68" s="489"/>
      <c r="D68" s="489"/>
      <c r="E68" s="112"/>
    </row>
    <row r="69" spans="1:4" ht="15">
      <c r="A69" s="132"/>
      <c r="B69" s="56"/>
      <c r="C69" s="56"/>
      <c r="D69" s="56"/>
    </row>
    <row r="70" spans="2:4" ht="12.75">
      <c r="B70" s="56"/>
      <c r="C70" s="56"/>
      <c r="D70" s="56"/>
    </row>
    <row r="71" ht="15.75">
      <c r="A71" s="54" t="s">
        <v>106</v>
      </c>
    </row>
    <row r="72" ht="10.5" customHeight="1">
      <c r="A72" s="131"/>
    </row>
    <row r="73" ht="9" customHeight="1">
      <c r="A73" s="132"/>
    </row>
    <row r="74" spans="1:7" ht="39" thickBot="1">
      <c r="A74" s="132"/>
      <c r="B74" s="284" t="s">
        <v>103</v>
      </c>
      <c r="C74" s="284" t="s">
        <v>104</v>
      </c>
      <c r="D74" s="284" t="s">
        <v>140</v>
      </c>
      <c r="E74" s="281"/>
      <c r="F74" s="281"/>
      <c r="G74" s="281"/>
    </row>
    <row r="75" spans="1:3" ht="15">
      <c r="A75" s="132"/>
      <c r="B75" s="30"/>
      <c r="C75" s="30"/>
    </row>
    <row r="76" spans="1:5" ht="12.75">
      <c r="A76" s="109" t="s">
        <v>138</v>
      </c>
      <c r="B76" s="292"/>
      <c r="C76" s="292"/>
      <c r="D76" s="411">
        <f>$G24</f>
        <v>0</v>
      </c>
      <c r="E76" s="112"/>
    </row>
    <row r="77" spans="1:5" ht="7.5" customHeight="1">
      <c r="A77" s="112"/>
      <c r="B77" s="285"/>
      <c r="C77" s="285"/>
      <c r="D77" s="286"/>
      <c r="E77" s="112"/>
    </row>
    <row r="78" spans="1:5" ht="12.75">
      <c r="A78" s="109" t="s">
        <v>101</v>
      </c>
      <c r="B78" s="293">
        <v>1</v>
      </c>
      <c r="C78" s="293">
        <v>0</v>
      </c>
      <c r="D78" s="293">
        <f>B78+C78</f>
        <v>1</v>
      </c>
      <c r="E78" s="112"/>
    </row>
    <row r="79" spans="1:5" ht="7.5" customHeight="1">
      <c r="A79" s="112"/>
      <c r="B79" s="287"/>
      <c r="C79" s="287"/>
      <c r="D79" s="287"/>
      <c r="E79" s="112"/>
    </row>
    <row r="80" spans="1:5" ht="13.5" customHeight="1">
      <c r="A80" s="109" t="s">
        <v>139</v>
      </c>
      <c r="B80" s="406">
        <f>$B78*$D76</f>
        <v>0</v>
      </c>
      <c r="C80" s="406">
        <f>C78*D76</f>
        <v>0</v>
      </c>
      <c r="D80" s="406">
        <f>SUM(B80:C80)</f>
        <v>0</v>
      </c>
      <c r="E80" s="112"/>
    </row>
    <row r="81" spans="1:5" ht="7.5" customHeight="1">
      <c r="A81" s="112"/>
      <c r="B81" s="288"/>
      <c r="C81" s="288"/>
      <c r="D81" s="288"/>
      <c r="E81" s="112"/>
    </row>
    <row r="82" spans="1:5" ht="13.5" customHeight="1">
      <c r="A82" s="109" t="s">
        <v>99</v>
      </c>
      <c r="B82" s="295">
        <f>$C24</f>
        <v>41322391</v>
      </c>
      <c r="C82" s="294"/>
      <c r="D82" s="294"/>
      <c r="E82" s="112"/>
    </row>
    <row r="83" spans="1:5" ht="7.5" customHeight="1">
      <c r="A83" s="112"/>
      <c r="B83" s="289"/>
      <c r="C83" s="288"/>
      <c r="D83" s="288"/>
      <c r="E83" s="112"/>
    </row>
    <row r="84" spans="1:5" ht="13.5" customHeight="1">
      <c r="A84" s="109" t="s">
        <v>184</v>
      </c>
      <c r="B84" s="416">
        <f>IF(ISERROR($B80/$B82),0,$B80/$B82)</f>
        <v>0</v>
      </c>
      <c r="C84" s="296"/>
      <c r="D84" s="296"/>
      <c r="E84" s="112"/>
    </row>
    <row r="85" spans="1:5" ht="12.75">
      <c r="A85" s="112"/>
      <c r="B85" s="290"/>
      <c r="C85" s="291"/>
      <c r="D85" s="291"/>
      <c r="E85" s="112"/>
    </row>
    <row r="86" spans="1:4" ht="15">
      <c r="A86" s="132"/>
      <c r="B86" s="56"/>
      <c r="C86" s="56"/>
      <c r="D86" s="56"/>
    </row>
    <row r="87" spans="2:4" ht="12.75">
      <c r="B87" s="56"/>
      <c r="C87" s="56"/>
      <c r="D87" s="56"/>
    </row>
    <row r="88" ht="15.75">
      <c r="A88" s="54" t="s">
        <v>207</v>
      </c>
    </row>
    <row r="89" ht="10.5" customHeight="1">
      <c r="A89" s="131"/>
    </row>
    <row r="90" ht="9" customHeight="1">
      <c r="A90" s="132"/>
    </row>
    <row r="91" spans="1:7" ht="39" thickBot="1">
      <c r="A91" s="132"/>
      <c r="B91" s="284" t="s">
        <v>103</v>
      </c>
      <c r="C91" s="284" t="s">
        <v>104</v>
      </c>
      <c r="D91" s="284" t="s">
        <v>140</v>
      </c>
      <c r="E91" s="281"/>
      <c r="F91" s="281"/>
      <c r="G91" s="281"/>
    </row>
    <row r="92" spans="1:3" ht="15">
      <c r="A92" s="132"/>
      <c r="B92" s="30"/>
      <c r="C92" s="30"/>
    </row>
    <row r="93" spans="1:5" ht="12.75">
      <c r="A93" s="109" t="s">
        <v>138</v>
      </c>
      <c r="B93" s="292"/>
      <c r="C93" s="292"/>
      <c r="D93" s="411">
        <f>$G25</f>
        <v>0</v>
      </c>
      <c r="E93" s="112"/>
    </row>
    <row r="94" spans="1:5" ht="7.5" customHeight="1">
      <c r="A94" s="112"/>
      <c r="B94" s="285"/>
      <c r="C94" s="285"/>
      <c r="D94" s="286"/>
      <c r="E94" s="112"/>
    </row>
    <row r="95" spans="1:5" ht="12.75">
      <c r="A95" s="109" t="s">
        <v>101</v>
      </c>
      <c r="B95" s="293">
        <v>1</v>
      </c>
      <c r="C95" s="293">
        <v>0</v>
      </c>
      <c r="D95" s="293">
        <f>B95+C95</f>
        <v>1</v>
      </c>
      <c r="E95" s="112"/>
    </row>
    <row r="96" spans="1:5" ht="7.5" customHeight="1">
      <c r="A96" s="112"/>
      <c r="B96" s="287"/>
      <c r="C96" s="287"/>
      <c r="D96" s="287"/>
      <c r="E96" s="112"/>
    </row>
    <row r="97" spans="1:5" ht="13.5" customHeight="1">
      <c r="A97" s="109" t="s">
        <v>139</v>
      </c>
      <c r="B97" s="406">
        <f>$B95*$D93</f>
        <v>0</v>
      </c>
      <c r="C97" s="406">
        <f>C95*D93</f>
        <v>0</v>
      </c>
      <c r="D97" s="406">
        <f>SUM(B97:C97)</f>
        <v>0</v>
      </c>
      <c r="E97" s="112"/>
    </row>
    <row r="98" spans="1:5" ht="7.5" customHeight="1">
      <c r="A98" s="112"/>
      <c r="B98" s="288"/>
      <c r="C98" s="288"/>
      <c r="D98" s="288"/>
      <c r="E98" s="112"/>
    </row>
    <row r="99" spans="1:5" ht="13.5" customHeight="1">
      <c r="A99" s="109" t="s">
        <v>164</v>
      </c>
      <c r="B99" s="295">
        <f>$B25</f>
        <v>694596</v>
      </c>
      <c r="C99" s="294"/>
      <c r="D99" s="294"/>
      <c r="E99" s="112"/>
    </row>
    <row r="100" spans="1:5" ht="7.5" customHeight="1">
      <c r="A100" s="112"/>
      <c r="B100" s="289"/>
      <c r="C100" s="288"/>
      <c r="D100" s="288"/>
      <c r="E100" s="112"/>
    </row>
    <row r="101" spans="1:5" ht="13.5" customHeight="1">
      <c r="A101" s="109" t="s">
        <v>180</v>
      </c>
      <c r="B101" s="416">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206</v>
      </c>
    </row>
    <row r="106" ht="10.5" customHeight="1">
      <c r="A106" s="131"/>
    </row>
    <row r="107" ht="9" customHeight="1">
      <c r="A107" s="132"/>
    </row>
    <row r="108" spans="1:7" ht="39" thickBot="1">
      <c r="A108" s="132"/>
      <c r="B108" s="284" t="s">
        <v>103</v>
      </c>
      <c r="C108" s="284" t="s">
        <v>104</v>
      </c>
      <c r="D108" s="284" t="s">
        <v>140</v>
      </c>
      <c r="E108" s="281"/>
      <c r="F108" s="281"/>
      <c r="G108" s="281"/>
    </row>
    <row r="109" spans="1:3" ht="15">
      <c r="A109" s="132"/>
      <c r="B109" s="30"/>
      <c r="C109" s="30"/>
    </row>
    <row r="110" spans="1:5" ht="12.75">
      <c r="A110" s="109" t="s">
        <v>138</v>
      </c>
      <c r="B110" s="292"/>
      <c r="C110" s="292"/>
      <c r="D110" s="411">
        <f>$G26</f>
        <v>0</v>
      </c>
      <c r="E110" s="112"/>
    </row>
    <row r="111" spans="1:5" ht="7.5" customHeight="1">
      <c r="A111" s="112"/>
      <c r="B111" s="285"/>
      <c r="C111" s="285"/>
      <c r="D111" s="286"/>
      <c r="E111" s="112"/>
    </row>
    <row r="112" spans="1:5" ht="12.75">
      <c r="A112" s="109" t="s">
        <v>101</v>
      </c>
      <c r="B112" s="293">
        <v>1</v>
      </c>
      <c r="C112" s="293">
        <v>0</v>
      </c>
      <c r="D112" s="293">
        <f>B112+C112</f>
        <v>1</v>
      </c>
      <c r="E112" s="112"/>
    </row>
    <row r="113" spans="1:5" ht="7.5" customHeight="1">
      <c r="A113" s="112"/>
      <c r="B113" s="287"/>
      <c r="C113" s="287"/>
      <c r="D113" s="287"/>
      <c r="E113" s="112"/>
    </row>
    <row r="114" spans="1:5" ht="13.5" customHeight="1">
      <c r="A114" s="109" t="s">
        <v>139</v>
      </c>
      <c r="B114" s="406">
        <f>$B112*$D110</f>
        <v>0</v>
      </c>
      <c r="C114" s="406">
        <f>C112*D110</f>
        <v>0</v>
      </c>
      <c r="D114" s="406">
        <f>SUM(B114:C114)</f>
        <v>0</v>
      </c>
      <c r="E114" s="112"/>
    </row>
    <row r="115" spans="1:5" ht="7.5" customHeight="1">
      <c r="A115" s="112"/>
      <c r="B115" s="288"/>
      <c r="C115" s="288"/>
      <c r="D115" s="288"/>
      <c r="E115" s="112"/>
    </row>
    <row r="116" spans="1:5" ht="13.5" customHeight="1">
      <c r="A116" s="109" t="s">
        <v>164</v>
      </c>
      <c r="B116" s="295">
        <f>$B26</f>
        <v>0</v>
      </c>
      <c r="C116" s="294"/>
      <c r="D116" s="294"/>
      <c r="E116" s="112"/>
    </row>
    <row r="117" spans="1:5" ht="7.5" customHeight="1">
      <c r="A117" s="112"/>
      <c r="B117" s="289"/>
      <c r="C117" s="288"/>
      <c r="D117" s="288"/>
      <c r="E117" s="112"/>
    </row>
    <row r="118" spans="1:5" ht="13.5" customHeight="1">
      <c r="A118" s="109" t="s">
        <v>180</v>
      </c>
      <c r="B118" s="416">
        <f>IF(ISERROR($B114/$B116),0,$B114/$B116)</f>
        <v>0</v>
      </c>
      <c r="C118" s="296"/>
      <c r="D118" s="296"/>
      <c r="E118" s="112"/>
    </row>
    <row r="119" spans="1:5" s="31" customFormat="1" ht="12.75">
      <c r="A119" s="298"/>
      <c r="B119" s="299"/>
      <c r="C119" s="300"/>
      <c r="D119" s="299"/>
      <c r="E119" s="298"/>
    </row>
    <row r="120" spans="1:5" ht="12.75">
      <c r="A120" s="298"/>
      <c r="B120" s="299"/>
      <c r="C120" s="300"/>
      <c r="D120" s="299"/>
      <c r="E120" s="112"/>
    </row>
    <row r="121" spans="1:5" ht="12.75">
      <c r="A121" s="298"/>
      <c r="B121" s="299"/>
      <c r="C121" s="300"/>
      <c r="D121" s="299"/>
      <c r="E121" s="112"/>
    </row>
    <row r="122" ht="15.75">
      <c r="A122" s="54" t="s">
        <v>16</v>
      </c>
    </row>
    <row r="123" ht="10.5" customHeight="1">
      <c r="A123" s="131"/>
    </row>
    <row r="124" ht="9" customHeight="1">
      <c r="A124" s="132"/>
    </row>
    <row r="125" spans="1:7" ht="39" thickBot="1">
      <c r="A125" s="132"/>
      <c r="B125" s="284" t="s">
        <v>103</v>
      </c>
      <c r="C125" s="284" t="s">
        <v>104</v>
      </c>
      <c r="D125" s="284" t="s">
        <v>140</v>
      </c>
      <c r="E125" s="281"/>
      <c r="F125" s="281"/>
      <c r="G125" s="281"/>
    </row>
    <row r="126" spans="1:3" ht="15">
      <c r="A126" s="132"/>
      <c r="B126" s="30"/>
      <c r="C126" s="30"/>
    </row>
    <row r="127" spans="1:5" ht="12.75">
      <c r="A127" s="109" t="s">
        <v>138</v>
      </c>
      <c r="B127" s="292"/>
      <c r="C127" s="292"/>
      <c r="D127" s="411">
        <f>$G27</f>
        <v>0</v>
      </c>
      <c r="E127" s="112"/>
    </row>
    <row r="128" spans="1:5" ht="7.5" customHeight="1">
      <c r="A128" s="112"/>
      <c r="B128" s="285"/>
      <c r="C128" s="285"/>
      <c r="D128" s="286"/>
      <c r="E128" s="112"/>
    </row>
    <row r="129" spans="1:5" ht="12.75">
      <c r="A129" s="109" t="s">
        <v>101</v>
      </c>
      <c r="B129" s="293">
        <v>1</v>
      </c>
      <c r="C129" s="293">
        <v>0</v>
      </c>
      <c r="D129" s="293">
        <f>B129+C129</f>
        <v>1</v>
      </c>
      <c r="E129" s="112"/>
    </row>
    <row r="130" spans="1:5" ht="7.5" customHeight="1">
      <c r="A130" s="112"/>
      <c r="B130" s="287"/>
      <c r="C130" s="287"/>
      <c r="D130" s="287"/>
      <c r="E130" s="112"/>
    </row>
    <row r="131" spans="1:5" ht="13.5" customHeight="1">
      <c r="A131" s="109" t="s">
        <v>139</v>
      </c>
      <c r="B131" s="406">
        <f>$B129*$D127</f>
        <v>0</v>
      </c>
      <c r="C131" s="406">
        <f>C129*D127</f>
        <v>0</v>
      </c>
      <c r="D131" s="406">
        <f>SUM(B131:C131)</f>
        <v>0</v>
      </c>
      <c r="E131" s="112"/>
    </row>
    <row r="132" spans="1:5" ht="7.5" customHeight="1">
      <c r="A132" s="112"/>
      <c r="B132" s="288"/>
      <c r="C132" s="288"/>
      <c r="D132" s="288"/>
      <c r="E132" s="112"/>
    </row>
    <row r="133" spans="1:5" ht="13.5" customHeight="1">
      <c r="A133" s="109" t="s">
        <v>164</v>
      </c>
      <c r="B133" s="295">
        <f>$B27</f>
        <v>0</v>
      </c>
      <c r="C133" s="294"/>
      <c r="D133" s="294"/>
      <c r="E133" s="112"/>
    </row>
    <row r="134" spans="1:5" ht="7.5" customHeight="1">
      <c r="A134" s="112"/>
      <c r="B134" s="289"/>
      <c r="C134" s="288"/>
      <c r="D134" s="288"/>
      <c r="E134" s="112"/>
    </row>
    <row r="135" spans="1:5" ht="13.5" customHeight="1">
      <c r="A135" s="109" t="s">
        <v>180</v>
      </c>
      <c r="B135" s="416">
        <f>IF(ISERROR($B131/$B133),0,$B131/$B133)</f>
        <v>0</v>
      </c>
      <c r="C135" s="296"/>
      <c r="D135" s="296"/>
      <c r="E135" s="112"/>
    </row>
    <row r="136" spans="1:5" ht="12.75">
      <c r="A136" s="112"/>
      <c r="B136" s="290"/>
      <c r="C136" s="291"/>
      <c r="D136" s="291"/>
      <c r="E136" s="112"/>
    </row>
    <row r="137" spans="1:4" ht="15">
      <c r="A137" s="132"/>
      <c r="B137" s="56"/>
      <c r="C137" s="56"/>
      <c r="D137" s="56"/>
    </row>
    <row r="138" spans="2:4" ht="12.75">
      <c r="B138" s="56"/>
      <c r="C138" s="56"/>
      <c r="D138" s="56"/>
    </row>
    <row r="139" ht="15.75">
      <c r="A139" s="54" t="s">
        <v>17</v>
      </c>
    </row>
    <row r="140" ht="10.5" customHeight="1">
      <c r="A140" s="131"/>
    </row>
    <row r="141" ht="9" customHeight="1">
      <c r="A141" s="132"/>
    </row>
    <row r="142" spans="1:7" ht="39" thickBot="1">
      <c r="A142" s="132"/>
      <c r="B142" s="284" t="s">
        <v>103</v>
      </c>
      <c r="C142" s="284" t="s">
        <v>104</v>
      </c>
      <c r="D142" s="284" t="s">
        <v>140</v>
      </c>
      <c r="E142" s="281"/>
      <c r="F142" s="281"/>
      <c r="G142" s="281"/>
    </row>
    <row r="143" spans="1:3" ht="15">
      <c r="A143" s="132"/>
      <c r="B143" s="30"/>
      <c r="C143" s="30"/>
    </row>
    <row r="144" spans="1:5" ht="12.75">
      <c r="A144" s="109" t="s">
        <v>138</v>
      </c>
      <c r="B144" s="292"/>
      <c r="C144" s="292"/>
      <c r="D144" s="411">
        <f>$G28</f>
        <v>0</v>
      </c>
      <c r="E144" s="112"/>
    </row>
    <row r="145" spans="1:5" ht="7.5" customHeight="1">
      <c r="A145" s="112"/>
      <c r="B145" s="285"/>
      <c r="C145" s="285"/>
      <c r="D145" s="286"/>
      <c r="E145" s="112"/>
    </row>
    <row r="146" spans="1:5" ht="12.75">
      <c r="A146" s="109" t="s">
        <v>101</v>
      </c>
      <c r="B146" s="293">
        <v>1</v>
      </c>
      <c r="C146" s="293">
        <v>0</v>
      </c>
      <c r="D146" s="293">
        <f>B146+C146</f>
        <v>1</v>
      </c>
      <c r="E146" s="112"/>
    </row>
    <row r="147" spans="1:5" ht="7.5" customHeight="1">
      <c r="A147" s="112"/>
      <c r="B147" s="287"/>
      <c r="C147" s="287"/>
      <c r="D147" s="287"/>
      <c r="E147" s="112"/>
    </row>
    <row r="148" spans="1:5" ht="13.5" customHeight="1">
      <c r="A148" s="109" t="s">
        <v>139</v>
      </c>
      <c r="B148" s="406">
        <f>$B146*$D144</f>
        <v>0</v>
      </c>
      <c r="C148" s="406">
        <f>C146*D144</f>
        <v>0</v>
      </c>
      <c r="D148" s="406">
        <f>SUM(B148:C148)</f>
        <v>0</v>
      </c>
      <c r="E148" s="112"/>
    </row>
    <row r="149" spans="1:5" ht="7.5" customHeight="1">
      <c r="A149" s="112"/>
      <c r="B149" s="288"/>
      <c r="C149" s="288"/>
      <c r="D149" s="288"/>
      <c r="E149" s="112"/>
    </row>
    <row r="150" spans="1:5" ht="13.5" customHeight="1">
      <c r="A150" s="109" t="s">
        <v>164</v>
      </c>
      <c r="B150" s="295">
        <f>$B28</f>
        <v>0</v>
      </c>
      <c r="C150" s="294"/>
      <c r="D150" s="294"/>
      <c r="E150" s="112"/>
    </row>
    <row r="151" spans="1:5" ht="7.5" customHeight="1">
      <c r="A151" s="112"/>
      <c r="B151" s="289"/>
      <c r="C151" s="288"/>
      <c r="D151" s="288"/>
      <c r="E151" s="112"/>
    </row>
    <row r="152" spans="1:5" ht="13.5" customHeight="1">
      <c r="A152" s="109" t="s">
        <v>180</v>
      </c>
      <c r="B152" s="416">
        <f>IF(ISERROR($B148/$B150),0,$B148/$B150)</f>
        <v>0</v>
      </c>
      <c r="C152" s="296"/>
      <c r="D152" s="296"/>
      <c r="E152" s="112"/>
    </row>
    <row r="153" spans="2:4" ht="12.75">
      <c r="B153" s="56"/>
      <c r="C153" s="56"/>
      <c r="D153" s="56"/>
    </row>
    <row r="154" spans="1:5" ht="12.75">
      <c r="A154" s="298"/>
      <c r="B154" s="299"/>
      <c r="C154" s="300"/>
      <c r="D154" s="299"/>
      <c r="E154" s="112"/>
    </row>
    <row r="155" spans="1:5" ht="12.75">
      <c r="A155" s="298"/>
      <c r="B155" s="299"/>
      <c r="C155" s="300"/>
      <c r="D155" s="299"/>
      <c r="E155" s="112"/>
    </row>
    <row r="156" ht="15.75">
      <c r="A156" s="54" t="s">
        <v>18</v>
      </c>
    </row>
    <row r="157" ht="10.5" customHeight="1">
      <c r="A157" s="131"/>
    </row>
    <row r="158" ht="9" customHeight="1">
      <c r="A158" s="132"/>
    </row>
    <row r="159" spans="1:7" ht="39" thickBot="1">
      <c r="A159" s="132"/>
      <c r="B159" s="284" t="s">
        <v>103</v>
      </c>
      <c r="C159" s="284" t="s">
        <v>104</v>
      </c>
      <c r="D159" s="284" t="s">
        <v>140</v>
      </c>
      <c r="E159" s="281"/>
      <c r="F159" s="281"/>
      <c r="G159" s="281"/>
    </row>
    <row r="160" spans="1:3" ht="15">
      <c r="A160" s="132"/>
      <c r="B160" s="30"/>
      <c r="C160" s="30"/>
    </row>
    <row r="161" spans="1:5" ht="12.75">
      <c r="A161" s="109" t="s">
        <v>138</v>
      </c>
      <c r="B161" s="292"/>
      <c r="C161" s="292"/>
      <c r="D161" s="411">
        <f>$G29</f>
        <v>0</v>
      </c>
      <c r="E161" s="112"/>
    </row>
    <row r="162" spans="1:5" ht="7.5" customHeight="1">
      <c r="A162" s="112"/>
      <c r="B162" s="285"/>
      <c r="C162" s="285"/>
      <c r="D162" s="286"/>
      <c r="E162" s="112"/>
    </row>
    <row r="163" spans="1:5" ht="12.75">
      <c r="A163" s="109" t="s">
        <v>101</v>
      </c>
      <c r="B163" s="293">
        <v>1</v>
      </c>
      <c r="C163" s="293">
        <v>0</v>
      </c>
      <c r="D163" s="293">
        <f>B163+C163</f>
        <v>1</v>
      </c>
      <c r="E163" s="112"/>
    </row>
    <row r="164" spans="1:5" ht="7.5" customHeight="1">
      <c r="A164" s="112"/>
      <c r="B164" s="287"/>
      <c r="C164" s="287"/>
      <c r="D164" s="287"/>
      <c r="E164" s="112"/>
    </row>
    <row r="165" spans="1:5" ht="13.5" customHeight="1">
      <c r="A165" s="109" t="s">
        <v>139</v>
      </c>
      <c r="B165" s="406">
        <f>$B163*$D161</f>
        <v>0</v>
      </c>
      <c r="C165" s="406">
        <f>C163*D161</f>
        <v>0</v>
      </c>
      <c r="D165" s="406">
        <f>SUM(B165:C165)</f>
        <v>0</v>
      </c>
      <c r="E165" s="112"/>
    </row>
    <row r="166" spans="1:5" ht="7.5" customHeight="1">
      <c r="A166" s="112"/>
      <c r="B166" s="288"/>
      <c r="C166" s="288"/>
      <c r="D166" s="288"/>
      <c r="E166" s="112"/>
    </row>
    <row r="167" spans="1:5" ht="13.5" customHeight="1">
      <c r="A167" s="109" t="s">
        <v>164</v>
      </c>
      <c r="B167" s="295">
        <f>$B29</f>
        <v>848</v>
      </c>
      <c r="C167" s="294"/>
      <c r="D167" s="294"/>
      <c r="E167" s="112"/>
    </row>
    <row r="168" spans="1:5" ht="7.5" customHeight="1">
      <c r="A168" s="112"/>
      <c r="B168" s="289"/>
      <c r="C168" s="288"/>
      <c r="D168" s="288"/>
      <c r="E168" s="112"/>
    </row>
    <row r="169" spans="1:5" ht="13.5" customHeight="1">
      <c r="A169" s="109" t="s">
        <v>180</v>
      </c>
      <c r="B169" s="416">
        <f>IF(ISERROR($B165/$B167),0,$B165/$B167)</f>
        <v>0</v>
      </c>
      <c r="C169" s="296"/>
      <c r="D169" s="296"/>
      <c r="E169" s="112"/>
    </row>
    <row r="170" spans="1:5" ht="12.75">
      <c r="A170" s="298"/>
      <c r="B170" s="299"/>
      <c r="C170" s="300"/>
      <c r="D170" s="299"/>
      <c r="E170" s="298"/>
    </row>
    <row r="171" spans="1:5" ht="12.75">
      <c r="A171" s="298"/>
      <c r="B171" s="299"/>
      <c r="C171" s="300"/>
      <c r="D171" s="299"/>
      <c r="E171" s="112"/>
    </row>
    <row r="172" spans="1:5" ht="12.75">
      <c r="A172" s="298"/>
      <c r="B172" s="299"/>
      <c r="C172" s="300"/>
      <c r="D172" s="299"/>
      <c r="E172" s="112"/>
    </row>
    <row r="173" ht="15.75">
      <c r="A173" s="54" t="s">
        <v>107</v>
      </c>
    </row>
    <row r="174" ht="10.5" customHeight="1">
      <c r="A174" s="131"/>
    </row>
    <row r="175" ht="9" customHeight="1">
      <c r="A175" s="132"/>
    </row>
    <row r="176" spans="1:7" ht="39" thickBot="1">
      <c r="A176" s="132"/>
      <c r="B176" s="284" t="s">
        <v>103</v>
      </c>
      <c r="C176" s="284" t="s">
        <v>104</v>
      </c>
      <c r="D176" s="284" t="s">
        <v>140</v>
      </c>
      <c r="E176" s="281"/>
      <c r="F176" s="281"/>
      <c r="G176" s="281"/>
    </row>
    <row r="177" spans="1:3" ht="15">
      <c r="A177" s="132"/>
      <c r="B177" s="30"/>
      <c r="C177" s="30"/>
    </row>
    <row r="178" spans="1:5" ht="12.75">
      <c r="A178" s="109" t="s">
        <v>138</v>
      </c>
      <c r="B178" s="292"/>
      <c r="C178" s="292"/>
      <c r="D178" s="411">
        <f>$G30</f>
        <v>0</v>
      </c>
      <c r="E178" s="112"/>
    </row>
    <row r="179" spans="1:5" ht="7.5" customHeight="1">
      <c r="A179" s="112"/>
      <c r="B179" s="285"/>
      <c r="C179" s="285"/>
      <c r="D179" s="286"/>
      <c r="E179" s="112"/>
    </row>
    <row r="180" spans="1:5" ht="12.75">
      <c r="A180" s="109" t="s">
        <v>101</v>
      </c>
      <c r="B180" s="293">
        <v>1</v>
      </c>
      <c r="C180" s="293">
        <v>0</v>
      </c>
      <c r="D180" s="293">
        <f>B180+C180</f>
        <v>1</v>
      </c>
      <c r="E180" s="112"/>
    </row>
    <row r="181" spans="1:5" ht="7.5" customHeight="1">
      <c r="A181" s="112"/>
      <c r="B181" s="287"/>
      <c r="C181" s="287"/>
      <c r="D181" s="287"/>
      <c r="E181" s="112"/>
    </row>
    <row r="182" spans="1:5" ht="13.5" customHeight="1">
      <c r="A182" s="109" t="s">
        <v>139</v>
      </c>
      <c r="B182" s="406">
        <f>$B180*$D178</f>
        <v>0</v>
      </c>
      <c r="C182" s="406">
        <f>C180*D178</f>
        <v>0</v>
      </c>
      <c r="D182" s="406">
        <f>SUM(B182:C182)</f>
        <v>0</v>
      </c>
      <c r="E182" s="112"/>
    </row>
    <row r="183" spans="1:5" ht="7.5" customHeight="1">
      <c r="A183" s="112"/>
      <c r="B183" s="288"/>
      <c r="C183" s="288"/>
      <c r="D183" s="288"/>
      <c r="E183" s="112"/>
    </row>
    <row r="184" spans="1:5" ht="13.5" customHeight="1">
      <c r="A184" s="109" t="s">
        <v>164</v>
      </c>
      <c r="B184" s="295">
        <f>$B30</f>
        <v>5491</v>
      </c>
      <c r="C184" s="294"/>
      <c r="D184" s="294"/>
      <c r="E184" s="112"/>
    </row>
    <row r="185" spans="1:5" ht="7.5" customHeight="1">
      <c r="A185" s="112"/>
      <c r="B185" s="289"/>
      <c r="C185" s="288"/>
      <c r="D185" s="288"/>
      <c r="E185" s="112"/>
    </row>
    <row r="186" spans="1:5" ht="13.5" customHeight="1">
      <c r="A186" s="109" t="s">
        <v>180</v>
      </c>
      <c r="B186" s="416">
        <f>IF(ISERROR($B182/$B184),0,$B182/$B184)</f>
        <v>0</v>
      </c>
      <c r="C186" s="296"/>
      <c r="D186" s="296"/>
      <c r="E186" s="112"/>
    </row>
  </sheetData>
  <mergeCells count="6">
    <mergeCell ref="A3:C3"/>
    <mergeCell ref="A6:C6"/>
    <mergeCell ref="A14:D14"/>
    <mergeCell ref="C33:F33"/>
    <mergeCell ref="B7:C7"/>
    <mergeCell ref="A5:B5"/>
  </mergeCells>
  <printOptions/>
  <pageMargins left="0.31" right="0.17" top="0.45" bottom="0.5" header="0.28" footer="0.23"/>
  <pageSetup fitToHeight="0" fitToWidth="1" horizontalDpi="600" verticalDpi="600" orientation="portrait" scale="67" r:id="rId1"/>
  <rowBreaks count="2" manualBreakCount="2">
    <brk id="87" max="255" man="1"/>
    <brk id="1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SUZANNEW</cp:lastModifiedBy>
  <cp:lastPrinted>2005-04-26T14:23:29Z</cp:lastPrinted>
  <dcterms:created xsi:type="dcterms:W3CDTF">2001-10-05T18:25:02Z</dcterms:created>
  <dcterms:modified xsi:type="dcterms:W3CDTF">2011-10-12T22:09:21Z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