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40" tabRatio="787" activeTab="5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<sst xmlns="http://schemas.openxmlformats.org/spreadsheetml/2006/main" count="874" uniqueCount="499">
  <si>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</si>
  <si>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</si>
  <si>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</si>
  <si>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</si>
  <si>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</si>
  <si>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</si>
  <si>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</si>
  <si>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</si>
  <si>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</si>
  <si>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</si>
  <si>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</si>
  <si>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</si>
  <si>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</si>
  <si>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</si>
  <si>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</si>
  <si>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</si>
  <si>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</si>
  <si>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</si>
  <si>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</si>
  <si>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</si>
  <si>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</si>
  <si>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</si>
  <si>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</si>
  <si>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</si>
  <si>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</si>
  <si>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</si>
  <si>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</si>
  <si>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</si>
  <si>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</si>
  <si>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</si>
  <si>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</si>
  <si>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</si>
  <si>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</si>
  <si>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</si>
  <si>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</si>
  <si>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</si>
  <si>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</si>
  <si>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</si>
  <si>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</si>
  <si>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</si>
  <si>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</si>
  <si>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</si>
  <si>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</si>
  <si>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</si>
  <si>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</si>
  <si>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</si>
  <si>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</si>
  <si>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</si>
  <si>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</si>
  <si>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</si>
  <si>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</si>
  <si>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</si>
  <si>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</si>
  <si>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</si>
  <si>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</si>
  <si>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</si>
  <si>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</si>
  <si>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</si>
  <si>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</si>
  <si>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</si>
  <si>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</si>
  <si>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</si>
  <si>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</si>
  <si>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</si>
  <si>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</si>
  <si>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</si>
  <si>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</si>
  <si>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</si>
  <si>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</si>
  <si>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</si>
  <si>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</si>
  <si>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</si>
  <si>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</si>
  <si>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</si>
  <si>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</si>
  <si>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</si>
  <si>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</si>
  <si>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</si>
  <si>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</si>
  <si>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</si>
  <si>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</si>
  <si>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</si>
  <si>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</si>
  <si>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</si>
  <si>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</si>
  <si>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</si>
  <si>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</si>
  <si>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</si>
  <si>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</si>
  <si>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</si>
  <si>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</si>
  <si>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</si>
  <si>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</si>
  <si>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</si>
  <si>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</si>
  <si>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</si>
  <si>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</si>
  <si>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</si>
  <si>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</si>
  <si>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</si>
  <si>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</si>
  <si>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</si>
  <si>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</si>
  <si>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</si>
  <si>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</si>
  <si>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</si>
  <si>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</si>
  <si>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</si>
  <si>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</si>
  <si>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</si>
  <si>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</si>
  <si>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</si>
  <si>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</si>
  <si>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</si>
  <si>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</si>
  <si>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</si>
  <si>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</si>
  <si>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</si>
  <si>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</si>
  <si>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</si>
  <si>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</si>
  <si>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</si>
  <si>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</si>
  <si>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</si>
  <si>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</si>
  <si>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</si>
  <si>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</si>
  <si>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</si>
  <si>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</si>
  <si>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</si>
  <si>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</si>
  <si>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</si>
  <si>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</si>
  <si>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</si>
  <si>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</si>
  <si>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</si>
  <si>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</si>
  <si>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</si>
  <si>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</si>
  <si>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</si>
  <si>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</si>
  <si>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</si>
  <si>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</si>
  <si>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</si>
  <si>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</si>
  <si>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</si>
  <si>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</si>
  <si>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</si>
  <si>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</si>
  <si>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</si>
  <si>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</si>
  <si>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</si>
  <si>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</si>
  <si>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</si>
  <si>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</si>
  <si>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</si>
  <si>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</si>
  <si>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</si>
  <si>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</si>
  <si>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</si>
  <si>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</si>
  <si>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</si>
  <si>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</si>
  <si>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</si>
  <si>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</si>
  <si>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</si>
  <si>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</si>
  <si>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</si>
  <si>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</si>
  <si>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</si>
  <si>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</si>
  <si>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</si>
  <si>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</si>
  <si>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</si>
  <si>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</si>
  <si>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</si>
  <si>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</si>
  <si>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</si>
  <si>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</si>
  <si>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</si>
  <si>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</si>
  <si>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</si>
  <si>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</si>
  <si>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</si>
  <si>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</si>
  <si>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</si>
  <si>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</si>
  <si>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</si>
  <si>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</si>
  <si>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</si>
  <si>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</si>
  <si>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</si>
  <si>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</si>
  <si>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</si>
  <si>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</si>
  <si>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</si>
  <si>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</si>
  <si>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</si>
  <si>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</si>
  <si>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</si>
  <si>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</si>
  <si>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</si>
  <si>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</si>
  <si>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</si>
  <si>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</si>
  <si>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</si>
  <si>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</si>
  <si>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</si>
  <si>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</si>
  <si>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</si>
  <si>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</si>
  <si>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</si>
  <si>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</si>
  <si>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</si>
  <si>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</si>
  <si>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</si>
  <si>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</si>
  <si>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</si>
  <si>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</si>
  <si>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</si>
  <si>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</si>
  <si>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</si>
  <si>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</si>
  <si>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</si>
  <si>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</si>
  <si>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</si>
  <si>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</si>
  <si>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</si>
  <si>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</si>
  <si>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</si>
  <si>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</si>
  <si>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</si>
  <si>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</si>
  <si>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</si>
  <si>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</si>
  <si>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</si>
  <si>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</si>
  <si>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</si>
  <si>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</si>
  <si>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</si>
  <si>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</si>
  <si>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</si>
  <si>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</si>
  <si>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</si>
  <si>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</si>
  <si>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</si>
  <si>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</si>
  <si>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</si>
  <si>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</si>
  <si>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</si>
  <si>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</si>
  <si>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</si>
  <si>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</si>
  <si>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</si>
  <si>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</si>
  <si>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</si>
  <si>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</si>
  <si>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</si>
  <si>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</si>
  <si>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</si>
  <si>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</si>
  <si>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</si>
  <si>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</si>
  <si>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</si>
  <si>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</si>
  <si>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</si>
  <si>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</si>
  <si>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</si>
  <si>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</si>
  <si>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</si>
  <si>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</si>
  <si>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</si>
  <si>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</si>
  <si>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</si>
  <si>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</si>
  <si>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</si>
  <si>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</si>
  <si>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</si>
  <si>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</si>
  <si>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</si>
  <si>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</si>
  <si>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</si>
  <si>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</si>
  <si>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</si>
  <si>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</si>
  <si>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</si>
  <si>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</si>
  <si>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</si>
  <si>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</si>
  <si>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</si>
  <si>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</si>
  <si>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</si>
  <si>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</si>
  <si>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</si>
  <si>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</si>
  <si>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</si>
  <si>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</si>
  <si>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</si>
  <si>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</si>
  <si>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</si>
  <si>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</si>
  <si>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</si>
  <si>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</si>
  <si>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</si>
  <si>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</si>
  <si>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</si>
  <si>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</si>
  <si>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</si>
  <si>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</si>
  <si>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</si>
  <si>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</si>
  <si>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</si>
  <si>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</si>
  <si>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</si>
  <si>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</si>
  <si>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</si>
  <si>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</si>
  <si>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</si>
  <si>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</si>
  <si>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</si>
  <si>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</si>
  <si>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</si>
  <si>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</si>
  <si>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</si>
  <si>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</si>
  <si>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</si>
  <si>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</si>
  <si>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</si>
  <si>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</si>
  <si>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</si>
  <si>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</si>
  <si>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</si>
  <si>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</si>
  <si>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</si>
  <si>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</si>
  <si>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</si>
  <si>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</si>
  <si>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</si>
  <si>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</si>
  <si>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</si>
  <si>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</si>
  <si>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</si>
  <si>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</si>
  <si>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</si>
  <si>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</si>
  <si>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</si>
  <si>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</si>
  <si>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</si>
  <si>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</si>
  <si>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</si>
  <si>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</si>
  <si>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</si>
  <si>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</si>
  <si>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</si>
  <si>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</si>
  <si>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</si>
  <si>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</si>
  <si>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</si>
  <si>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</si>
  <si>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</si>
  <si>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</si>
  <si>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</si>
  <si>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</si>
  <si>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</si>
  <si>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</si>
  <si>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</si>
  <si>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</si>
  <si>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</si>
  <si>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</si>
  <si>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</si>
  <si>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</si>
  <si>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</si>
  <si>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</si>
  <si>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</si>
  <si>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</si>
  <si>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</si>
  <si>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</si>
  <si>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</si>
  <si>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</si>
  <si>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</si>
  <si>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</si>
  <si>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</si>
  <si>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</si>
  <si>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</si>
  <si>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</si>
  <si>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</si>
  <si>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</si>
  <si>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</si>
  <si>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</si>
  <si>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</si>
  <si>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</si>
  <si>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</si>
  <si>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</si>
  <si>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</si>
  <si>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</si>
  <si>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</si>
  <si>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</si>
  <si>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</si>
  <si>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</si>
  <si>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</si>
  <si>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</si>
  <si>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</si>
  <si>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</si>
  <si>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</si>
  <si>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</si>
  <si>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</si>
  <si>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</si>
  <si>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</si>
  <si>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</si>
  <si>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</si>
  <si>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</si>
  <si>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</si>
  <si>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</si>
  <si>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</si>
  <si>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</si>
  <si>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</si>
  <si>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</si>
  <si>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</si>
  <si>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</si>
  <si>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</si>
  <si>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</si>
  <si>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</si>
  <si>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</si>
  <si>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</si>
  <si>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</si>
  <si>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</si>
  <si>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</si>
  <si>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</si>
  <si>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</si>
  <si>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</si>
  <si>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</si>
  <si>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</si>
  <si>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</si>
  <si>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</si>
  <si>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</si>
  <si>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</si>
  <si>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</si>
  <si>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</si>
  <si>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</si>
  <si>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</si>
  <si>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</si>
  <si>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</si>
  <si>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</si>
  <si>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</si>
  <si>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</si>
  <si>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</si>
  <si>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</si>
  <si>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</si>
  <si>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</si>
  <si>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</si>
  <si>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</si>
  <si>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</si>
  <si>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</si>
  <si>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</si>
  <si>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</si>
  <si>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</si>
  <si>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</si>
  <si>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</si>
  <si>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</si>
  <si>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</si>
  <si>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</si>
  <si>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</si>
  <si>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</si>
  <si>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</si>
  <si>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</si>
  <si>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</si>
  <si>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</si>
  <si>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</si>
  <si>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</si>
  <si>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&gt;700,000</t>
  </si>
  <si>
    <t>MAX $5MM</t>
  </si>
  <si>
    <t>MAX $10MM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</si>
  <si>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</si>
  <si>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</si>
  <si>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</si>
  <si>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</si>
  <si>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</si>
  <si>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</si>
  <si>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</si>
  <si>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</si>
  <si>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</si>
  <si>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</si>
  <si>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</si>
  <si>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</si>
  <si>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</si>
  <si>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</si>
  <si>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</si>
  <si>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</si>
  <si>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</si>
  <si>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</si>
  <si>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 xml:space="preserve">     Reg Asset movement</t>
  </si>
  <si>
    <t>Bad debts - pre-October 1, 2001 Denied</t>
  </si>
  <si>
    <t>Actual Interest Paid</t>
  </si>
  <si>
    <t>Yes</t>
  </si>
  <si>
    <t>No</t>
  </si>
  <si>
    <t>Utility Name: Peninsula West Utilities</t>
  </si>
  <si>
    <t>Interest expense on capital lease</t>
  </si>
  <si>
    <t>Depreciation on restructuring costs</t>
  </si>
  <si>
    <t>Captial lease payments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</si>
</sst>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50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4" borderId="0" xfId="0" applyFill="1" applyAlignment="1">
      <alignment vertical="top"/>
    </xf>
    <xf numFmtId="0" fontId="0" fillId="25" borderId="0" xfId="0" applyFill="1" applyAlignment="1">
      <alignment vertical="top"/>
    </xf>
    <xf numFmtId="3" fontId="0" fillId="25" borderId="0" xfId="42" applyNumberFormat="1" applyFont="1" applyFill="1" applyBorder="1" applyAlignment="1">
      <alignment vertical="top"/>
    </xf>
    <xf numFmtId="0" fontId="0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>
      <alignment vertical="top"/>
    </xf>
    <xf numFmtId="10" fontId="0" fillId="25" borderId="0" xfId="0" applyNumberFormat="1" applyFont="1" applyFill="1" applyBorder="1" applyAlignment="1">
      <alignment vertical="top"/>
    </xf>
    <xf numFmtId="3" fontId="0" fillId="25" borderId="0" xfId="42" applyNumberFormat="1" applyFont="1" applyFill="1" applyBorder="1" applyAlignment="1" applyProtection="1">
      <alignment vertical="top"/>
      <protection locked="0"/>
    </xf>
    <xf numFmtId="0" fontId="0" fillId="24" borderId="0" xfId="0" applyFill="1" applyBorder="1" applyAlignment="1">
      <alignment vertical="top"/>
    </xf>
    <xf numFmtId="0" fontId="0" fillId="2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5" borderId="0" xfId="0" applyFont="1" applyFill="1" applyAlignment="1">
      <alignment vertical="top"/>
    </xf>
    <xf numFmtId="0" fontId="0" fillId="2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6" borderId="15" xfId="0" applyFill="1" applyBorder="1" applyAlignment="1" applyProtection="1">
      <alignment horizontal="center" vertical="top"/>
      <protection/>
    </xf>
    <xf numFmtId="10" fontId="0" fillId="26" borderId="14" xfId="0" applyNumberForma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>
      <alignment vertical="top"/>
      <protection/>
    </xf>
    <xf numFmtId="37" fontId="0" fillId="26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6" borderId="14" xfId="0" applyNumberFormat="1" applyFill="1" applyBorder="1" applyAlignment="1">
      <alignment vertical="top"/>
    </xf>
    <xf numFmtId="0" fontId="3" fillId="27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7" borderId="44" xfId="0" applyFont="1" applyFill="1" applyBorder="1" applyAlignment="1">
      <alignment vertical="top"/>
    </xf>
    <xf numFmtId="0" fontId="0" fillId="28" borderId="17" xfId="0" applyFill="1" applyBorder="1" applyAlignment="1">
      <alignment horizontal="center" vertical="top"/>
    </xf>
    <xf numFmtId="3" fontId="0" fillId="26" borderId="17" xfId="0" applyNumberFormat="1" applyFill="1" applyBorder="1" applyAlignment="1" applyProtection="1">
      <alignment horizontal="center" vertical="top"/>
      <protection locked="0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>
      <alignment vertical="top"/>
      <protection/>
    </xf>
    <xf numFmtId="172" fontId="0" fillId="26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6" borderId="14" xfId="0" applyFill="1" applyBorder="1" applyAlignment="1" applyProtection="1">
      <alignment horizontal="right" vertical="top"/>
      <protection/>
    </xf>
    <xf numFmtId="3" fontId="0" fillId="26" borderId="14" xfId="0" applyNumberFormat="1" applyFill="1" applyBorder="1" applyAlignment="1" applyProtection="1">
      <alignment horizontal="right" vertical="top"/>
      <protection/>
    </xf>
    <xf numFmtId="0" fontId="0" fillId="26" borderId="14" xfId="0" applyFill="1" applyBorder="1" applyAlignment="1" applyProtection="1">
      <alignment vertical="top"/>
      <protection/>
    </xf>
    <xf numFmtId="0" fontId="0" fillId="26" borderId="15" xfId="0" applyFill="1" applyBorder="1" applyAlignment="1" applyProtection="1">
      <alignment vertical="top"/>
      <protection/>
    </xf>
    <xf numFmtId="0" fontId="0" fillId="26" borderId="14" xfId="0" applyFill="1" applyBorder="1" applyAlignment="1" applyProtection="1">
      <alignment vertical="top" wrapText="1"/>
      <protection/>
    </xf>
    <xf numFmtId="0" fontId="0" fillId="26" borderId="14" xfId="0" applyFont="1" applyFill="1" applyBorder="1" applyAlignment="1" applyProtection="1">
      <alignment horizontal="left" vertical="top" wrapText="1"/>
      <protection/>
    </xf>
    <xf numFmtId="0" fontId="0" fillId="26" borderId="14" xfId="0" applyFont="1" applyFill="1" applyBorder="1" applyAlignment="1" applyProtection="1">
      <alignment horizontal="center" vertical="top"/>
      <protection/>
    </xf>
    <xf numFmtId="0" fontId="0" fillId="26" borderId="14" xfId="0" applyFont="1" applyFill="1" applyBorder="1" applyAlignment="1" applyProtection="1">
      <alignment vertical="top" wrapText="1"/>
      <protection/>
    </xf>
    <xf numFmtId="3" fontId="0" fillId="26" borderId="15" xfId="0" applyNumberFormat="1" applyFill="1" applyBorder="1" applyAlignment="1" applyProtection="1">
      <alignment vertical="top"/>
      <protection/>
    </xf>
    <xf numFmtId="0" fontId="0" fillId="26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6" borderId="44" xfId="0" applyNumberFormat="1" applyFill="1" applyBorder="1" applyAlignment="1" applyProtection="1">
      <alignment horizontal="right" vertical="top"/>
      <protection/>
    </xf>
    <xf numFmtId="3" fontId="0" fillId="26" borderId="15" xfId="0" applyNumberFormat="1" applyFill="1" applyBorder="1" applyAlignment="1" applyProtection="1">
      <alignment horizontal="right" vertical="top"/>
      <protection/>
    </xf>
    <xf numFmtId="3" fontId="0" fillId="26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8" borderId="14" xfId="0" applyNumberFormat="1" applyFill="1" applyBorder="1" applyAlignment="1">
      <alignment horizontal="right" vertical="top"/>
    </xf>
    <xf numFmtId="3" fontId="0" fillId="26" borderId="14" xfId="0" applyNumberFormat="1" applyFill="1" applyBorder="1" applyAlignment="1" applyProtection="1">
      <alignment horizontal="right" vertical="top"/>
      <protection locked="0"/>
    </xf>
    <xf numFmtId="0" fontId="0" fillId="26" borderId="14" xfId="0" applyFill="1" applyBorder="1" applyAlignment="1" applyProtection="1" quotePrefix="1">
      <alignment vertical="top" wrapText="1"/>
      <protection/>
    </xf>
    <xf numFmtId="0" fontId="4" fillId="26" borderId="14" xfId="0" applyFon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 quotePrefix="1">
      <alignment vertical="top"/>
      <protection/>
    </xf>
    <xf numFmtId="0" fontId="5" fillId="26" borderId="14" xfId="0" applyFont="1" applyFill="1" applyBorder="1" applyAlignment="1">
      <alignment vertical="top"/>
    </xf>
    <xf numFmtId="37" fontId="0" fillId="26" borderId="15" xfId="0" applyNumberFormat="1" applyFill="1" applyBorder="1" applyAlignment="1" applyProtection="1">
      <alignment vertical="top"/>
      <protection/>
    </xf>
    <xf numFmtId="37" fontId="0" fillId="26" borderId="18" xfId="0" applyNumberFormat="1" applyFill="1" applyBorder="1" applyAlignment="1" applyProtection="1">
      <alignment vertical="top"/>
      <protection/>
    </xf>
    <xf numFmtId="3" fontId="0" fillId="28" borderId="14" xfId="0" applyNumberFormat="1" applyFill="1" applyBorder="1" applyAlignment="1">
      <alignment vertical="top"/>
    </xf>
    <xf numFmtId="3" fontId="0" fillId="28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8" borderId="14" xfId="0" applyNumberFormat="1" applyFill="1" applyBorder="1" applyAlignment="1">
      <alignment vertical="top"/>
    </xf>
    <xf numFmtId="0" fontId="3" fillId="26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8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26" borderId="14" xfId="0" applyNumberFormat="1" applyFill="1" applyBorder="1" applyAlignment="1" applyProtection="1" quotePrefix="1">
      <alignment horizontal="right" vertical="top"/>
      <protection/>
    </xf>
    <xf numFmtId="3" fontId="0" fillId="26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6" borderId="14" xfId="0" applyNumberFormat="1" applyFont="1" applyFill="1" applyBorder="1" applyAlignment="1" applyProtection="1">
      <alignment horizontal="right" vertical="top"/>
      <protection/>
    </xf>
    <xf numFmtId="3" fontId="0" fillId="26" borderId="14" xfId="57" applyNumberFormat="1" applyFont="1" applyFill="1" applyBorder="1" applyAlignment="1" applyProtection="1" quotePrefix="1">
      <alignment vertical="top"/>
      <protection/>
    </xf>
    <xf numFmtId="3" fontId="0" fillId="26" borderId="47" xfId="57" applyNumberFormat="1" applyFont="1" applyFill="1" applyBorder="1" applyAlignment="1" applyProtection="1" quotePrefix="1">
      <alignment vertical="top"/>
      <protection/>
    </xf>
    <xf numFmtId="3" fontId="0" fillId="28" borderId="14" xfId="0" applyNumberFormat="1" applyFill="1" applyBorder="1" applyAlignment="1" applyProtection="1">
      <alignment horizontal="right" vertical="top"/>
      <protection locked="0"/>
    </xf>
    <xf numFmtId="3" fontId="0" fillId="2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6" borderId="44" xfId="0" applyNumberFormat="1" applyFill="1" applyBorder="1" applyAlignment="1" applyProtection="1">
      <alignment horizontal="center" vertical="top"/>
      <protection locked="0"/>
    </xf>
    <xf numFmtId="10" fontId="0" fillId="26" borderId="51" xfId="0" applyNumberFormat="1" applyFill="1" applyBorder="1" applyAlignment="1" applyProtection="1">
      <alignment horizontal="center" vertical="top"/>
      <protection locked="0"/>
    </xf>
    <xf numFmtId="10" fontId="0" fillId="26" borderId="18" xfId="0" applyNumberFormat="1" applyFill="1" applyBorder="1" applyAlignment="1" applyProtection="1">
      <alignment horizontal="center" vertical="top"/>
      <protection locked="0"/>
    </xf>
    <xf numFmtId="10" fontId="0" fillId="26" borderId="10" xfId="0" applyNumberFormat="1" applyFill="1" applyBorder="1" applyAlignment="1" applyProtection="1">
      <alignment horizontal="center" vertical="top"/>
      <protection locked="0"/>
    </xf>
    <xf numFmtId="10" fontId="0" fillId="26" borderId="40" xfId="0" applyNumberFormat="1" applyFill="1" applyBorder="1" applyAlignment="1" applyProtection="1">
      <alignment horizontal="center" vertical="top"/>
      <protection locked="0"/>
    </xf>
    <xf numFmtId="10" fontId="0" fillId="26" borderId="42" xfId="0" applyNumberFormat="1" applyFill="1" applyBorder="1" applyAlignment="1" applyProtection="1">
      <alignment horizontal="center" vertical="top"/>
      <protection locked="0"/>
    </xf>
    <xf numFmtId="178" fontId="0" fillId="26" borderId="44" xfId="0" applyNumberFormat="1" applyFill="1" applyBorder="1" applyAlignment="1" applyProtection="1">
      <alignment horizontal="center" vertical="top"/>
      <protection locked="0"/>
    </xf>
    <xf numFmtId="178" fontId="0" fillId="26" borderId="14" xfId="0" applyNumberFormat="1" applyFill="1" applyBorder="1" applyAlignment="1" applyProtection="1">
      <alignment horizontal="center" vertical="top"/>
      <protection locked="0"/>
    </xf>
    <xf numFmtId="10" fontId="0" fillId="26" borderId="14" xfId="0" applyNumberFormat="1" applyFill="1" applyBorder="1" applyAlignment="1" applyProtection="1">
      <alignment horizontal="center" vertical="top"/>
      <protection locked="0"/>
    </xf>
    <xf numFmtId="10" fontId="0" fillId="26" borderId="9" xfId="0" applyNumberFormat="1" applyFill="1" applyBorder="1" applyAlignment="1" applyProtection="1">
      <alignment horizontal="center" vertical="top"/>
      <protection locked="0"/>
    </xf>
    <xf numFmtId="0" fontId="0" fillId="26" borderId="14" xfId="0" applyFill="1" applyBorder="1" applyAlignment="1" applyProtection="1">
      <alignment horizontal="center" vertical="top"/>
      <protection locked="0"/>
    </xf>
    <xf numFmtId="0" fontId="0" fillId="26" borderId="9" xfId="0" applyFill="1" applyBorder="1" applyAlignment="1" applyProtection="1">
      <alignment horizontal="center" vertical="top"/>
      <protection locked="0"/>
    </xf>
    <xf numFmtId="0" fontId="0" fillId="26" borderId="46" xfId="0" applyFill="1" applyBorder="1" applyAlignment="1" applyProtection="1">
      <alignment horizontal="center" vertical="top"/>
      <protection locked="0"/>
    </xf>
    <xf numFmtId="0" fontId="0" fillId="2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0" fontId="3" fillId="25" borderId="0" xfId="0" applyFont="1" applyFill="1" applyBorder="1" applyAlignment="1" applyProtection="1">
      <alignment vertical="top"/>
      <protection locked="0"/>
    </xf>
    <xf numFmtId="0" fontId="3" fillId="25" borderId="0" xfId="0" applyFont="1" applyFill="1" applyBorder="1" applyAlignment="1" applyProtection="1">
      <alignment horizontal="center" vertical="top"/>
      <protection locked="0"/>
    </xf>
    <xf numFmtId="3" fontId="3" fillId="25" borderId="0" xfId="42" applyNumberFormat="1" applyFont="1" applyFill="1" applyBorder="1" applyAlignment="1" applyProtection="1">
      <alignment horizontal="center" vertical="top"/>
      <protection locked="0"/>
    </xf>
    <xf numFmtId="3" fontId="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0" xfId="0" applyFont="1" applyFill="1" applyBorder="1" applyAlignment="1" applyProtection="1">
      <alignment horizontal="center" vertical="center" wrapText="1"/>
      <protection locked="0"/>
    </xf>
    <xf numFmtId="0" fontId="7" fillId="25" borderId="0" xfId="0" applyFont="1" applyFill="1" applyBorder="1" applyAlignment="1" applyProtection="1">
      <alignment vertical="top" wrapText="1"/>
      <protection locked="0"/>
    </xf>
    <xf numFmtId="0" fontId="7" fillId="25" borderId="0" xfId="0" applyFont="1" applyFill="1" applyBorder="1" applyAlignment="1" applyProtection="1">
      <alignment horizontal="center" vertical="top"/>
      <protection locked="0"/>
    </xf>
    <xf numFmtId="10" fontId="0" fillId="25" borderId="0" xfId="0" applyNumberFormat="1" applyFill="1" applyBorder="1" applyAlignment="1" applyProtection="1">
      <alignment horizontal="center" vertical="top"/>
      <protection locked="0"/>
    </xf>
    <xf numFmtId="10" fontId="0" fillId="28" borderId="44" xfId="0" applyNumberFormat="1" applyFill="1" applyBorder="1" applyAlignment="1" applyProtection="1">
      <alignment horizontal="center" vertical="top"/>
      <protection locked="0"/>
    </xf>
    <xf numFmtId="10" fontId="0" fillId="28" borderId="51" xfId="0" applyNumberFormat="1" applyFill="1" applyBorder="1" applyAlignment="1" applyProtection="1">
      <alignment horizontal="center" vertical="top"/>
      <protection locked="0"/>
    </xf>
    <xf numFmtId="10" fontId="0" fillId="28" borderId="18" xfId="0" applyNumberFormat="1" applyFill="1" applyBorder="1" applyAlignment="1" applyProtection="1">
      <alignment horizontal="center" vertical="top"/>
      <protection locked="0"/>
    </xf>
    <xf numFmtId="10" fontId="0" fillId="28" borderId="10" xfId="0" applyNumberFormat="1" applyFill="1" applyBorder="1" applyAlignment="1" applyProtection="1">
      <alignment horizontal="center" vertical="top"/>
      <protection locked="0"/>
    </xf>
    <xf numFmtId="178" fontId="0" fillId="28" borderId="44" xfId="0" applyNumberFormat="1" applyFill="1" applyBorder="1" applyAlignment="1" applyProtection="1">
      <alignment horizontal="center" vertical="top"/>
      <protection locked="0"/>
    </xf>
    <xf numFmtId="178" fontId="0" fillId="28" borderId="14" xfId="0" applyNumberFormat="1" applyFill="1" applyBorder="1" applyAlignment="1" applyProtection="1">
      <alignment horizontal="center" vertical="top"/>
      <protection locked="0"/>
    </xf>
    <xf numFmtId="10" fontId="0" fillId="28" borderId="14" xfId="0" applyNumberFormat="1" applyFill="1" applyBorder="1" applyAlignment="1" applyProtection="1">
      <alignment horizontal="center" vertical="top"/>
      <protection locked="0"/>
    </xf>
    <xf numFmtId="10" fontId="0" fillId="28" borderId="9" xfId="0" applyNumberFormat="1" applyFill="1" applyBorder="1" applyAlignment="1" applyProtection="1">
      <alignment horizontal="center" vertical="top"/>
      <protection locked="0"/>
    </xf>
    <xf numFmtId="0" fontId="0" fillId="28" borderId="14" xfId="0" applyFill="1" applyBorder="1" applyAlignment="1" applyProtection="1">
      <alignment horizontal="center" vertical="top"/>
      <protection locked="0"/>
    </xf>
    <xf numFmtId="0" fontId="0" fillId="28" borderId="9" xfId="0" applyFill="1" applyBorder="1" applyAlignment="1" applyProtection="1">
      <alignment horizontal="center" vertical="top"/>
      <protection locked="0"/>
    </xf>
    <xf numFmtId="3" fontId="0" fillId="28" borderId="14" xfId="0" applyNumberFormat="1" applyFill="1" applyBorder="1" applyAlignment="1" applyProtection="1">
      <alignment horizontal="center" vertical="center"/>
      <protection locked="0"/>
    </xf>
    <xf numFmtId="3" fontId="0" fillId="28" borderId="46" xfId="0" applyNumberFormat="1" applyFill="1" applyBorder="1" applyAlignment="1" applyProtection="1">
      <alignment horizontal="center" vertical="center"/>
      <protection locked="0"/>
    </xf>
    <xf numFmtId="0" fontId="0" fillId="28" borderId="46" xfId="0" applyFill="1" applyBorder="1" applyAlignment="1" applyProtection="1">
      <alignment horizontal="center" vertical="top"/>
      <protection locked="0"/>
    </xf>
    <xf numFmtId="0" fontId="0" fillId="28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5" borderId="0" xfId="0" applyFont="1" applyFill="1" applyBorder="1" applyAlignment="1" applyProtection="1">
      <alignment vertical="top" wrapText="1"/>
      <protection locked="0"/>
    </xf>
    <xf numFmtId="0" fontId="0" fillId="24" borderId="0" xfId="0" applyFill="1" applyBorder="1" applyAlignment="1" applyProtection="1">
      <alignment horizontal="center" vertical="top"/>
      <protection locked="0"/>
    </xf>
    <xf numFmtId="3" fontId="0" fillId="24" borderId="0" xfId="0" applyNumberFormat="1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3" fillId="25" borderId="0" xfId="0" applyFont="1" applyFill="1" applyBorder="1" applyAlignment="1" applyProtection="1">
      <alignment vertical="top"/>
      <protection locked="0"/>
    </xf>
    <xf numFmtId="0" fontId="3" fillId="2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6" borderId="0" xfId="0" applyNumberFormat="1" applyFill="1" applyAlignment="1">
      <alignment vertical="top"/>
    </xf>
    <xf numFmtId="0" fontId="0" fillId="28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8" borderId="0" xfId="0" applyNumberFormat="1" applyFill="1" applyAlignment="1" applyProtection="1">
      <alignment/>
      <protection/>
    </xf>
    <xf numFmtId="3" fontId="0" fillId="28" borderId="0" xfId="0" applyNumberFormat="1" applyFill="1" applyAlignment="1">
      <alignment/>
    </xf>
    <xf numFmtId="3" fontId="0" fillId="26" borderId="0" xfId="0" applyNumberFormat="1" applyFill="1" applyAlignment="1" applyProtection="1">
      <alignment/>
      <protection/>
    </xf>
    <xf numFmtId="3" fontId="0" fillId="26" borderId="56" xfId="0" applyNumberFormat="1" applyFill="1" applyBorder="1" applyAlignment="1" applyProtection="1">
      <alignment/>
      <protection/>
    </xf>
    <xf numFmtId="0" fontId="0" fillId="2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8" borderId="14" xfId="0" applyNumberFormat="1" applyFill="1" applyBorder="1" applyAlignment="1">
      <alignment vertical="top"/>
    </xf>
    <xf numFmtId="10" fontId="0" fillId="2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6" borderId="41" xfId="0" applyFont="1" applyFill="1" applyBorder="1" applyAlignment="1" applyProtection="1">
      <alignment horizontal="center" vertical="top"/>
      <protection locked="0"/>
    </xf>
    <xf numFmtId="0" fontId="23" fillId="25" borderId="0" xfId="0" applyFont="1" applyFill="1" applyBorder="1" applyAlignment="1" applyProtection="1">
      <alignment horizontal="center" vertical="top"/>
      <protection locked="0"/>
    </xf>
    <xf numFmtId="0" fontId="19" fillId="25" borderId="0" xfId="0" applyFont="1" applyFill="1" applyBorder="1" applyAlignment="1" applyProtection="1">
      <alignment vertical="top" wrapText="1"/>
      <protection locked="0"/>
    </xf>
    <xf numFmtId="0" fontId="8" fillId="24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6" borderId="0" xfId="0" applyFont="1" applyFill="1" applyAlignment="1">
      <alignment vertical="top"/>
    </xf>
    <xf numFmtId="3" fontId="0" fillId="2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8" borderId="0" xfId="0" applyNumberFormat="1" applyFill="1" applyAlignment="1">
      <alignment vertical="top"/>
    </xf>
    <xf numFmtId="10" fontId="0" fillId="28" borderId="0" xfId="0" applyNumberFormat="1" applyFill="1" applyAlignment="1">
      <alignment vertical="top"/>
    </xf>
    <xf numFmtId="9" fontId="0" fillId="28" borderId="0" xfId="0" applyNumberFormat="1" applyFill="1" applyAlignment="1">
      <alignment horizontal="center" vertical="top"/>
    </xf>
    <xf numFmtId="16" fontId="0" fillId="28" borderId="0" xfId="0" applyNumberFormat="1" applyFill="1" applyAlignment="1">
      <alignment horizontal="center" vertical="top"/>
    </xf>
    <xf numFmtId="3" fontId="0" fillId="28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8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4" borderId="0" xfId="0" applyFont="1" applyFill="1" applyAlignment="1" applyProtection="1">
      <alignment vertical="top"/>
      <protection locked="0"/>
    </xf>
    <xf numFmtId="0" fontId="0" fillId="24" borderId="0" xfId="0" applyFill="1" applyAlignment="1" applyProtection="1">
      <alignment vertical="top"/>
      <protection locked="0"/>
    </xf>
    <xf numFmtId="3" fontId="0" fillId="24" borderId="0" xfId="0" applyNumberFormat="1" applyFill="1" applyAlignment="1" applyProtection="1">
      <alignment vertical="top"/>
      <protection locked="0"/>
    </xf>
    <xf numFmtId="0" fontId="0" fillId="24" borderId="0" xfId="0" applyFont="1" applyFill="1" applyAlignment="1" applyProtection="1">
      <alignment vertical="top"/>
      <protection locked="0"/>
    </xf>
    <xf numFmtId="0" fontId="0" fillId="24" borderId="0" xfId="0" applyFill="1" applyAlignment="1" applyProtection="1">
      <alignment vertical="top"/>
      <protection locked="0"/>
    </xf>
    <xf numFmtId="0" fontId="0" fillId="24" borderId="0" xfId="0" applyFill="1" applyAlignment="1">
      <alignment vertical="top"/>
    </xf>
    <xf numFmtId="0" fontId="0" fillId="24" borderId="0" xfId="0" applyFill="1" applyAlignment="1" applyProtection="1" quotePrefix="1">
      <alignment vertical="top"/>
      <protection locked="0"/>
    </xf>
    <xf numFmtId="37" fontId="0" fillId="24" borderId="0" xfId="0" applyNumberFormat="1" applyFill="1" applyBorder="1" applyAlignment="1" applyProtection="1">
      <alignment vertical="top"/>
      <protection locked="0"/>
    </xf>
    <xf numFmtId="37" fontId="0" fillId="24" borderId="0" xfId="0" applyNumberFormat="1" applyFill="1" applyAlignment="1" applyProtection="1">
      <alignment vertical="top"/>
      <protection locked="0"/>
    </xf>
    <xf numFmtId="37" fontId="0" fillId="24" borderId="0" xfId="0" applyNumberFormat="1" applyFill="1" applyBorder="1" applyAlignment="1">
      <alignment vertical="top"/>
    </xf>
    <xf numFmtId="0" fontId="3" fillId="26" borderId="48" xfId="0" applyFont="1" applyFill="1" applyBorder="1" applyAlignment="1">
      <alignment horizontal="center" vertical="top"/>
    </xf>
    <xf numFmtId="0" fontId="3" fillId="26" borderId="49" xfId="0" applyFont="1" applyFill="1" applyBorder="1" applyAlignment="1">
      <alignment horizontal="center" vertical="top"/>
    </xf>
    <xf numFmtId="0" fontId="0" fillId="26" borderId="17" xfId="0" applyFill="1" applyBorder="1" applyAlignment="1">
      <alignment horizontal="center" vertical="top"/>
    </xf>
    <xf numFmtId="3" fontId="0" fillId="26" borderId="14" xfId="0" applyNumberFormat="1" applyFill="1" applyBorder="1" applyAlignment="1">
      <alignment horizontal="right" vertical="top"/>
    </xf>
    <xf numFmtId="0" fontId="0" fillId="28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4" borderId="0" xfId="0" applyFont="1" applyFill="1" applyAlignment="1">
      <alignment vertical="top" wrapText="1"/>
    </xf>
    <xf numFmtId="0" fontId="0" fillId="24" borderId="0" xfId="0" applyFill="1" applyAlignment="1" quotePrefix="1">
      <alignment horizontal="center" vertical="top"/>
    </xf>
    <xf numFmtId="3" fontId="0" fillId="25" borderId="0" xfId="0" applyNumberFormat="1" applyFill="1" applyBorder="1" applyAlignment="1">
      <alignment/>
    </xf>
    <xf numFmtId="3" fontId="0" fillId="25" borderId="0" xfId="0" applyNumberFormat="1" applyFill="1" applyBorder="1" applyAlignment="1" applyProtection="1">
      <alignment/>
      <protection/>
    </xf>
    <xf numFmtId="37" fontId="0" fillId="25" borderId="0" xfId="0" applyNumberFormat="1" applyFill="1" applyBorder="1" applyAlignment="1" applyProtection="1">
      <alignment vertical="top"/>
      <protection locked="0"/>
    </xf>
    <xf numFmtId="0" fontId="0" fillId="25" borderId="0" xfId="0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37" fontId="0" fillId="2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29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0" borderId="14" xfId="0" applyNumberFormat="1" applyFill="1" applyBorder="1" applyAlignment="1" applyProtection="1" quotePrefix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10" fontId="0" fillId="30" borderId="14" xfId="0" applyNumberFormat="1" applyFill="1" applyBorder="1" applyAlignment="1" applyProtection="1" quotePrefix="1">
      <alignment vertical="top"/>
      <protection/>
    </xf>
    <xf numFmtId="37" fontId="0" fillId="30" borderId="14" xfId="0" applyNumberFormat="1" applyFill="1" applyBorder="1" applyAlignment="1" applyProtection="1">
      <alignment/>
      <protection/>
    </xf>
    <xf numFmtId="3" fontId="0" fillId="28" borderId="14" xfId="0" applyNumberFormat="1" applyFill="1" applyBorder="1" applyAlignment="1" applyProtection="1">
      <alignment vertical="top"/>
      <protection/>
    </xf>
    <xf numFmtId="37" fontId="19" fillId="0" borderId="18" xfId="0" applyNumberFormat="1" applyFont="1" applyBorder="1" applyAlignment="1">
      <alignment horizontal="left" vertical="top"/>
    </xf>
    <xf numFmtId="3" fontId="8" fillId="26" borderId="14" xfId="0" applyNumberFormat="1" applyFont="1" applyFill="1" applyBorder="1" applyAlignment="1" applyProtection="1">
      <alignment horizontal="right" vertical="top"/>
      <protection/>
    </xf>
    <xf numFmtId="3" fontId="0" fillId="28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8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" fontId="0" fillId="17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25" borderId="0" xfId="63" applyFont="1" applyFill="1" applyBorder="1" applyAlignment="1" applyProtection="1">
      <alignment vertical="top"/>
      <protection locked="0"/>
    </xf>
    <xf numFmtId="178" fontId="0" fillId="0" borderId="0" xfId="63" applyNumberFormat="1" applyFont="1" applyAlignment="1" applyProtection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23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24" borderId="0" xfId="0" applyFill="1" applyAlignment="1" applyProtection="1">
      <alignment vertical="top" wrapText="1"/>
      <protection locked="0"/>
    </xf>
    <xf numFmtId="0" fontId="0" fillId="24" borderId="0" xfId="0" applyFill="1" applyAlignment="1" applyProtection="1" quotePrefix="1">
      <alignment vertical="top" wrapText="1"/>
      <protection locked="0"/>
    </xf>
    <xf numFmtId="0" fontId="0" fillId="2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1">
      <selection activeCell="D50" sqref="D5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459</v>
      </c>
      <c r="C1" s="8"/>
      <c r="E1" s="2" t="s">
        <v>460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495</v>
      </c>
      <c r="C3" s="8"/>
      <c r="D3" s="455" t="s">
        <v>445</v>
      </c>
      <c r="E3" s="8"/>
      <c r="F3" s="8"/>
      <c r="G3" s="8"/>
      <c r="H3" s="8"/>
    </row>
    <row r="4" spans="1:8" ht="12.75">
      <c r="A4" s="2" t="s">
        <v>475</v>
      </c>
      <c r="C4" s="8"/>
      <c r="D4" s="454" t="s">
        <v>440</v>
      </c>
      <c r="E4" s="428"/>
      <c r="H4" s="8"/>
    </row>
    <row r="5" spans="1:8" ht="12.75">
      <c r="A5" s="51"/>
      <c r="C5" s="8"/>
      <c r="D5" s="453" t="s">
        <v>441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1" t="s">
        <v>255</v>
      </c>
      <c r="B7" s="247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6" t="s">
        <v>493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6" t="s">
        <v>494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6" t="s">
        <v>494</v>
      </c>
    </row>
    <row r="18" spans="1:4" ht="15" customHeight="1">
      <c r="A18" s="389" t="s">
        <v>314</v>
      </c>
      <c r="C18" s="8"/>
      <c r="D18" s="8"/>
    </row>
    <row r="19" spans="1:4" ht="15" customHeight="1">
      <c r="A19" s="489" t="s">
        <v>315</v>
      </c>
      <c r="B19" s="8" t="s">
        <v>312</v>
      </c>
      <c r="C19" s="8" t="s">
        <v>64</v>
      </c>
      <c r="D19" s="388" t="s">
        <v>494</v>
      </c>
    </row>
    <row r="20" spans="1:4" ht="13.5" thickBot="1">
      <c r="A20" s="490"/>
      <c r="B20" s="8" t="s">
        <v>313</v>
      </c>
      <c r="C20" s="8" t="s">
        <v>64</v>
      </c>
      <c r="D20" s="256" t="s">
        <v>494</v>
      </c>
    </row>
    <row r="21" spans="1:4" ht="12.75">
      <c r="A21" s="489" t="s">
        <v>311</v>
      </c>
      <c r="B21" s="8" t="s">
        <v>312</v>
      </c>
      <c r="C21" s="8"/>
      <c r="D21" s="423">
        <v>1</v>
      </c>
    </row>
    <row r="22" spans="1:4" ht="12.75">
      <c r="A22" s="489"/>
      <c r="B22" s="8" t="s">
        <v>313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211</v>
      </c>
      <c r="C24" s="8" t="s">
        <v>212</v>
      </c>
      <c r="D24" s="424" t="s">
        <v>476</v>
      </c>
    </row>
    <row r="25" ht="6.75" customHeight="1" thickBot="1">
      <c r="A25" s="12"/>
    </row>
    <row r="26" spans="1:5" ht="12.75">
      <c r="A26" s="253" t="s">
        <v>67</v>
      </c>
      <c r="C26" s="8"/>
      <c r="E26" s="443" t="s">
        <v>296</v>
      </c>
    </row>
    <row r="27" spans="1:5" ht="12.75">
      <c r="A27" s="254" t="s">
        <v>68</v>
      </c>
      <c r="C27" s="8"/>
      <c r="E27" s="444" t="s">
        <v>297</v>
      </c>
    </row>
    <row r="28" spans="1:3" ht="12.75">
      <c r="A28" s="254" t="s">
        <v>69</v>
      </c>
      <c r="C28" s="38"/>
    </row>
    <row r="29" ht="12.75">
      <c r="A29" s="255" t="s">
        <v>70</v>
      </c>
    </row>
    <row r="30" ht="12.75">
      <c r="A30" s="35"/>
    </row>
    <row r="31" spans="1:8" ht="12.75">
      <c r="A31" t="s">
        <v>286</v>
      </c>
      <c r="D31" s="421">
        <v>24319730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49">
        <f>D31*((D33*D37)+(D35*D39))</f>
        <v>2082984.8745000002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869371</v>
      </c>
      <c r="E43" s="387">
        <f>D43</f>
        <v>869371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9">
        <f>D41-D43</f>
        <v>1213613.8745000002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6">
        <v>404538</v>
      </c>
      <c r="E47" s="387">
        <f aca="true" t="shared" si="0" ref="E47:E53">D47</f>
        <v>404538</v>
      </c>
      <c r="H47" s="40"/>
      <c r="J47" s="5"/>
      <c r="K47" s="5"/>
    </row>
    <row r="48" spans="1:11" ht="12.75">
      <c r="A48" t="s">
        <v>289</v>
      </c>
      <c r="D48" s="426">
        <v>404538</v>
      </c>
      <c r="E48" s="387">
        <f>D48</f>
        <v>404538</v>
      </c>
      <c r="F48" s="22"/>
      <c r="H48" s="40"/>
      <c r="J48" s="5"/>
      <c r="K48" s="5"/>
    </row>
    <row r="49" spans="1:11" ht="12.75">
      <c r="A49" t="s">
        <v>290</v>
      </c>
      <c r="D49" s="427">
        <v>404538</v>
      </c>
      <c r="E49" s="387">
        <v>0</v>
      </c>
      <c r="F49" s="22"/>
      <c r="H49" s="40"/>
      <c r="J49" s="5"/>
      <c r="K49" s="5"/>
    </row>
    <row r="50" spans="1:11" ht="12.75">
      <c r="A50" t="s">
        <v>291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437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461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292</v>
      </c>
      <c r="E54" s="252">
        <f>SUM(E43:E53)</f>
        <v>1678447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0">
        <f>D31*D33</f>
        <v>12159865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0">
        <f>D56*D37</f>
        <v>1201394.662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0">
        <f>D31*D35</f>
        <v>12159865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0">
        <f>D60*D39</f>
        <v>881590.2124999999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1">
        <f>IF(D41&gt;0,(((D43+D47)/D41)*D62),0)</f>
        <v>539161.7192060711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1">
        <f>IF(D41&gt;0,(((D43+D47+D48)/D41)*D62),0)</f>
        <v>710375.9924109748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1">
        <f>IF(D41&gt;0,(((D43+D47+D48)/D41)*D62),0)</f>
        <v>710375.9924109748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1">
        <f>D62</f>
        <v>881590.2124999999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50"/>
  <sheetViews>
    <sheetView zoomScale="75" zoomScaleNormal="75" zoomScalePageLayoutView="0" workbookViewId="0" topLeftCell="A1">
      <selection activeCell="E203" sqref="E203"/>
    </sheetView>
  </sheetViews>
  <sheetFormatPr defaultColWidth="9.140625" defaultRowHeight="12.75"/>
  <cols>
    <col min="1" max="1" width="60.85156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</cols>
  <sheetData>
    <row r="1" spans="1:8" ht="12.75">
      <c r="A1" s="201" t="str">
        <f>REGINFO!A1</f>
        <v>PILs TAXES - EB-2008-381</v>
      </c>
      <c r="B1" s="202" t="s">
        <v>128</v>
      </c>
      <c r="C1" s="203" t="s">
        <v>34</v>
      </c>
      <c r="D1" s="204"/>
      <c r="E1" s="205" t="s">
        <v>23</v>
      </c>
      <c r="F1" s="206" t="s">
        <v>23</v>
      </c>
      <c r="G1" s="207" t="s">
        <v>463</v>
      </c>
      <c r="H1" s="208"/>
    </row>
    <row r="2" spans="1:8" ht="12.75">
      <c r="A2" s="209" t="s">
        <v>462</v>
      </c>
      <c r="B2" s="210"/>
      <c r="C2" s="211" t="s">
        <v>35</v>
      </c>
      <c r="D2" s="212"/>
      <c r="E2" s="213" t="s">
        <v>24</v>
      </c>
      <c r="F2" s="214" t="s">
        <v>24</v>
      </c>
      <c r="G2" s="181" t="s">
        <v>464</v>
      </c>
      <c r="H2" s="215"/>
    </row>
    <row r="3" spans="1:8" ht="12.75">
      <c r="A3" s="209" t="s">
        <v>49</v>
      </c>
      <c r="B3" s="216"/>
      <c r="C3" s="217"/>
      <c r="D3" s="212"/>
      <c r="E3" s="135" t="s">
        <v>21</v>
      </c>
      <c r="F3" s="218" t="s">
        <v>21</v>
      </c>
      <c r="G3" s="135"/>
      <c r="H3" s="215"/>
    </row>
    <row r="4" spans="1:8" ht="12.75">
      <c r="A4" s="219" t="s">
        <v>41</v>
      </c>
      <c r="B4" s="220"/>
      <c r="C4" s="217"/>
      <c r="D4" s="212"/>
      <c r="E4" s="135" t="s">
        <v>249</v>
      </c>
      <c r="F4" s="218" t="s">
        <v>22</v>
      </c>
      <c r="G4" s="135"/>
      <c r="H4" s="215"/>
    </row>
    <row r="5" spans="1:8" ht="12.75">
      <c r="A5" s="209">
        <f>REGINFO!E2</f>
        <v>0</v>
      </c>
      <c r="B5" s="220"/>
      <c r="C5" s="217"/>
      <c r="D5" s="212"/>
      <c r="E5" s="135"/>
      <c r="F5" s="218"/>
      <c r="G5" s="181" t="str">
        <f>REGINFO!E1</f>
        <v>Version 2009.1</v>
      </c>
      <c r="H5" s="215"/>
    </row>
    <row r="6" spans="1:8" ht="12.75">
      <c r="A6" s="209" t="str">
        <f>REGINFO!A3</f>
        <v>Utility Name: Peninsula West Utilities</v>
      </c>
      <c r="B6" s="114"/>
      <c r="D6" s="135"/>
      <c r="E6" s="114"/>
      <c r="G6" s="114"/>
      <c r="H6" s="465"/>
    </row>
    <row r="7" spans="1:8" ht="12.75">
      <c r="A7" s="209" t="str">
        <f>REGINFO!A4</f>
        <v>Reporting period:  2003</v>
      </c>
      <c r="B7" s="114"/>
      <c r="D7" s="135"/>
      <c r="E7" s="114"/>
      <c r="G7" s="114"/>
      <c r="H7" s="465"/>
    </row>
    <row r="8" spans="2:8" ht="12.75">
      <c r="B8" s="220"/>
      <c r="C8" s="228"/>
      <c r="D8" s="212"/>
      <c r="E8" s="135"/>
      <c r="F8" s="218"/>
      <c r="G8" s="181" t="s">
        <v>87</v>
      </c>
      <c r="H8" s="215"/>
    </row>
    <row r="9" spans="1:8" ht="12.75">
      <c r="A9" s="209" t="s">
        <v>126</v>
      </c>
      <c r="B9" s="429">
        <f>REGINFO!B6</f>
        <v>365</v>
      </c>
      <c r="C9" s="229" t="s">
        <v>127</v>
      </c>
      <c r="D9" s="212"/>
      <c r="E9" s="135"/>
      <c r="F9" s="218"/>
      <c r="G9" s="181" t="s">
        <v>90</v>
      </c>
      <c r="H9" s="215"/>
    </row>
    <row r="10" spans="1:8" ht="12.75">
      <c r="A10" s="209" t="s">
        <v>255</v>
      </c>
      <c r="B10" s="429">
        <f>REGINFO!B7</f>
        <v>365</v>
      </c>
      <c r="C10" s="229" t="s">
        <v>127</v>
      </c>
      <c r="D10" s="212"/>
      <c r="E10" s="230"/>
      <c r="F10" s="218"/>
      <c r="G10" s="231" t="s">
        <v>88</v>
      </c>
      <c r="H10" s="215"/>
    </row>
    <row r="11" spans="1:8" ht="12.75">
      <c r="A11" s="151"/>
      <c r="B11" s="121"/>
      <c r="C11" s="103"/>
      <c r="D11" s="17"/>
      <c r="E11" s="136"/>
      <c r="F11" s="20"/>
      <c r="G11" s="141" t="s">
        <v>89</v>
      </c>
      <c r="H11" s="149"/>
    </row>
    <row r="12" spans="1:8" ht="13.5" thickBot="1">
      <c r="A12" s="151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8"/>
      <c r="B13" s="221"/>
      <c r="C13" s="222"/>
      <c r="D13" s="223"/>
      <c r="E13" s="224"/>
      <c r="F13" s="225"/>
      <c r="G13" s="226"/>
      <c r="H13" s="227"/>
    </row>
    <row r="14" spans="1:8" ht="12.75">
      <c r="A14" s="152" t="s">
        <v>30</v>
      </c>
      <c r="B14" s="119" t="s">
        <v>102</v>
      </c>
      <c r="C14" s="104"/>
      <c r="D14" s="17"/>
      <c r="E14" s="136"/>
      <c r="F14" s="3"/>
      <c r="G14" s="182"/>
      <c r="H14" s="149"/>
    </row>
    <row r="15" spans="2:8" ht="12.75">
      <c r="B15" s="120"/>
      <c r="C15" s="104"/>
      <c r="D15" s="17"/>
      <c r="E15" s="136"/>
      <c r="F15" s="3"/>
      <c r="G15" s="182"/>
      <c r="H15" s="149"/>
    </row>
    <row r="16" spans="1:8" ht="12.75">
      <c r="A16" s="153" t="s">
        <v>340</v>
      </c>
      <c r="B16" s="123">
        <v>1</v>
      </c>
      <c r="C16" s="258">
        <v>0</v>
      </c>
      <c r="D16" s="17"/>
      <c r="E16" s="266">
        <f>G16-C16</f>
        <v>1641743</v>
      </c>
      <c r="F16" s="3"/>
      <c r="G16" s="266">
        <f>TAXREC!E50</f>
        <v>1641743</v>
      </c>
      <c r="H16" s="149"/>
    </row>
    <row r="17" spans="1:8" ht="12.75">
      <c r="A17" s="150"/>
      <c r="B17" s="123"/>
      <c r="C17" s="105"/>
      <c r="D17" s="17"/>
      <c r="E17" s="137"/>
      <c r="F17" s="3"/>
      <c r="G17" s="137"/>
      <c r="H17" s="149"/>
    </row>
    <row r="18" spans="1:8" ht="12.75">
      <c r="A18" s="150" t="s">
        <v>26</v>
      </c>
      <c r="B18" s="123"/>
      <c r="C18" s="105"/>
      <c r="D18" s="17"/>
      <c r="E18" s="137"/>
      <c r="F18" s="3"/>
      <c r="G18" s="137"/>
      <c r="H18" s="149"/>
    </row>
    <row r="19" spans="1:8" ht="12.75">
      <c r="A19" s="154" t="s">
        <v>207</v>
      </c>
      <c r="B19" s="124"/>
      <c r="C19" s="104"/>
      <c r="D19" s="18"/>
      <c r="E19" s="137"/>
      <c r="F19" s="6"/>
      <c r="G19" s="137"/>
      <c r="H19" s="149"/>
    </row>
    <row r="20" spans="1:8" ht="12.75">
      <c r="A20" s="155" t="s">
        <v>4</v>
      </c>
      <c r="B20" s="125">
        <v>2</v>
      </c>
      <c r="C20" s="260">
        <v>0</v>
      </c>
      <c r="D20" s="18"/>
      <c r="E20" s="266">
        <f>G20-C20</f>
        <v>1977602</v>
      </c>
      <c r="F20" s="6"/>
      <c r="G20" s="266">
        <f>TAXREC!E61</f>
        <v>1977602</v>
      </c>
      <c r="H20" s="149"/>
    </row>
    <row r="21" spans="1:8" ht="12.75">
      <c r="A21" s="156" t="s">
        <v>56</v>
      </c>
      <c r="B21" s="125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49"/>
    </row>
    <row r="22" spans="1:8" ht="12.75">
      <c r="A22" s="156" t="s">
        <v>263</v>
      </c>
      <c r="B22" s="125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49"/>
    </row>
    <row r="23" spans="1:8" ht="12.75">
      <c r="A23" s="156" t="s">
        <v>262</v>
      </c>
      <c r="B23" s="125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49"/>
    </row>
    <row r="24" spans="1:8" ht="12.75">
      <c r="A24" s="156" t="s">
        <v>264</v>
      </c>
      <c r="B24" s="125">
        <v>5</v>
      </c>
      <c r="C24" s="260">
        <v>0</v>
      </c>
      <c r="D24" s="18"/>
      <c r="E24" s="266">
        <f>G24-C24</f>
        <v>0</v>
      </c>
      <c r="F24" s="6"/>
      <c r="G24" s="266">
        <f>TAXREC!E65</f>
        <v>0</v>
      </c>
      <c r="H24" s="149"/>
    </row>
    <row r="25" spans="1:8" ht="12.75">
      <c r="A25" s="156" t="s">
        <v>53</v>
      </c>
      <c r="B25" s="125"/>
      <c r="C25" s="104" t="s">
        <v>102</v>
      </c>
      <c r="D25" s="18"/>
      <c r="E25" s="184"/>
      <c r="F25" s="33"/>
      <c r="G25" s="184"/>
      <c r="H25" s="149"/>
    </row>
    <row r="26" spans="1:8" ht="12.75">
      <c r="A26" s="156" t="s">
        <v>155</v>
      </c>
      <c r="B26" s="125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49"/>
    </row>
    <row r="27" spans="1:8" ht="12.75">
      <c r="A27" s="156" t="s">
        <v>158</v>
      </c>
      <c r="B27" s="125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49"/>
    </row>
    <row r="28" spans="1:8" ht="12.75">
      <c r="A28" s="156" t="s">
        <v>157</v>
      </c>
      <c r="B28" s="125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49"/>
    </row>
    <row r="29" spans="1:8" ht="12.75">
      <c r="A29" s="156" t="s">
        <v>156</v>
      </c>
      <c r="B29" s="125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49"/>
    </row>
    <row r="30" spans="1:8" ht="15.75">
      <c r="A30" s="480" t="s">
        <v>393</v>
      </c>
      <c r="B30" s="125"/>
      <c r="C30" s="258"/>
      <c r="D30" s="18"/>
      <c r="E30" s="266">
        <f>G30-C30</f>
        <v>40901</v>
      </c>
      <c r="F30" s="6"/>
      <c r="G30" s="266">
        <f>TAXREC!E66</f>
        <v>40901</v>
      </c>
      <c r="H30" s="149"/>
    </row>
    <row r="31" spans="1:8" ht="12.75">
      <c r="A31" s="156"/>
      <c r="B31" s="125"/>
      <c r="C31" s="104"/>
      <c r="D31" s="18"/>
      <c r="E31" s="137"/>
      <c r="F31" s="6"/>
      <c r="G31" s="137"/>
      <c r="H31" s="149"/>
    </row>
    <row r="32" spans="1:8" ht="12.75">
      <c r="A32" s="154" t="s">
        <v>341</v>
      </c>
      <c r="B32" s="124"/>
      <c r="C32" s="104"/>
      <c r="D32" s="130"/>
      <c r="E32" s="137"/>
      <c r="F32" s="6"/>
      <c r="G32" s="137"/>
      <c r="H32" s="149"/>
    </row>
    <row r="33" spans="1:8" ht="12.75">
      <c r="A33" s="153" t="s">
        <v>103</v>
      </c>
      <c r="B33" s="125">
        <v>7</v>
      </c>
      <c r="C33" s="260">
        <v>0</v>
      </c>
      <c r="D33" s="130"/>
      <c r="E33" s="266">
        <f aca="true" t="shared" si="0" ref="E33:E42">G33-C33</f>
        <v>1451601</v>
      </c>
      <c r="F33" s="6"/>
      <c r="G33" s="266">
        <f>TAXREC!E97+TAXREC!E98</f>
        <v>1451601</v>
      </c>
      <c r="H33" s="149"/>
    </row>
    <row r="34" spans="1:8" ht="12.75">
      <c r="A34" s="156" t="s">
        <v>57</v>
      </c>
      <c r="B34" s="125">
        <v>8</v>
      </c>
      <c r="C34" s="260"/>
      <c r="D34" s="130"/>
      <c r="E34" s="266">
        <f t="shared" si="0"/>
        <v>0</v>
      </c>
      <c r="F34" s="6"/>
      <c r="G34" s="266">
        <f>TAXREC!E99</f>
        <v>0</v>
      </c>
      <c r="H34" s="149"/>
    </row>
    <row r="35" spans="1:8" ht="12.75">
      <c r="A35" s="156" t="s">
        <v>45</v>
      </c>
      <c r="B35" s="125">
        <v>9</v>
      </c>
      <c r="C35" s="260">
        <v>0</v>
      </c>
      <c r="D35" s="130"/>
      <c r="E35" s="266">
        <f t="shared" si="0"/>
        <v>0</v>
      </c>
      <c r="F35" s="6"/>
      <c r="G35" s="266">
        <f>TAXREC!E100</f>
        <v>0</v>
      </c>
      <c r="H35" s="149"/>
    </row>
    <row r="36" spans="1:8" ht="12.75">
      <c r="A36" s="156" t="s">
        <v>265</v>
      </c>
      <c r="B36" s="125">
        <v>10</v>
      </c>
      <c r="C36" s="260">
        <v>0</v>
      </c>
      <c r="D36" s="130"/>
      <c r="E36" s="266">
        <f t="shared" si="0"/>
        <v>0</v>
      </c>
      <c r="F36" s="6"/>
      <c r="G36" s="266">
        <f>TAXREC!E102+TAXREC!E103</f>
        <v>0</v>
      </c>
      <c r="H36" s="149"/>
    </row>
    <row r="37" spans="1:8" ht="12.75">
      <c r="A37" s="153" t="s">
        <v>86</v>
      </c>
      <c r="B37" s="123">
        <v>11</v>
      </c>
      <c r="C37" s="259">
        <v>0</v>
      </c>
      <c r="D37" s="130"/>
      <c r="E37" s="266">
        <f t="shared" si="0"/>
        <v>713876</v>
      </c>
      <c r="F37" s="6"/>
      <c r="G37" s="266">
        <f>TAXREC!E51</f>
        <v>713876</v>
      </c>
      <c r="H37" s="149"/>
    </row>
    <row r="38" spans="1:8" ht="12.75">
      <c r="A38" s="153" t="s">
        <v>261</v>
      </c>
      <c r="B38" s="123">
        <v>4</v>
      </c>
      <c r="C38" s="260"/>
      <c r="D38" s="130"/>
      <c r="E38" s="266">
        <f t="shared" si="0"/>
        <v>0</v>
      </c>
      <c r="F38" s="6"/>
      <c r="G38" s="266">
        <f>TAXREC!E104</f>
        <v>0</v>
      </c>
      <c r="H38" s="149"/>
    </row>
    <row r="39" spans="1:8" ht="12.75">
      <c r="A39" s="153" t="s">
        <v>260</v>
      </c>
      <c r="B39" s="123">
        <v>4</v>
      </c>
      <c r="C39" s="260"/>
      <c r="D39" s="130"/>
      <c r="E39" s="266">
        <f t="shared" si="0"/>
        <v>0</v>
      </c>
      <c r="F39" s="6"/>
      <c r="G39" s="266">
        <f>TAXREC!E105</f>
        <v>0</v>
      </c>
      <c r="H39" s="149"/>
    </row>
    <row r="40" spans="1:8" ht="12.75">
      <c r="A40" s="153" t="s">
        <v>12</v>
      </c>
      <c r="B40" s="123">
        <v>3</v>
      </c>
      <c r="C40" s="260"/>
      <c r="D40" s="130"/>
      <c r="E40" s="266">
        <f t="shared" si="0"/>
        <v>0</v>
      </c>
      <c r="F40" s="6"/>
      <c r="G40" s="266">
        <f>TAXREC!E106</f>
        <v>0</v>
      </c>
      <c r="H40" s="149"/>
    </row>
    <row r="41" spans="1:8" ht="12.75">
      <c r="A41" s="153" t="s">
        <v>13</v>
      </c>
      <c r="B41" s="123">
        <v>3</v>
      </c>
      <c r="C41" s="260"/>
      <c r="D41" s="130"/>
      <c r="E41" s="266">
        <f t="shared" si="0"/>
        <v>0</v>
      </c>
      <c r="F41" s="6"/>
      <c r="G41" s="266">
        <f>TAXREC!E107</f>
        <v>0</v>
      </c>
      <c r="H41" s="149"/>
    </row>
    <row r="42" spans="1:8" ht="12.75">
      <c r="A42" s="153" t="s">
        <v>183</v>
      </c>
      <c r="B42" s="123">
        <v>11</v>
      </c>
      <c r="C42" s="260"/>
      <c r="D42" s="130"/>
      <c r="E42" s="266">
        <f t="shared" si="0"/>
        <v>0</v>
      </c>
      <c r="F42" s="6"/>
      <c r="G42" s="266">
        <f>TAXREC!E109</f>
        <v>0</v>
      </c>
      <c r="H42" s="149"/>
    </row>
    <row r="43" spans="1:8" ht="12.75">
      <c r="A43" s="156" t="s">
        <v>54</v>
      </c>
      <c r="B43" s="125"/>
      <c r="C43" s="104"/>
      <c r="D43" s="130"/>
      <c r="E43" s="137"/>
      <c r="F43" s="6"/>
      <c r="G43" s="137"/>
      <c r="H43" s="149"/>
    </row>
    <row r="44" spans="1:8" ht="12.75">
      <c r="A44" s="156" t="s">
        <v>155</v>
      </c>
      <c r="B44" s="125">
        <v>12</v>
      </c>
      <c r="C44" s="260"/>
      <c r="D44" s="130"/>
      <c r="E44" s="266">
        <f>G44-C44</f>
        <v>0</v>
      </c>
      <c r="F44" s="6"/>
      <c r="G44" s="249">
        <f>TAXREC!E130</f>
        <v>0</v>
      </c>
      <c r="H44" s="149"/>
    </row>
    <row r="45" spans="1:8" ht="12.75">
      <c r="A45" s="156" t="s">
        <v>152</v>
      </c>
      <c r="B45" s="125">
        <v>12</v>
      </c>
      <c r="C45" s="260"/>
      <c r="D45" s="130"/>
      <c r="E45" s="266">
        <f>G45-C45</f>
        <v>0</v>
      </c>
      <c r="F45" s="6"/>
      <c r="G45" s="249">
        <f>TAXREC!E131</f>
        <v>0</v>
      </c>
      <c r="H45" s="149"/>
    </row>
    <row r="46" spans="1:8" ht="12.75">
      <c r="A46" s="156" t="s">
        <v>154</v>
      </c>
      <c r="B46" s="125">
        <v>12</v>
      </c>
      <c r="C46" s="260"/>
      <c r="D46" s="130"/>
      <c r="E46" s="266">
        <f>G46-C46</f>
        <v>0</v>
      </c>
      <c r="F46" s="6"/>
      <c r="G46" s="249">
        <f>TAXREC!E110</f>
        <v>0</v>
      </c>
      <c r="H46" s="149"/>
    </row>
    <row r="47" spans="1:8" ht="12.75">
      <c r="A47" s="156" t="s">
        <v>153</v>
      </c>
      <c r="B47" s="125">
        <v>12</v>
      </c>
      <c r="C47" s="260"/>
      <c r="D47" s="130"/>
      <c r="E47" s="266">
        <f>G47-C47</f>
        <v>0</v>
      </c>
      <c r="F47" s="6"/>
      <c r="G47" s="249">
        <f>TAXREC!E111</f>
        <v>0</v>
      </c>
      <c r="H47" s="149"/>
    </row>
    <row r="48" spans="1:8" ht="15.75">
      <c r="A48" s="480" t="s">
        <v>393</v>
      </c>
      <c r="B48" s="125"/>
      <c r="C48" s="258"/>
      <c r="D48" s="130"/>
      <c r="E48" s="266">
        <f>G48-C48</f>
        <v>192966</v>
      </c>
      <c r="F48" s="6"/>
      <c r="G48" s="249">
        <f>TAXREC!E108</f>
        <v>192966</v>
      </c>
      <c r="H48" s="149"/>
    </row>
    <row r="49" spans="1:8" ht="12.75">
      <c r="A49" s="156"/>
      <c r="B49" s="125"/>
      <c r="C49" s="104"/>
      <c r="D49" s="130"/>
      <c r="E49" s="137"/>
      <c r="F49" s="6"/>
      <c r="G49" s="137"/>
      <c r="H49" s="149"/>
    </row>
    <row r="50" spans="1:8" ht="12.75">
      <c r="A50" s="150" t="s">
        <v>327</v>
      </c>
      <c r="B50" s="123"/>
      <c r="C50" s="262">
        <f>C16+SUM(C20:C30)-SUM(C33:C48)</f>
        <v>0</v>
      </c>
      <c r="D50" s="101"/>
      <c r="E50" s="262">
        <f>E16+SUM(E20:E30)-SUM(E33:E48)</f>
        <v>1301803</v>
      </c>
      <c r="F50" s="431" t="s">
        <v>102</v>
      </c>
      <c r="G50" s="262">
        <f>G16+SUM(G20:G30)-SUM(G33:G48)</f>
        <v>1301803</v>
      </c>
      <c r="H50" s="158"/>
    </row>
    <row r="51" spans="1:8" ht="12.75">
      <c r="A51" s="157"/>
      <c r="B51" s="123"/>
      <c r="C51" s="106"/>
      <c r="D51" s="130"/>
      <c r="E51" s="106"/>
      <c r="F51" s="6"/>
      <c r="G51" s="106"/>
      <c r="H51" s="149"/>
    </row>
    <row r="52" spans="1:8" ht="12.75">
      <c r="A52" s="156" t="s">
        <v>335</v>
      </c>
      <c r="B52" s="125"/>
      <c r="C52" s="107"/>
      <c r="D52" s="130"/>
      <c r="E52" s="137"/>
      <c r="F52" s="6"/>
      <c r="G52" s="137"/>
      <c r="H52" s="149"/>
    </row>
    <row r="53" spans="1:8" ht="12.75">
      <c r="A53" s="156" t="s">
        <v>339</v>
      </c>
      <c r="B53" s="125">
        <v>13</v>
      </c>
      <c r="C53" s="261">
        <f>IF($C$50&gt;'Tax Rates'!$E$11,'Tax Rates'!$F$16,IF($C$50&gt;'Tax Rates'!$C$11,'Tax Rates'!$E$16,'Tax Rates'!$C$16))</f>
        <v>0.1912</v>
      </c>
      <c r="D53" s="101"/>
      <c r="E53" s="267">
        <f>+G53-C53</f>
        <v>0.17500079506206048</v>
      </c>
      <c r="F53" s="113"/>
      <c r="G53" s="473">
        <f>TAXREC!E151</f>
        <v>0.3662007950620605</v>
      </c>
      <c r="H53" s="149"/>
    </row>
    <row r="54" spans="1:8" ht="12.75">
      <c r="A54" s="156"/>
      <c r="B54" s="125"/>
      <c r="C54" s="104"/>
      <c r="D54" s="130"/>
      <c r="E54" s="137"/>
      <c r="F54" s="6"/>
      <c r="G54" s="137"/>
      <c r="H54" s="149"/>
    </row>
    <row r="55" spans="1:8" ht="12.75">
      <c r="A55" s="156" t="s">
        <v>28</v>
      </c>
      <c r="B55" s="125"/>
      <c r="C55" s="263">
        <f>IF(C50&gt;0,C50*C53,0)</f>
        <v>0</v>
      </c>
      <c r="D55" s="101"/>
      <c r="E55" s="266">
        <f>G55-C55</f>
        <v>332180</v>
      </c>
      <c r="F55" s="431" t="s">
        <v>366</v>
      </c>
      <c r="G55" s="263">
        <f>TAXREC!E144</f>
        <v>332180</v>
      </c>
      <c r="H55" s="159"/>
    </row>
    <row r="56" spans="1:8" ht="12.75">
      <c r="A56" s="156"/>
      <c r="B56" s="125"/>
      <c r="C56" s="104"/>
      <c r="D56" s="130"/>
      <c r="E56" s="137"/>
      <c r="F56" s="113"/>
      <c r="G56" s="137"/>
      <c r="H56" s="149"/>
    </row>
    <row r="57" spans="1:8" ht="12.75">
      <c r="A57" s="156"/>
      <c r="B57" s="125"/>
      <c r="C57" s="104"/>
      <c r="D57" s="130"/>
      <c r="E57" s="137"/>
      <c r="F57" s="6"/>
      <c r="G57" s="137"/>
      <c r="H57" s="149"/>
    </row>
    <row r="58" spans="1:8" ht="12.75">
      <c r="A58" s="156" t="s">
        <v>36</v>
      </c>
      <c r="B58" s="125">
        <v>14</v>
      </c>
      <c r="C58" s="264"/>
      <c r="D58" s="130"/>
      <c r="E58" s="266">
        <f>+G58-C58</f>
        <v>0</v>
      </c>
      <c r="F58" s="431" t="s">
        <v>366</v>
      </c>
      <c r="G58" s="269">
        <f>TAXREC!E145</f>
        <v>0</v>
      </c>
      <c r="H58" s="149"/>
    </row>
    <row r="59" spans="1:8" ht="13.5" thickBot="1">
      <c r="A59" s="156"/>
      <c r="B59" s="125"/>
      <c r="C59" s="104"/>
      <c r="D59" s="18"/>
      <c r="E59" s="137"/>
      <c r="F59" s="6"/>
      <c r="G59" s="137"/>
      <c r="H59" s="149"/>
    </row>
    <row r="60" spans="1:8" ht="13.5" thickBot="1">
      <c r="A60" s="148" t="s">
        <v>37</v>
      </c>
      <c r="B60" s="132"/>
      <c r="C60" s="265">
        <f>+C55-C58</f>
        <v>0</v>
      </c>
      <c r="D60" s="131"/>
      <c r="E60" s="268">
        <f>+E55-E58</f>
        <v>332180</v>
      </c>
      <c r="F60" s="431" t="s">
        <v>366</v>
      </c>
      <c r="G60" s="268">
        <f>+G55-G58</f>
        <v>332180</v>
      </c>
      <c r="H60" s="133"/>
    </row>
    <row r="61" spans="1:8" ht="12.75">
      <c r="A61" s="156"/>
      <c r="B61" s="125"/>
      <c r="C61" s="104"/>
      <c r="D61" s="18"/>
      <c r="E61" s="137"/>
      <c r="F61" s="6"/>
      <c r="G61" s="137"/>
      <c r="H61" s="149"/>
    </row>
    <row r="62" spans="1:8" ht="12.75">
      <c r="A62" s="156"/>
      <c r="B62" s="121"/>
      <c r="C62" s="104"/>
      <c r="D62" s="18"/>
      <c r="E62" s="137"/>
      <c r="F62" s="6"/>
      <c r="G62" s="137"/>
      <c r="H62" s="149"/>
    </row>
    <row r="63" spans="1:8" ht="12.75">
      <c r="A63" s="152" t="s">
        <v>31</v>
      </c>
      <c r="B63" s="126"/>
      <c r="C63" s="104"/>
      <c r="D63" s="18"/>
      <c r="E63" s="137"/>
      <c r="F63" s="6"/>
      <c r="G63" s="137"/>
      <c r="H63" s="149"/>
    </row>
    <row r="64" spans="1:8" ht="12.75">
      <c r="A64" s="156"/>
      <c r="B64" s="125"/>
      <c r="C64" s="104"/>
      <c r="D64" s="18"/>
      <c r="E64" s="137"/>
      <c r="F64" s="6"/>
      <c r="G64" s="137"/>
      <c r="H64" s="149"/>
    </row>
    <row r="65" spans="1:8" ht="12.75">
      <c r="A65" s="154" t="s">
        <v>29</v>
      </c>
      <c r="B65" s="124"/>
      <c r="C65" s="104"/>
      <c r="D65" s="18"/>
      <c r="E65" s="137"/>
      <c r="F65" s="6"/>
      <c r="G65" s="137"/>
      <c r="H65" s="149"/>
    </row>
    <row r="66" spans="1:8" ht="12.75">
      <c r="A66" s="150" t="s">
        <v>17</v>
      </c>
      <c r="B66" s="123">
        <v>15</v>
      </c>
      <c r="C66" s="263">
        <f>Ratebase</f>
        <v>24319730</v>
      </c>
      <c r="D66" s="101"/>
      <c r="E66" s="266">
        <f>G66-C66</f>
        <v>5723769</v>
      </c>
      <c r="F66" s="6"/>
      <c r="G66" s="475">
        <v>30043499</v>
      </c>
      <c r="H66" s="149"/>
    </row>
    <row r="67" spans="1:8" ht="12.75">
      <c r="A67" s="150" t="s">
        <v>359</v>
      </c>
      <c r="B67" s="123">
        <v>16</v>
      </c>
      <c r="C67" s="259">
        <f>IF(C66&gt;0,'Tax Rates'!C21,0)</f>
        <v>5000000</v>
      </c>
      <c r="D67" s="101"/>
      <c r="E67" s="266">
        <f>G67-C67</f>
        <v>-32529</v>
      </c>
      <c r="F67" s="6"/>
      <c r="G67" s="266">
        <f>'Tax Rates'!C57</f>
        <v>4967471</v>
      </c>
      <c r="H67" s="149"/>
    </row>
    <row r="68" spans="1:8" ht="12.75">
      <c r="A68" s="150" t="s">
        <v>42</v>
      </c>
      <c r="B68" s="123"/>
      <c r="C68" s="263">
        <f>IF((C66-C67)&gt;0,C66-C67,0)</f>
        <v>19319730</v>
      </c>
      <c r="D68" s="101"/>
      <c r="E68" s="266">
        <f>SUM(E66:E67)</f>
        <v>5691240</v>
      </c>
      <c r="F68" s="113"/>
      <c r="G68" s="263">
        <f>G66-G67</f>
        <v>25076028</v>
      </c>
      <c r="H68" s="158"/>
    </row>
    <row r="69" spans="1:8" ht="12.75">
      <c r="A69" s="150"/>
      <c r="B69" s="123"/>
      <c r="C69" s="109"/>
      <c r="D69" s="18"/>
      <c r="E69" s="137"/>
      <c r="F69" s="6"/>
      <c r="G69" s="137"/>
      <c r="H69" s="149"/>
    </row>
    <row r="70" spans="1:8" ht="12.75">
      <c r="A70" s="150" t="s">
        <v>360</v>
      </c>
      <c r="B70" s="123">
        <v>17</v>
      </c>
      <c r="C70" s="300">
        <f>'Tax Rates'!C18</f>
        <v>0.003</v>
      </c>
      <c r="D70" s="101"/>
      <c r="E70" s="267">
        <f>+G70-C70</f>
        <v>0</v>
      </c>
      <c r="F70" s="6"/>
      <c r="G70" s="300">
        <v>0.003</v>
      </c>
      <c r="H70" s="149"/>
    </row>
    <row r="71" spans="1:8" ht="12.75">
      <c r="A71" s="150"/>
      <c r="B71" s="123"/>
      <c r="C71" s="183"/>
      <c r="D71" s="18"/>
      <c r="E71" s="138"/>
      <c r="F71" s="6"/>
      <c r="G71" s="183"/>
      <c r="H71" s="149"/>
    </row>
    <row r="72" spans="1:8" ht="12.75">
      <c r="A72" s="150" t="s">
        <v>316</v>
      </c>
      <c r="B72" s="123"/>
      <c r="C72" s="263">
        <v>0</v>
      </c>
      <c r="D72" s="100"/>
      <c r="E72" s="266">
        <f>+G72-C72</f>
        <v>75228.084</v>
      </c>
      <c r="F72" s="476"/>
      <c r="G72" s="263">
        <f>IF(G68&gt;0,G68*G70,0)*REGINFO!$B$6/REGINFO!$B$7</f>
        <v>75228.084</v>
      </c>
      <c r="H72" s="159"/>
    </row>
    <row r="73" spans="1:8" ht="12.75">
      <c r="A73" s="148"/>
      <c r="B73" s="127"/>
      <c r="C73" s="109"/>
      <c r="D73" s="134"/>
      <c r="E73" s="137"/>
      <c r="F73" s="6"/>
      <c r="G73" s="137"/>
      <c r="H73" s="149"/>
    </row>
    <row r="74" spans="1:8" ht="12.75">
      <c r="A74" s="154" t="s">
        <v>217</v>
      </c>
      <c r="B74" s="124"/>
      <c r="C74" s="109"/>
      <c r="D74" s="18"/>
      <c r="E74" s="137"/>
      <c r="F74" s="6"/>
      <c r="G74" s="137"/>
      <c r="H74" s="149"/>
    </row>
    <row r="75" spans="1:8" ht="12.75">
      <c r="A75" s="150" t="s">
        <v>17</v>
      </c>
      <c r="B75" s="123">
        <v>18</v>
      </c>
      <c r="C75" s="263">
        <f>Ratebase</f>
        <v>24319730</v>
      </c>
      <c r="D75" s="101"/>
      <c r="E75" s="266">
        <f>+G75-C75</f>
        <v>3910678</v>
      </c>
      <c r="F75" s="6"/>
      <c r="G75" s="475">
        <v>28230408</v>
      </c>
      <c r="H75" s="149"/>
    </row>
    <row r="76" spans="1:8" ht="12.75">
      <c r="A76" s="150" t="s">
        <v>359</v>
      </c>
      <c r="B76" s="123">
        <v>19</v>
      </c>
      <c r="C76" s="259">
        <f>IF(C75&gt;0,'Tax Rates'!C22,0)</f>
        <v>10000000</v>
      </c>
      <c r="D76" s="18"/>
      <c r="E76" s="266">
        <f>+G76-C76</f>
        <v>0</v>
      </c>
      <c r="F76" s="6"/>
      <c r="G76" s="266">
        <f>'Tax Rates'!C58</f>
        <v>10000000</v>
      </c>
      <c r="H76" s="149"/>
    </row>
    <row r="77" spans="1:8" ht="12.75">
      <c r="A77" s="150" t="s">
        <v>42</v>
      </c>
      <c r="B77" s="123"/>
      <c r="C77" s="263">
        <f>IF((C75-C76)&gt;0,C75-C76,0)</f>
        <v>14319730</v>
      </c>
      <c r="D77" s="19"/>
      <c r="E77" s="266">
        <f>SUM(E75:E76)</f>
        <v>3910678</v>
      </c>
      <c r="F77" s="113"/>
      <c r="G77" s="263">
        <f>G75-G76</f>
        <v>18230408</v>
      </c>
      <c r="H77" s="158"/>
    </row>
    <row r="78" spans="1:8" ht="12.75">
      <c r="A78" s="150"/>
      <c r="B78" s="123"/>
      <c r="C78" s="109"/>
      <c r="D78" s="18"/>
      <c r="E78" s="137"/>
      <c r="F78" s="6"/>
      <c r="G78" s="137"/>
      <c r="H78" s="149"/>
    </row>
    <row r="79" spans="1:8" ht="12.75">
      <c r="A79" s="150" t="s">
        <v>360</v>
      </c>
      <c r="B79" s="123">
        <v>20</v>
      </c>
      <c r="C79" s="300">
        <f>'Tax Rates'!C19</f>
        <v>0.00225</v>
      </c>
      <c r="D79" s="101"/>
      <c r="E79" s="267">
        <f>G79-C79</f>
        <v>0</v>
      </c>
      <c r="F79" s="6"/>
      <c r="G79" s="267">
        <f>'Tax Rates'!C55</f>
        <v>0.00225</v>
      </c>
      <c r="H79" s="149"/>
    </row>
    <row r="80" spans="1:8" ht="12.75">
      <c r="A80" s="150"/>
      <c r="B80" s="123"/>
      <c r="C80" s="109"/>
      <c r="D80" s="18"/>
      <c r="E80" s="137"/>
      <c r="F80" s="6"/>
      <c r="G80" s="137"/>
      <c r="H80" s="149"/>
    </row>
    <row r="81" spans="1:8" ht="12.75">
      <c r="A81" s="150" t="s">
        <v>317</v>
      </c>
      <c r="B81" s="123"/>
      <c r="C81" s="263">
        <f>IF(C77&gt;0,C77*C79,0)*REGINFO!$B$6/REGINFO!$B$7</f>
        <v>32219.392499999998</v>
      </c>
      <c r="D81" s="101"/>
      <c r="E81" s="266">
        <f>+G81-C81</f>
        <v>8799.0255</v>
      </c>
      <c r="F81" s="6"/>
      <c r="G81" s="263">
        <f>G77*G79*B9/B10</f>
        <v>41018.418</v>
      </c>
      <c r="H81" s="149"/>
    </row>
    <row r="82" spans="1:8" ht="12.75">
      <c r="A82" s="150" t="s">
        <v>318</v>
      </c>
      <c r="B82" s="123">
        <v>21</v>
      </c>
      <c r="C82" s="299">
        <f>IF(C77&gt;0,IF(C60&gt;0,C50*'Tax Rates'!C20,0),0)</f>
        <v>0</v>
      </c>
      <c r="D82" s="101"/>
      <c r="E82" s="266">
        <f>+G82-C82</f>
        <v>10160</v>
      </c>
      <c r="F82" s="6"/>
      <c r="G82" s="299">
        <v>10160</v>
      </c>
      <c r="H82" s="149"/>
    </row>
    <row r="83" spans="1:8" ht="12.75">
      <c r="A83" s="150"/>
      <c r="B83" s="123"/>
      <c r="C83" s="109"/>
      <c r="D83" s="18"/>
      <c r="E83" s="137"/>
      <c r="F83" s="6"/>
      <c r="G83" s="137"/>
      <c r="H83" s="149"/>
    </row>
    <row r="84" spans="1:8" ht="12.75">
      <c r="A84" s="150" t="s">
        <v>32</v>
      </c>
      <c r="B84" s="123"/>
      <c r="C84" s="263">
        <v>0</v>
      </c>
      <c r="D84" s="16"/>
      <c r="E84" s="266">
        <f>E81-E82</f>
        <v>-1360.9745000000003</v>
      </c>
      <c r="F84" s="102"/>
      <c r="G84" s="263">
        <f>G81-G82</f>
        <v>30858.417999999998</v>
      </c>
      <c r="H84" s="159"/>
    </row>
    <row r="85" spans="1:8" ht="12.75">
      <c r="A85" s="150"/>
      <c r="B85" s="123"/>
      <c r="C85" s="104"/>
      <c r="D85" s="11"/>
      <c r="E85" s="139"/>
      <c r="F85" s="6"/>
      <c r="G85" s="139"/>
      <c r="H85" s="161"/>
    </row>
    <row r="86" spans="1:8" ht="12.75">
      <c r="A86" s="152" t="s">
        <v>118</v>
      </c>
      <c r="B86" s="126"/>
      <c r="C86" s="104"/>
      <c r="D86" s="11"/>
      <c r="E86" s="114"/>
      <c r="F86" s="3"/>
      <c r="G86" s="121"/>
      <c r="H86" s="149"/>
    </row>
    <row r="87" spans="1:8" ht="12.75">
      <c r="A87" s="152"/>
      <c r="B87" s="126"/>
      <c r="C87" s="104"/>
      <c r="D87" s="11"/>
      <c r="E87" s="113"/>
      <c r="F87" s="6"/>
      <c r="G87" s="196"/>
      <c r="H87" s="149"/>
    </row>
    <row r="88" spans="1:8" ht="12.75">
      <c r="A88" s="150" t="s">
        <v>226</v>
      </c>
      <c r="B88" s="123"/>
      <c r="C88" s="261">
        <f>IF($C$50&gt;'Tax Rates'!$E$11,'Tax Rates'!$F$16,IF(AND($C$50&gt;='Tax Rates'!$C$11,$C$50&lt;='Tax Rates'!E11),'Tax Rates'!$E$16,'Tax Rates'!$C$16))-1.12%</f>
        <v>0.18</v>
      </c>
      <c r="D88" s="11"/>
      <c r="E88" s="113"/>
      <c r="F88" s="6"/>
      <c r="G88" s="196"/>
      <c r="H88" s="149"/>
    </row>
    <row r="89" spans="1:8" ht="12.75">
      <c r="A89" s="148"/>
      <c r="B89" s="127"/>
      <c r="C89" s="109"/>
      <c r="D89" s="11"/>
      <c r="E89" s="113"/>
      <c r="F89" s="6"/>
      <c r="G89" s="196"/>
      <c r="H89" s="149"/>
    </row>
    <row r="90" spans="1:8" ht="12.75">
      <c r="A90" s="156" t="s">
        <v>367</v>
      </c>
      <c r="B90" s="125">
        <v>22</v>
      </c>
      <c r="C90" s="263">
        <f>C60/(1-C88)</f>
        <v>0</v>
      </c>
      <c r="D90" s="20"/>
      <c r="E90" s="137"/>
      <c r="F90" s="430" t="s">
        <v>477</v>
      </c>
      <c r="G90" s="269">
        <f>TAXREC!E156</f>
        <v>332180</v>
      </c>
      <c r="H90" s="149"/>
    </row>
    <row r="91" spans="1:8" ht="12.75">
      <c r="A91" s="156" t="s">
        <v>368</v>
      </c>
      <c r="B91" s="125">
        <v>23</v>
      </c>
      <c r="C91" s="263">
        <f>C84/(1-C88)</f>
        <v>0</v>
      </c>
      <c r="D91" s="20"/>
      <c r="E91" s="137"/>
      <c r="F91" s="430" t="s">
        <v>477</v>
      </c>
      <c r="G91" s="269">
        <f>TAXREC!E158</f>
        <v>30858</v>
      </c>
      <c r="H91" s="149"/>
    </row>
    <row r="92" spans="1:8" ht="12.75">
      <c r="A92" s="156" t="s">
        <v>347</v>
      </c>
      <c r="B92" s="125">
        <v>24</v>
      </c>
      <c r="C92" s="263">
        <f>C72</f>
        <v>0</v>
      </c>
      <c r="D92" s="20"/>
      <c r="E92" s="137"/>
      <c r="F92" s="430" t="s">
        <v>477</v>
      </c>
      <c r="G92" s="269">
        <f>TAXREC!E157</f>
        <v>75228</v>
      </c>
      <c r="H92" s="149"/>
    </row>
    <row r="93" spans="1:8" ht="12.75">
      <c r="A93" s="156"/>
      <c r="B93" s="125"/>
      <c r="C93" s="109"/>
      <c r="D93" s="11"/>
      <c r="E93" s="137"/>
      <c r="F93" s="6"/>
      <c r="G93" s="137"/>
      <c r="H93" s="149"/>
    </row>
    <row r="94" spans="1:8" ht="13.5" thickBot="1">
      <c r="A94" s="156"/>
      <c r="B94" s="125"/>
      <c r="C94" s="109"/>
      <c r="D94" s="11"/>
      <c r="E94" s="137"/>
      <c r="F94" s="6"/>
      <c r="G94" s="137"/>
      <c r="H94" s="149"/>
    </row>
    <row r="95" spans="1:8" ht="13.5" thickBot="1">
      <c r="A95" s="154" t="s">
        <v>478</v>
      </c>
      <c r="B95" s="123">
        <v>25</v>
      </c>
      <c r="C95" s="268">
        <f>SUM(C90:C93)</f>
        <v>0</v>
      </c>
      <c r="D95" s="6"/>
      <c r="E95" s="137"/>
      <c r="F95" s="430" t="s">
        <v>477</v>
      </c>
      <c r="G95" s="413">
        <f>SUM(G90:G94)</f>
        <v>438266</v>
      </c>
      <c r="H95" s="162"/>
    </row>
    <row r="96" spans="1:8" ht="12.75">
      <c r="A96" s="403" t="s">
        <v>307</v>
      </c>
      <c r="B96" s="123"/>
      <c r="C96" s="104"/>
      <c r="D96" s="6"/>
      <c r="E96" s="108"/>
      <c r="F96" s="6"/>
      <c r="G96" s="137"/>
      <c r="H96" s="162"/>
    </row>
    <row r="97" spans="1:8" ht="13.5" thickBot="1">
      <c r="A97" s="150"/>
      <c r="B97" s="123"/>
      <c r="C97" s="104"/>
      <c r="D97" s="6"/>
      <c r="E97" s="108"/>
      <c r="F97" s="6"/>
      <c r="G97" s="137"/>
      <c r="H97" s="180"/>
    </row>
    <row r="98" spans="1:8" ht="13.5" thickTop="1">
      <c r="A98" s="163"/>
      <c r="B98" s="122"/>
      <c r="C98" s="110"/>
      <c r="D98" s="7"/>
      <c r="E98" s="140"/>
      <c r="F98" s="7"/>
      <c r="G98" s="197"/>
      <c r="H98" s="162"/>
    </row>
    <row r="99" spans="1:8" ht="12.75">
      <c r="A99" s="154" t="s">
        <v>304</v>
      </c>
      <c r="B99" s="121"/>
      <c r="C99" s="111"/>
      <c r="D99" s="3"/>
      <c r="E99" s="111"/>
      <c r="F99" s="3"/>
      <c r="G99" s="198"/>
      <c r="H99" s="162"/>
    </row>
    <row r="100" spans="1:8" ht="15">
      <c r="A100" s="164" t="s">
        <v>246</v>
      </c>
      <c r="B100" s="121"/>
      <c r="C100" s="111"/>
      <c r="D100" s="3"/>
      <c r="E100" s="141" t="s">
        <v>248</v>
      </c>
      <c r="F100" s="37"/>
      <c r="G100" s="198"/>
      <c r="H100" s="162"/>
    </row>
    <row r="101" spans="1:8" ht="12.75">
      <c r="A101" s="154" t="s">
        <v>345</v>
      </c>
      <c r="B101" s="121"/>
      <c r="C101" s="111"/>
      <c r="D101" s="3"/>
      <c r="E101" s="111"/>
      <c r="F101" s="37"/>
      <c r="G101" s="198"/>
      <c r="H101" s="162"/>
    </row>
    <row r="102" spans="1:8" ht="12.75">
      <c r="A102" s="156" t="s">
        <v>56</v>
      </c>
      <c r="B102" s="125">
        <v>3</v>
      </c>
      <c r="C102" s="111"/>
      <c r="D102" s="3"/>
      <c r="E102" s="249">
        <f>E21</f>
        <v>0</v>
      </c>
      <c r="F102" s="37"/>
      <c r="G102" s="199"/>
      <c r="H102" s="162"/>
    </row>
    <row r="103" spans="1:8" ht="12.75">
      <c r="A103" s="156" t="s">
        <v>10</v>
      </c>
      <c r="B103" s="125">
        <v>4</v>
      </c>
      <c r="C103" s="111"/>
      <c r="D103" s="3"/>
      <c r="E103" s="249">
        <f>E22</f>
        <v>0</v>
      </c>
      <c r="F103" s="37"/>
      <c r="G103" s="199"/>
      <c r="H103" s="162"/>
    </row>
    <row r="104" spans="1:8" ht="12.75">
      <c r="A104" s="156" t="s">
        <v>100</v>
      </c>
      <c r="B104" s="125">
        <v>4</v>
      </c>
      <c r="C104" s="111"/>
      <c r="D104" s="3"/>
      <c r="E104" s="249">
        <f>E23</f>
        <v>0</v>
      </c>
      <c r="F104" s="37"/>
      <c r="G104" s="199"/>
      <c r="H104" s="162"/>
    </row>
    <row r="105" spans="1:8" ht="12.75">
      <c r="A105" s="156" t="s">
        <v>44</v>
      </c>
      <c r="B105" s="125">
        <v>5</v>
      </c>
      <c r="C105" s="111"/>
      <c r="D105" s="3"/>
      <c r="E105" s="249">
        <f>E24</f>
        <v>0</v>
      </c>
      <c r="F105" s="37"/>
      <c r="G105" s="199"/>
      <c r="H105" s="162"/>
    </row>
    <row r="106" spans="1:8" ht="12.75">
      <c r="A106" s="156" t="s">
        <v>362</v>
      </c>
      <c r="B106" s="125">
        <v>6</v>
      </c>
      <c r="C106" s="111"/>
      <c r="D106" s="3"/>
      <c r="E106" s="249">
        <f>E26</f>
        <v>0</v>
      </c>
      <c r="F106" s="37"/>
      <c r="G106" s="199"/>
      <c r="H106" s="162"/>
    </row>
    <row r="107" spans="1:8" ht="12.75">
      <c r="A107" s="156" t="s">
        <v>363</v>
      </c>
      <c r="B107" s="125">
        <v>6</v>
      </c>
      <c r="C107" s="111"/>
      <c r="D107" s="3"/>
      <c r="E107" s="249">
        <f>E28</f>
        <v>0</v>
      </c>
      <c r="F107" s="37"/>
      <c r="G107" s="199"/>
      <c r="H107" s="162"/>
    </row>
    <row r="108" spans="1:8" ht="12.75">
      <c r="A108" s="154" t="s">
        <v>361</v>
      </c>
      <c r="B108" s="125"/>
      <c r="C108" s="111"/>
      <c r="D108" s="3"/>
      <c r="E108" s="30"/>
      <c r="F108" s="37"/>
      <c r="G108" s="199"/>
      <c r="H108" s="162"/>
    </row>
    <row r="109" spans="1:8" ht="12.75">
      <c r="A109" s="156" t="s">
        <v>57</v>
      </c>
      <c r="B109" s="125">
        <v>8</v>
      </c>
      <c r="C109" s="111"/>
      <c r="D109" s="3"/>
      <c r="E109" s="249">
        <f>E34</f>
        <v>0</v>
      </c>
      <c r="F109" s="37"/>
      <c r="G109" s="199"/>
      <c r="H109" s="162"/>
    </row>
    <row r="110" spans="1:8" ht="12.75">
      <c r="A110" s="156" t="s">
        <v>45</v>
      </c>
      <c r="B110" s="125">
        <v>9</v>
      </c>
      <c r="C110" s="111"/>
      <c r="D110" s="3"/>
      <c r="E110" s="249">
        <f>E35</f>
        <v>0</v>
      </c>
      <c r="F110" s="37"/>
      <c r="G110" s="199"/>
      <c r="H110" s="162"/>
    </row>
    <row r="111" spans="1:8" ht="12.75">
      <c r="A111" s="156" t="s">
        <v>44</v>
      </c>
      <c r="B111" s="125">
        <v>10</v>
      </c>
      <c r="C111" s="111"/>
      <c r="D111" s="3"/>
      <c r="E111" s="249">
        <f>E36</f>
        <v>0</v>
      </c>
      <c r="F111" s="37"/>
      <c r="G111" s="199"/>
      <c r="H111" s="162"/>
    </row>
    <row r="112" spans="1:8" ht="12.75">
      <c r="A112" s="153" t="s">
        <v>487</v>
      </c>
      <c r="B112" s="125">
        <v>11</v>
      </c>
      <c r="C112" s="111"/>
      <c r="D112" s="3"/>
      <c r="E112" s="472">
        <f>E206</f>
        <v>0</v>
      </c>
      <c r="F112" s="185"/>
      <c r="G112" s="199"/>
      <c r="H112" s="162"/>
    </row>
    <row r="113" spans="1:8" ht="12.75">
      <c r="A113" s="153" t="s">
        <v>15</v>
      </c>
      <c r="B113" s="123">
        <v>4</v>
      </c>
      <c r="C113" s="111"/>
      <c r="D113" s="3"/>
      <c r="E113" s="249">
        <f>E38</f>
        <v>0</v>
      </c>
      <c r="F113" s="37"/>
      <c r="G113" s="199"/>
      <c r="H113" s="162"/>
    </row>
    <row r="114" spans="1:8" ht="12.75">
      <c r="A114" s="153" t="s">
        <v>101</v>
      </c>
      <c r="B114" s="123">
        <v>4</v>
      </c>
      <c r="C114" s="111"/>
      <c r="D114" s="3"/>
      <c r="E114" s="249">
        <f>E39</f>
        <v>0</v>
      </c>
      <c r="F114" s="37"/>
      <c r="G114" s="199"/>
      <c r="H114" s="162"/>
    </row>
    <row r="115" spans="1:8" ht="12.75">
      <c r="A115" s="153" t="s">
        <v>12</v>
      </c>
      <c r="B115" s="123">
        <v>3</v>
      </c>
      <c r="C115" s="111"/>
      <c r="D115" s="3"/>
      <c r="E115" s="249">
        <f>E40</f>
        <v>0</v>
      </c>
      <c r="F115" s="37"/>
      <c r="G115" s="199"/>
      <c r="H115" s="162"/>
    </row>
    <row r="116" spans="1:8" ht="12.75">
      <c r="A116" s="153" t="s">
        <v>13</v>
      </c>
      <c r="B116" s="123">
        <v>3</v>
      </c>
      <c r="C116" s="111"/>
      <c r="D116" s="3"/>
      <c r="E116" s="249">
        <f>E41</f>
        <v>0</v>
      </c>
      <c r="F116" s="37"/>
      <c r="G116" s="199"/>
      <c r="H116" s="162"/>
    </row>
    <row r="117" spans="1:8" ht="12.75">
      <c r="A117" s="156" t="s">
        <v>364</v>
      </c>
      <c r="B117" s="125">
        <v>12</v>
      </c>
      <c r="C117" s="111"/>
      <c r="D117" s="3"/>
      <c r="E117" s="249">
        <f>E44</f>
        <v>0</v>
      </c>
      <c r="F117" s="37"/>
      <c r="G117" s="199"/>
      <c r="H117" s="162"/>
    </row>
    <row r="118" spans="1:8" ht="12.75">
      <c r="A118" s="156" t="s">
        <v>365</v>
      </c>
      <c r="B118" s="125">
        <v>12</v>
      </c>
      <c r="C118" s="111"/>
      <c r="D118" s="3"/>
      <c r="E118" s="249">
        <f>E46</f>
        <v>0</v>
      </c>
      <c r="F118" s="37"/>
      <c r="G118" s="199"/>
      <c r="H118" s="162"/>
    </row>
    <row r="119" spans="1:8" ht="12.75">
      <c r="A119" s="156"/>
      <c r="B119" s="125"/>
      <c r="C119" s="111"/>
      <c r="D119" s="3"/>
      <c r="E119" s="109"/>
      <c r="F119" s="37"/>
      <c r="G119" s="199"/>
      <c r="H119" s="162"/>
    </row>
    <row r="120" spans="1:8" ht="12.75">
      <c r="A120" s="150" t="s">
        <v>219</v>
      </c>
      <c r="B120" s="125">
        <v>26</v>
      </c>
      <c r="C120" s="111"/>
      <c r="D120" s="115" t="s">
        <v>188</v>
      </c>
      <c r="E120" s="263">
        <f>SUM(E102:E107)-SUM(E109:E118)</f>
        <v>0</v>
      </c>
      <c r="F120" s="37"/>
      <c r="G120" s="199"/>
      <c r="H120" s="162"/>
    </row>
    <row r="121" spans="1:8" ht="12.75">
      <c r="A121" s="150"/>
      <c r="B121" s="125"/>
      <c r="C121" s="111"/>
      <c r="D121" s="115"/>
      <c r="E121" s="109"/>
      <c r="F121" s="37"/>
      <c r="G121" s="199"/>
      <c r="H121" s="162"/>
    </row>
    <row r="122" spans="1:8" ht="12.75">
      <c r="A122" s="155" t="s">
        <v>479</v>
      </c>
      <c r="B122" s="125"/>
      <c r="C122" s="111"/>
      <c r="D122" s="3" t="s">
        <v>230</v>
      </c>
      <c r="E122" s="469">
        <f>+'Tax Rates'!F52</f>
        <v>0.36619999999999997</v>
      </c>
      <c r="F122" s="470"/>
      <c r="G122" s="199" t="s">
        <v>102</v>
      </c>
      <c r="H122" s="162"/>
    </row>
    <row r="123" spans="1:8" ht="12.75">
      <c r="A123" s="156"/>
      <c r="B123" s="125"/>
      <c r="C123" s="111"/>
      <c r="D123" s="3"/>
      <c r="E123" s="109"/>
      <c r="F123" s="37"/>
      <c r="G123" s="199" t="s">
        <v>102</v>
      </c>
      <c r="H123" s="162"/>
    </row>
    <row r="124" spans="1:8" ht="12.75">
      <c r="A124" s="156" t="s">
        <v>245</v>
      </c>
      <c r="B124" s="125"/>
      <c r="C124" s="111"/>
      <c r="D124" s="3" t="s">
        <v>188</v>
      </c>
      <c r="E124" s="263">
        <f>E120*E122</f>
        <v>0</v>
      </c>
      <c r="F124" s="37"/>
      <c r="G124" s="199"/>
      <c r="H124" s="162"/>
    </row>
    <row r="125" spans="1:8" ht="12.75">
      <c r="A125" s="156"/>
      <c r="B125" s="125"/>
      <c r="C125" s="111"/>
      <c r="D125" s="3"/>
      <c r="E125" s="109"/>
      <c r="F125" s="37"/>
      <c r="G125" s="199"/>
      <c r="H125" s="162"/>
    </row>
    <row r="126" spans="1:8" ht="12.75">
      <c r="A126" s="156" t="s">
        <v>114</v>
      </c>
      <c r="B126" s="125">
        <v>14</v>
      </c>
      <c r="C126" s="111"/>
      <c r="D126" s="3"/>
      <c r="E126" s="263">
        <f>E58</f>
        <v>0</v>
      </c>
      <c r="F126" s="37"/>
      <c r="G126" s="199"/>
      <c r="H126" s="162"/>
    </row>
    <row r="127" spans="1:8" ht="12.75">
      <c r="A127" s="156"/>
      <c r="B127" s="125"/>
      <c r="C127" s="111"/>
      <c r="D127" s="3"/>
      <c r="E127" s="109"/>
      <c r="F127" s="37"/>
      <c r="G127" s="199"/>
      <c r="H127" s="162"/>
    </row>
    <row r="128" spans="1:8" ht="12.75">
      <c r="A128" s="156" t="s">
        <v>117</v>
      </c>
      <c r="B128" s="125"/>
      <c r="C128" s="111"/>
      <c r="D128" s="3"/>
      <c r="E128" s="263">
        <f>E124-E126</f>
        <v>0</v>
      </c>
      <c r="F128" s="37"/>
      <c r="G128" s="199"/>
      <c r="H128" s="162"/>
    </row>
    <row r="129" spans="1:8" ht="12.75">
      <c r="A129" s="165"/>
      <c r="B129" s="125"/>
      <c r="C129" s="111"/>
      <c r="D129" s="3"/>
      <c r="E129" s="109"/>
      <c r="F129" s="37"/>
      <c r="G129" s="199"/>
      <c r="H129" s="162"/>
    </row>
    <row r="130" spans="1:8" ht="12.75">
      <c r="A130" s="150" t="s">
        <v>195</v>
      </c>
      <c r="B130" s="125"/>
      <c r="C130" s="111"/>
      <c r="D130" s="3"/>
      <c r="E130" s="311">
        <f>IF((E120+C50)&gt;'Tax Rates'!$E$47,'Tax Rates'!$F$52-1.12%,IF((E120+C50)&gt;'Tax Rates'!$D$47,'Tax Rates'!$E$52-1.12%,IF((E120+C50)&gt;'Tax Rates'!$C$47,'Tax Rates'!$D$52-1.12%,'Tax Rates'!$C$52-1.12%)))</f>
        <v>0.18</v>
      </c>
      <c r="F130" s="37"/>
      <c r="G130" s="199"/>
      <c r="H130" s="162"/>
    </row>
    <row r="131" spans="1:8" ht="12.75">
      <c r="A131" s="148"/>
      <c r="B131" s="125"/>
      <c r="C131" s="111"/>
      <c r="D131" s="3"/>
      <c r="E131" s="109"/>
      <c r="F131" s="37"/>
      <c r="G131" s="199"/>
      <c r="H131" s="162"/>
    </row>
    <row r="132" spans="1:8" ht="12.75">
      <c r="A132" s="166" t="s">
        <v>351</v>
      </c>
      <c r="B132" s="128"/>
      <c r="C132" s="111"/>
      <c r="D132" s="3"/>
      <c r="E132" s="484">
        <f>E128/(1-E130)</f>
        <v>0</v>
      </c>
      <c r="F132" s="37"/>
      <c r="G132" s="199"/>
      <c r="H132" s="162"/>
    </row>
    <row r="133" spans="1:8" ht="12.75">
      <c r="A133" s="166"/>
      <c r="B133" s="128"/>
      <c r="C133" s="111"/>
      <c r="D133" s="3"/>
      <c r="E133" s="106"/>
      <c r="F133" s="37"/>
      <c r="G133" s="199"/>
      <c r="H133" s="162"/>
    </row>
    <row r="134" spans="1:8" ht="30">
      <c r="A134" s="167" t="s">
        <v>354</v>
      </c>
      <c r="B134" s="128"/>
      <c r="C134" s="111"/>
      <c r="D134" s="3"/>
      <c r="E134" s="106"/>
      <c r="F134" s="37"/>
      <c r="G134" s="199"/>
      <c r="H134" s="162"/>
    </row>
    <row r="135" spans="1:8" ht="12.75">
      <c r="A135" s="168"/>
      <c r="B135" s="128"/>
      <c r="C135" s="111"/>
      <c r="D135" s="3"/>
      <c r="E135" s="106"/>
      <c r="F135" s="37"/>
      <c r="G135" s="199"/>
      <c r="H135" s="162"/>
    </row>
    <row r="136" spans="1:8" ht="25.5">
      <c r="A136" s="169" t="s">
        <v>234</v>
      </c>
      <c r="B136" s="128"/>
      <c r="C136" s="111"/>
      <c r="D136" s="116" t="s">
        <v>188</v>
      </c>
      <c r="E136" s="301">
        <f>C50</f>
        <v>0</v>
      </c>
      <c r="F136" s="37"/>
      <c r="G136" s="199"/>
      <c r="H136" s="162"/>
    </row>
    <row r="137" spans="1:8" ht="12.75">
      <c r="A137" s="169"/>
      <c r="B137" s="128"/>
      <c r="C137" s="111"/>
      <c r="D137" s="117"/>
      <c r="E137" s="143"/>
      <c r="F137" s="37"/>
      <c r="G137" s="199"/>
      <c r="H137" s="162"/>
    </row>
    <row r="138" spans="1:8" ht="12.75">
      <c r="A138" s="169" t="s">
        <v>236</v>
      </c>
      <c r="B138" s="128"/>
      <c r="C138" s="111"/>
      <c r="D138" s="117" t="s">
        <v>230</v>
      </c>
      <c r="E138" s="311">
        <f>IF((E120+E136)&gt;'Tax Rates'!E47,'Tax Rates'!F52,IF((E120+E136)&gt;'Tax Rates'!D47,'Tax Rates'!E52,IF((E120+E136)&gt;'Tax Rates'!C47,'Tax Rates'!D52,'Tax Rates'!C52)))</f>
        <v>0.1912</v>
      </c>
      <c r="F138" s="195" t="s">
        <v>102</v>
      </c>
      <c r="G138" s="199"/>
      <c r="H138" s="162"/>
    </row>
    <row r="139" spans="1:8" ht="12.75">
      <c r="A139" s="169"/>
      <c r="B139" s="128"/>
      <c r="C139" s="111"/>
      <c r="D139" s="117"/>
      <c r="E139" s="142"/>
      <c r="F139" s="37"/>
      <c r="G139" s="199"/>
      <c r="H139" s="162"/>
    </row>
    <row r="140" spans="1:8" ht="12.75">
      <c r="A140" s="169" t="s">
        <v>228</v>
      </c>
      <c r="B140" s="128"/>
      <c r="C140" s="111"/>
      <c r="D140" s="116" t="s">
        <v>188</v>
      </c>
      <c r="E140" s="302">
        <f>IF(E136&gt;0,E136*E138,0)</f>
        <v>0</v>
      </c>
      <c r="F140" s="37"/>
      <c r="G140" s="199"/>
      <c r="H140" s="162"/>
    </row>
    <row r="141" spans="1:8" ht="12.75">
      <c r="A141" s="169"/>
      <c r="B141" s="128"/>
      <c r="C141" s="111"/>
      <c r="D141" s="117"/>
      <c r="E141" s="142"/>
      <c r="F141" s="37"/>
      <c r="G141" s="199"/>
      <c r="H141" s="162"/>
    </row>
    <row r="142" spans="1:8" ht="12.75">
      <c r="A142" s="169" t="s">
        <v>237</v>
      </c>
      <c r="B142" s="128"/>
      <c r="C142" s="111"/>
      <c r="D142" s="116" t="s">
        <v>187</v>
      </c>
      <c r="E142" s="303">
        <f>TAXREC!E145</f>
        <v>0</v>
      </c>
      <c r="F142" s="37"/>
      <c r="G142" s="199"/>
      <c r="H142" s="162"/>
    </row>
    <row r="143" spans="1:8" ht="12.75">
      <c r="A143" s="169"/>
      <c r="B143" s="128"/>
      <c r="C143" s="111"/>
      <c r="D143" s="117"/>
      <c r="E143" s="142"/>
      <c r="F143" s="37"/>
      <c r="G143" s="199"/>
      <c r="H143" s="162"/>
    </row>
    <row r="144" spans="1:8" ht="12.75">
      <c r="A144" s="169" t="s">
        <v>229</v>
      </c>
      <c r="B144" s="128"/>
      <c r="C144" s="111"/>
      <c r="D144" s="117" t="s">
        <v>188</v>
      </c>
      <c r="E144" s="301">
        <f>E140-E142</f>
        <v>0</v>
      </c>
      <c r="F144" s="37"/>
      <c r="G144" s="199"/>
      <c r="H144" s="162"/>
    </row>
    <row r="145" spans="1:8" ht="12.75">
      <c r="A145" s="169"/>
      <c r="B145" s="128"/>
      <c r="C145" s="111"/>
      <c r="D145" s="117"/>
      <c r="E145" s="142"/>
      <c r="F145" s="37"/>
      <c r="G145" s="199"/>
      <c r="H145" s="162"/>
    </row>
    <row r="146" spans="1:8" ht="25.5">
      <c r="A146" s="169" t="s">
        <v>238</v>
      </c>
      <c r="B146" s="128"/>
      <c r="C146" s="111"/>
      <c r="D146" s="116" t="s">
        <v>187</v>
      </c>
      <c r="E146" s="301">
        <f>C60</f>
        <v>0</v>
      </c>
      <c r="F146" s="37"/>
      <c r="G146" s="199"/>
      <c r="H146" s="162"/>
    </row>
    <row r="147" spans="1:8" ht="12.75">
      <c r="A147" s="169"/>
      <c r="B147" s="128"/>
      <c r="C147" s="111"/>
      <c r="D147" s="117"/>
      <c r="E147" s="142"/>
      <c r="F147" s="37"/>
      <c r="G147" s="199"/>
      <c r="H147" s="162"/>
    </row>
    <row r="148" spans="1:8" ht="12.75">
      <c r="A148" s="169" t="s">
        <v>231</v>
      </c>
      <c r="B148" s="128"/>
      <c r="C148" s="111"/>
      <c r="D148" s="116" t="s">
        <v>188</v>
      </c>
      <c r="E148" s="301">
        <f>E144-E146</f>
        <v>0</v>
      </c>
      <c r="F148" s="37"/>
      <c r="G148" s="199"/>
      <c r="H148" s="162"/>
    </row>
    <row r="149" spans="1:8" ht="12.75">
      <c r="A149" s="169"/>
      <c r="B149" s="128"/>
      <c r="C149" s="111"/>
      <c r="D149" s="117"/>
      <c r="E149" s="142"/>
      <c r="F149" s="37"/>
      <c r="G149" s="199"/>
      <c r="H149" s="162"/>
    </row>
    <row r="150" spans="1:8" ht="12.75">
      <c r="A150" s="386" t="s">
        <v>20</v>
      </c>
      <c r="B150" s="128"/>
      <c r="C150" s="111"/>
      <c r="D150" s="117"/>
      <c r="E150" s="479"/>
      <c r="F150" s="37"/>
      <c r="G150" s="199"/>
      <c r="H150" s="162"/>
    </row>
    <row r="151" spans="1:8" ht="12.75">
      <c r="A151" s="169" t="s">
        <v>17</v>
      </c>
      <c r="B151" s="128"/>
      <c r="C151" s="111"/>
      <c r="D151" s="117" t="s">
        <v>188</v>
      </c>
      <c r="E151" s="301">
        <f>C66</f>
        <v>24319730</v>
      </c>
      <c r="F151" s="37"/>
      <c r="G151" s="199"/>
      <c r="H151" s="162"/>
    </row>
    <row r="152" spans="1:8" ht="12.75">
      <c r="A152" s="169" t="s">
        <v>357</v>
      </c>
      <c r="B152" s="128"/>
      <c r="C152" s="111"/>
      <c r="D152" s="116" t="s">
        <v>187</v>
      </c>
      <c r="E152" s="304">
        <f>IF(E151&gt;0,'Tax Rates'!C39,0)</f>
        <v>5000000</v>
      </c>
      <c r="F152" s="37"/>
      <c r="G152" s="199"/>
      <c r="H152" s="162"/>
    </row>
    <row r="153" spans="1:8" ht="12.75">
      <c r="A153" s="169" t="s">
        <v>232</v>
      </c>
      <c r="B153" s="128"/>
      <c r="C153" s="111"/>
      <c r="D153" s="116" t="s">
        <v>188</v>
      </c>
      <c r="E153" s="301">
        <f>E151-E152</f>
        <v>19319730</v>
      </c>
      <c r="F153" s="37"/>
      <c r="G153" s="199"/>
      <c r="H153" s="162"/>
    </row>
    <row r="154" spans="1:8" ht="12.75">
      <c r="A154" s="169"/>
      <c r="B154" s="128"/>
      <c r="C154" s="111"/>
      <c r="D154" s="117"/>
      <c r="E154" s="142"/>
      <c r="F154" s="37"/>
      <c r="G154" s="199"/>
      <c r="H154" s="162"/>
    </row>
    <row r="155" spans="1:8" ht="12.75">
      <c r="A155" s="169" t="s">
        <v>358</v>
      </c>
      <c r="B155" s="128"/>
      <c r="C155" s="111"/>
      <c r="D155" s="117" t="s">
        <v>230</v>
      </c>
      <c r="E155" s="305">
        <f>'Tax Rates'!C54</f>
        <v>0.003</v>
      </c>
      <c r="F155" s="37"/>
      <c r="G155" s="199"/>
      <c r="H155" s="162"/>
    </row>
    <row r="156" spans="1:8" ht="12.75">
      <c r="A156" s="169"/>
      <c r="B156" s="128"/>
      <c r="C156" s="111"/>
      <c r="D156" s="117"/>
      <c r="E156" s="142"/>
      <c r="F156" s="37"/>
      <c r="G156" s="199"/>
      <c r="H156" s="162"/>
    </row>
    <row r="157" spans="1:8" ht="12.75">
      <c r="A157" s="169" t="s">
        <v>233</v>
      </c>
      <c r="B157" s="128"/>
      <c r="C157" s="111"/>
      <c r="D157" s="117" t="s">
        <v>188</v>
      </c>
      <c r="E157" s="301">
        <f>IF(E153&gt;0,E153*E155*B9/B10,0)</f>
        <v>57959.19</v>
      </c>
      <c r="F157" s="37"/>
      <c r="G157" s="199"/>
      <c r="H157" s="162"/>
    </row>
    <row r="158" spans="1:8" ht="25.5">
      <c r="A158" s="169" t="s">
        <v>308</v>
      </c>
      <c r="B158" s="128"/>
      <c r="C158" s="111"/>
      <c r="D158" s="116" t="s">
        <v>187</v>
      </c>
      <c r="E158" s="304">
        <f>C72</f>
        <v>0</v>
      </c>
      <c r="F158" s="37"/>
      <c r="G158" s="199"/>
      <c r="H158" s="162"/>
    </row>
    <row r="159" spans="1:8" ht="12.75" customHeight="1">
      <c r="A159" s="170" t="s">
        <v>243</v>
      </c>
      <c r="B159" s="128"/>
      <c r="C159" s="111"/>
      <c r="D159" s="116" t="s">
        <v>188</v>
      </c>
      <c r="E159" s="474">
        <f>E157-E158</f>
        <v>57959.19</v>
      </c>
      <c r="F159" s="37"/>
      <c r="G159" s="199"/>
      <c r="H159" s="162"/>
    </row>
    <row r="160" spans="1:8" ht="12.75">
      <c r="A160" s="169"/>
      <c r="B160" s="128"/>
      <c r="C160" s="111"/>
      <c r="D160" s="117"/>
      <c r="E160" s="142"/>
      <c r="F160" s="37"/>
      <c r="G160" s="199"/>
      <c r="H160" s="162"/>
    </row>
    <row r="161" spans="1:8" ht="12.75">
      <c r="A161" s="386" t="s">
        <v>235</v>
      </c>
      <c r="B161" s="128"/>
      <c r="C161" s="111"/>
      <c r="D161" s="117"/>
      <c r="E161" s="303"/>
      <c r="F161" s="37"/>
      <c r="G161" s="199"/>
      <c r="H161" s="162"/>
    </row>
    <row r="162" spans="1:8" ht="12.75">
      <c r="A162" s="169" t="s">
        <v>17</v>
      </c>
      <c r="B162" s="128"/>
      <c r="C162" s="111"/>
      <c r="D162" s="117"/>
      <c r="E162" s="301">
        <f>C75</f>
        <v>24319730</v>
      </c>
      <c r="F162" s="37"/>
      <c r="G162" s="199"/>
      <c r="H162" s="162"/>
    </row>
    <row r="163" spans="1:8" ht="12.75">
      <c r="A163" s="169" t="s">
        <v>356</v>
      </c>
      <c r="B163" s="128"/>
      <c r="C163" s="111"/>
      <c r="D163" s="116" t="s">
        <v>187</v>
      </c>
      <c r="E163" s="304">
        <f>IF(E162&gt;0,'Tax Rates'!C40,0)</f>
        <v>10000000</v>
      </c>
      <c r="F163" s="37"/>
      <c r="G163" s="199"/>
      <c r="H163" s="162"/>
    </row>
    <row r="164" spans="1:8" ht="12.75">
      <c r="A164" s="169" t="s">
        <v>239</v>
      </c>
      <c r="B164" s="128"/>
      <c r="C164" s="111"/>
      <c r="D164" s="117" t="s">
        <v>188</v>
      </c>
      <c r="E164" s="301">
        <f>E162-E163</f>
        <v>14319730</v>
      </c>
      <c r="F164" s="37"/>
      <c r="G164" s="199"/>
      <c r="H164" s="162"/>
    </row>
    <row r="165" spans="1:8" ht="12.75">
      <c r="A165" s="169"/>
      <c r="B165" s="128"/>
      <c r="C165" s="111"/>
      <c r="D165" s="117"/>
      <c r="E165" s="142"/>
      <c r="F165" s="37"/>
      <c r="G165" s="199"/>
      <c r="H165" s="162"/>
    </row>
    <row r="166" spans="1:8" ht="12.75">
      <c r="A166" s="169" t="s">
        <v>309</v>
      </c>
      <c r="B166" s="128"/>
      <c r="C166" s="111"/>
      <c r="D166" s="117"/>
      <c r="E166" s="305">
        <f>'Tax Rates'!C55</f>
        <v>0.00225</v>
      </c>
      <c r="F166" s="37"/>
      <c r="G166" s="199"/>
      <c r="H166" s="162"/>
    </row>
    <row r="167" spans="1:8" ht="12.75">
      <c r="A167" s="169"/>
      <c r="B167" s="128"/>
      <c r="C167" s="111"/>
      <c r="D167" s="117"/>
      <c r="E167" s="142"/>
      <c r="F167" s="37"/>
      <c r="G167" s="199"/>
      <c r="H167" s="162"/>
    </row>
    <row r="168" spans="1:8" ht="12.75">
      <c r="A168" s="169" t="s">
        <v>240</v>
      </c>
      <c r="B168" s="128"/>
      <c r="C168" s="111"/>
      <c r="D168" s="117"/>
      <c r="E168" s="301">
        <f>IF(E164&gt;0,E164*E166*B9/B10,0)</f>
        <v>32219.392499999998</v>
      </c>
      <c r="F168" s="37"/>
      <c r="G168" s="199"/>
      <c r="H168" s="162"/>
    </row>
    <row r="169" spans="1:8" ht="12.75">
      <c r="A169" s="169" t="s">
        <v>319</v>
      </c>
      <c r="B169" s="128"/>
      <c r="C169" s="111"/>
      <c r="D169" s="116" t="s">
        <v>187</v>
      </c>
      <c r="E169" s="306">
        <f>IF(E164&gt;0,IF(E144&gt;0,E136*'Tax Rates'!C56,0),0)</f>
        <v>0</v>
      </c>
      <c r="F169" s="37"/>
      <c r="G169" s="199"/>
      <c r="H169" s="162"/>
    </row>
    <row r="170" spans="1:8" ht="12.75">
      <c r="A170" s="169" t="s">
        <v>241</v>
      </c>
      <c r="B170" s="128"/>
      <c r="C170" s="111"/>
      <c r="D170" s="117" t="s">
        <v>188</v>
      </c>
      <c r="E170" s="301">
        <f>E168-E169</f>
        <v>32219.392499999998</v>
      </c>
      <c r="F170" s="37"/>
      <c r="G170" s="199"/>
      <c r="H170" s="162"/>
    </row>
    <row r="171" spans="1:8" ht="12.75">
      <c r="A171" s="169"/>
      <c r="B171" s="128"/>
      <c r="C171" s="111"/>
      <c r="D171" s="117"/>
      <c r="E171" s="239"/>
      <c r="F171" s="37"/>
      <c r="G171" s="199"/>
      <c r="H171" s="162"/>
    </row>
    <row r="172" spans="1:8" ht="12.75">
      <c r="A172" s="414" t="s">
        <v>346</v>
      </c>
      <c r="B172" s="128"/>
      <c r="C172" s="111"/>
      <c r="D172" s="116" t="s">
        <v>187</v>
      </c>
      <c r="E172" s="304">
        <f>C84</f>
        <v>0</v>
      </c>
      <c r="F172" s="37"/>
      <c r="G172" s="199"/>
      <c r="H172" s="162"/>
    </row>
    <row r="173" spans="1:8" ht="12.75">
      <c r="A173" s="153" t="s">
        <v>244</v>
      </c>
      <c r="B173" s="128"/>
      <c r="C173" s="111"/>
      <c r="D173" s="117" t="s">
        <v>188</v>
      </c>
      <c r="E173" s="474">
        <f>E170-E172</f>
        <v>32219.392499999998</v>
      </c>
      <c r="F173" s="37"/>
      <c r="G173" s="199"/>
      <c r="H173" s="162"/>
    </row>
    <row r="174" spans="1:8" ht="12.75">
      <c r="A174" s="153"/>
      <c r="B174" s="128"/>
      <c r="C174" s="111"/>
      <c r="D174" s="117"/>
      <c r="E174" s="142"/>
      <c r="F174" s="37"/>
      <c r="G174" s="199"/>
      <c r="H174" s="162"/>
    </row>
    <row r="175" spans="1:8" ht="12.75">
      <c r="A175" s="153" t="s">
        <v>344</v>
      </c>
      <c r="B175" s="128"/>
      <c r="C175" s="111"/>
      <c r="D175" s="117"/>
      <c r="E175" s="469">
        <f>IF((E120+G50)&gt;'Tax Rates'!E47,'Tax Rates'!F52-1.12%,IF((E120+G50)&gt;'Tax Rates'!D47,'Tax Rates'!E52-1.12%,IF((E120+G50)&gt;'Tax Rates'!C47,'Tax Rates'!D52,'Tax Rates'!C52-1.12%)))</f>
        <v>0.355</v>
      </c>
      <c r="F175" s="470"/>
      <c r="G175" s="199"/>
      <c r="H175" s="162"/>
    </row>
    <row r="176" spans="1:8" ht="12.75">
      <c r="A176" s="153"/>
      <c r="B176" s="128"/>
      <c r="C176" s="111"/>
      <c r="D176" s="117"/>
      <c r="E176" s="142"/>
      <c r="F176" s="37"/>
      <c r="G176" s="199"/>
      <c r="H176" s="162"/>
    </row>
    <row r="177" spans="1:8" ht="12.75">
      <c r="A177" s="166" t="s">
        <v>242</v>
      </c>
      <c r="B177" s="128"/>
      <c r="C177" s="111"/>
      <c r="D177" s="117" t="s">
        <v>186</v>
      </c>
      <c r="E177" s="301">
        <f>E148/(1-E175)</f>
        <v>0</v>
      </c>
      <c r="F177" s="37"/>
      <c r="G177" s="199"/>
      <c r="H177" s="162"/>
    </row>
    <row r="178" spans="1:8" ht="12.75">
      <c r="A178" s="166" t="s">
        <v>33</v>
      </c>
      <c r="B178" s="128"/>
      <c r="C178" s="111"/>
      <c r="D178" s="117" t="s">
        <v>186</v>
      </c>
      <c r="E178" s="301">
        <f>E173/(1-E175)</f>
        <v>49952.5465116279</v>
      </c>
      <c r="F178" s="37"/>
      <c r="G178" s="199"/>
      <c r="H178" s="162"/>
    </row>
    <row r="179" spans="1:8" ht="12.75">
      <c r="A179" s="166" t="s">
        <v>20</v>
      </c>
      <c r="B179" s="128"/>
      <c r="C179" s="111"/>
      <c r="D179" s="117" t="s">
        <v>186</v>
      </c>
      <c r="E179" s="301">
        <f>E159</f>
        <v>57959.19</v>
      </c>
      <c r="F179" s="37"/>
      <c r="G179" s="199"/>
      <c r="H179" s="162"/>
    </row>
    <row r="180" spans="1:8" ht="12.75">
      <c r="A180" s="153"/>
      <c r="B180" s="128"/>
      <c r="C180" s="111"/>
      <c r="D180" s="117"/>
      <c r="E180" s="142"/>
      <c r="F180" s="37"/>
      <c r="G180" s="199"/>
      <c r="H180" s="162"/>
    </row>
    <row r="181" spans="1:8" ht="12.75">
      <c r="A181" s="166" t="s">
        <v>352</v>
      </c>
      <c r="B181" s="128"/>
      <c r="C181" s="111"/>
      <c r="D181" s="117" t="s">
        <v>188</v>
      </c>
      <c r="E181" s="483">
        <f>SUM(E177:E179)</f>
        <v>107911.73651162791</v>
      </c>
      <c r="F181" s="37"/>
      <c r="G181" s="199"/>
      <c r="H181" s="162"/>
    </row>
    <row r="182" spans="1:8" ht="12.75">
      <c r="A182" s="153"/>
      <c r="B182" s="128"/>
      <c r="C182" s="111"/>
      <c r="D182" s="117"/>
      <c r="E182" s="142"/>
      <c r="F182" s="37"/>
      <c r="G182" s="199"/>
      <c r="H182" s="162"/>
    </row>
    <row r="183" spans="1:8" ht="12.75">
      <c r="A183" s="166" t="s">
        <v>486</v>
      </c>
      <c r="B183" s="128"/>
      <c r="C183" s="111"/>
      <c r="D183" s="117" t="s">
        <v>186</v>
      </c>
      <c r="E183" s="483">
        <f>E132</f>
        <v>0</v>
      </c>
      <c r="F183" s="37" t="s">
        <v>102</v>
      </c>
      <c r="G183" s="199"/>
      <c r="H183" s="162"/>
    </row>
    <row r="184" spans="1:8" ht="12.75">
      <c r="A184" s="166"/>
      <c r="B184" s="128"/>
      <c r="C184" s="111"/>
      <c r="D184" s="117"/>
      <c r="E184" s="142"/>
      <c r="F184" s="37"/>
      <c r="G184" s="199"/>
      <c r="H184" s="162"/>
    </row>
    <row r="185" spans="1:8" ht="15">
      <c r="A185" s="171" t="s">
        <v>353</v>
      </c>
      <c r="B185" s="128"/>
      <c r="C185" s="111"/>
      <c r="D185" s="117" t="s">
        <v>188</v>
      </c>
      <c r="E185" s="483">
        <f>E181+E183</f>
        <v>107911.73651162791</v>
      </c>
      <c r="F185" s="37"/>
      <c r="G185" s="199"/>
      <c r="H185" s="162"/>
    </row>
    <row r="186" spans="1:8" ht="12.75">
      <c r="A186" s="160" t="s">
        <v>247</v>
      </c>
      <c r="B186" s="125"/>
      <c r="C186" s="111"/>
      <c r="D186" s="117"/>
      <c r="E186" s="144"/>
      <c r="F186" s="37"/>
      <c r="G186" s="199"/>
      <c r="H186" s="162"/>
    </row>
    <row r="187" spans="1:8" ht="12.75">
      <c r="A187" s="160"/>
      <c r="B187" s="125"/>
      <c r="C187" s="111"/>
      <c r="D187" s="117"/>
      <c r="E187" s="145"/>
      <c r="F187" s="37"/>
      <c r="G187" s="199"/>
      <c r="H187" s="162"/>
    </row>
    <row r="188" spans="1:8" ht="13.5" thickBot="1">
      <c r="A188" s="148"/>
      <c r="B188" s="125"/>
      <c r="C188" s="111"/>
      <c r="D188" s="117"/>
      <c r="E188" s="145"/>
      <c r="F188" s="37"/>
      <c r="G188" s="199"/>
      <c r="H188" s="162"/>
    </row>
    <row r="189" spans="1:8" ht="13.5" thickTop="1">
      <c r="A189" s="172"/>
      <c r="B189" s="129"/>
      <c r="C189" s="112"/>
      <c r="D189" s="98"/>
      <c r="E189" s="146"/>
      <c r="F189" s="7"/>
      <c r="G189" s="122"/>
      <c r="H189" s="173"/>
    </row>
    <row r="190" spans="1:8" ht="12.75">
      <c r="A190" s="166" t="s">
        <v>58</v>
      </c>
      <c r="B190" s="125"/>
      <c r="C190" s="113"/>
      <c r="D190" s="117"/>
      <c r="E190" s="144"/>
      <c r="F190" s="3"/>
      <c r="G190" s="121"/>
      <c r="H190" s="162"/>
    </row>
    <row r="191" spans="1:8" ht="12.75">
      <c r="A191" s="152" t="s">
        <v>83</v>
      </c>
      <c r="B191" s="121"/>
      <c r="C191" s="114"/>
      <c r="D191" s="117"/>
      <c r="E191" s="145"/>
      <c r="F191" s="3"/>
      <c r="G191" s="121"/>
      <c r="H191" s="162"/>
    </row>
    <row r="192" spans="1:8" ht="12.75">
      <c r="A192" s="152"/>
      <c r="B192" s="121"/>
      <c r="C192" s="114"/>
      <c r="D192" s="117"/>
      <c r="E192" s="145"/>
      <c r="F192" s="3"/>
      <c r="G192" s="121"/>
      <c r="H192" s="162"/>
    </row>
    <row r="193" spans="1:8" ht="12.75">
      <c r="A193" s="153" t="s">
        <v>223</v>
      </c>
      <c r="B193" s="125"/>
      <c r="C193" s="111"/>
      <c r="D193" s="118"/>
      <c r="E193" s="307">
        <f>REGINFO!D62</f>
        <v>881590.2124999999</v>
      </c>
      <c r="F193" s="3"/>
      <c r="G193" s="121"/>
      <c r="H193" s="162"/>
    </row>
    <row r="194" spans="1:8" ht="12.75">
      <c r="A194" s="153" t="s">
        <v>250</v>
      </c>
      <c r="B194" s="125"/>
      <c r="C194" s="111"/>
      <c r="D194" s="118"/>
      <c r="E194" s="307">
        <f>REGINFO!D66</f>
        <v>710375.9924109748</v>
      </c>
      <c r="F194" s="3"/>
      <c r="G194" s="121"/>
      <c r="H194" s="162"/>
    </row>
    <row r="195" spans="1:8" ht="12.75">
      <c r="A195" s="153"/>
      <c r="B195" s="125"/>
      <c r="C195" s="111"/>
      <c r="D195" s="118"/>
      <c r="E195" s="147"/>
      <c r="F195" s="3"/>
      <c r="G195" s="121"/>
      <c r="H195" s="162"/>
    </row>
    <row r="196" spans="1:8" ht="12.75">
      <c r="A196" s="153" t="s">
        <v>342</v>
      </c>
      <c r="B196" s="125"/>
      <c r="C196" s="111"/>
      <c r="D196" s="118"/>
      <c r="E196" s="307">
        <f>E193-E194</f>
        <v>171214.2200890251</v>
      </c>
      <c r="F196" s="3"/>
      <c r="G196" s="121"/>
      <c r="H196" s="162"/>
    </row>
    <row r="197" spans="1:8" ht="12.75">
      <c r="A197" s="153" t="s">
        <v>343</v>
      </c>
      <c r="B197" s="125"/>
      <c r="C197" s="111"/>
      <c r="D197" s="118"/>
      <c r="E197" s="145"/>
      <c r="F197" s="3"/>
      <c r="G197" s="121"/>
      <c r="H197" s="162"/>
    </row>
    <row r="198" spans="1:8" ht="12.75">
      <c r="A198" s="153"/>
      <c r="B198" s="125"/>
      <c r="C198" s="111"/>
      <c r="D198" s="118"/>
      <c r="E198" s="145"/>
      <c r="F198" s="3"/>
      <c r="G198" s="121"/>
      <c r="H198" s="162"/>
    </row>
    <row r="199" spans="1:8" ht="12.75">
      <c r="A199" s="166" t="s">
        <v>256</v>
      </c>
      <c r="B199" s="125"/>
      <c r="C199" s="111"/>
      <c r="D199" s="118"/>
      <c r="E199" s="145"/>
      <c r="F199" s="3"/>
      <c r="G199" s="486"/>
      <c r="H199" s="162"/>
    </row>
    <row r="200" spans="1:8" ht="12.75">
      <c r="A200" s="174" t="s">
        <v>85</v>
      </c>
      <c r="B200" s="125"/>
      <c r="C200" s="111"/>
      <c r="D200" s="118"/>
      <c r="E200" s="145"/>
      <c r="H200" s="162"/>
    </row>
    <row r="201" spans="1:8" ht="12.75">
      <c r="A201" s="153" t="s">
        <v>251</v>
      </c>
      <c r="B201" s="125"/>
      <c r="C201" s="111"/>
      <c r="D201" s="118"/>
      <c r="E201" s="307">
        <f>G37+G42</f>
        <v>713876</v>
      </c>
      <c r="F201" s="3"/>
      <c r="G201" s="486"/>
      <c r="H201" s="162"/>
    </row>
    <row r="202" spans="1:8" ht="12.75">
      <c r="A202" s="153" t="s">
        <v>492</v>
      </c>
      <c r="B202" s="125"/>
      <c r="C202" s="111"/>
      <c r="D202" s="118"/>
      <c r="E202" s="485">
        <v>713876</v>
      </c>
      <c r="F202" s="3"/>
      <c r="G202" s="121"/>
      <c r="H202" s="162"/>
    </row>
    <row r="203" spans="1:8" ht="12.75">
      <c r="A203" s="153"/>
      <c r="B203" s="125"/>
      <c r="C203" s="111"/>
      <c r="D203" s="118"/>
      <c r="E203" s="147"/>
      <c r="F203" s="3"/>
      <c r="G203" s="121"/>
      <c r="H203" s="162"/>
    </row>
    <row r="204" spans="1:8" ht="12.75">
      <c r="A204" s="153" t="s">
        <v>84</v>
      </c>
      <c r="B204" s="125"/>
      <c r="C204" s="111"/>
      <c r="D204" s="118"/>
      <c r="E204" s="302">
        <f>IF((E201-E202)&gt;0,E201-E202,0)</f>
        <v>0</v>
      </c>
      <c r="F204" s="3"/>
      <c r="G204" s="121"/>
      <c r="H204" s="162"/>
    </row>
    <row r="205" spans="1:8" ht="12.75">
      <c r="A205" s="153"/>
      <c r="B205" s="125"/>
      <c r="C205" s="111"/>
      <c r="D205" s="118"/>
      <c r="E205" s="147"/>
      <c r="F205" s="3"/>
      <c r="G205" s="121"/>
      <c r="H205" s="162"/>
    </row>
    <row r="206" spans="1:8" ht="12.75">
      <c r="A206" s="166" t="s">
        <v>488</v>
      </c>
      <c r="B206" s="125"/>
      <c r="C206" s="111"/>
      <c r="D206" s="118"/>
      <c r="E206" s="471">
        <f>IF((E201-E202)&gt;0,E201-E202,0)</f>
        <v>0</v>
      </c>
      <c r="F206" s="3"/>
      <c r="G206" s="121"/>
      <c r="H206" s="162"/>
    </row>
    <row r="207" spans="1:8" ht="12.75">
      <c r="A207" s="153"/>
      <c r="B207" s="125"/>
      <c r="C207" s="111"/>
      <c r="D207" s="118"/>
      <c r="E207" s="147"/>
      <c r="F207" s="3"/>
      <c r="G207" s="121"/>
      <c r="H207" s="162"/>
    </row>
    <row r="208" spans="1:8" ht="13.5" thickBot="1">
      <c r="A208" s="175" t="s">
        <v>224</v>
      </c>
      <c r="B208" s="176"/>
      <c r="C208" s="177"/>
      <c r="D208" s="178"/>
      <c r="E208" s="308">
        <f>+E196-E204</f>
        <v>171214.2200890251</v>
      </c>
      <c r="F208" s="73"/>
      <c r="G208" s="200"/>
      <c r="H208" s="179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102</v>
      </c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36" right="0.03937007874015748" top="0.7" bottom="0.34" header="0.19" footer="0"/>
  <pageSetup fitToHeight="2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163"/>
  <sheetViews>
    <sheetView zoomScale="75" zoomScaleNormal="75" zoomScalePageLayoutView="0" workbookViewId="0" topLeftCell="A1">
      <selection activeCell="G140" sqref="G140:G162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10.28125" style="0" customWidth="1"/>
    <col min="8" max="8" width="11.7109375" style="0" customWidth="1"/>
    <col min="9" max="10" width="10.7109375" style="0" customWidth="1"/>
  </cols>
  <sheetData>
    <row r="1" spans="1:8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8"/>
    </row>
    <row r="2" spans="1:8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8"/>
    </row>
    <row r="3" spans="1:8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8"/>
    </row>
    <row r="4" spans="1:8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</row>
    <row r="5" spans="1:8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</row>
    <row r="6" spans="1:7" ht="13.5" thickTop="1">
      <c r="A6" s="14" t="s">
        <v>177</v>
      </c>
      <c r="B6" s="9"/>
      <c r="C6" s="24"/>
      <c r="D6" s="24"/>
      <c r="E6" s="24"/>
      <c r="F6" s="20"/>
      <c r="G6" s="3"/>
    </row>
    <row r="7" spans="1:7" ht="12.75">
      <c r="A7" s="2" t="str">
        <f>REGINFO!A3</f>
        <v>Utility Name: Peninsula West Utilities</v>
      </c>
      <c r="B7" s="20"/>
      <c r="C7" s="25"/>
      <c r="D7" s="25"/>
      <c r="E7" s="25"/>
      <c r="F7" s="20"/>
      <c r="G7" s="3"/>
    </row>
    <row r="8" spans="1:7" ht="12.75">
      <c r="A8" s="2" t="str">
        <f>REGINFO!A4</f>
        <v>Reporting period:  2003</v>
      </c>
      <c r="B8" s="20"/>
      <c r="C8" s="25"/>
      <c r="D8" s="25"/>
      <c r="E8" s="25"/>
      <c r="F8" s="20"/>
      <c r="G8" s="3"/>
    </row>
    <row r="9" spans="1:7" ht="12.75">
      <c r="A9" s="2" t="s">
        <v>214</v>
      </c>
      <c r="B9" s="20"/>
      <c r="C9" s="25"/>
      <c r="D9" s="25"/>
      <c r="E9" s="25"/>
      <c r="F9" s="20"/>
      <c r="G9" s="3"/>
    </row>
    <row r="10" spans="1:7" ht="12.75">
      <c r="A10" s="2" t="s">
        <v>215</v>
      </c>
      <c r="B10" s="20"/>
      <c r="C10" s="25"/>
      <c r="D10" s="25"/>
      <c r="E10" s="25"/>
      <c r="F10" s="20"/>
      <c r="G10" s="3"/>
    </row>
    <row r="11" spans="1:7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</row>
    <row r="12" spans="1:7" ht="12.75">
      <c r="A12" s="2"/>
      <c r="B12" s="20"/>
      <c r="C12" s="20"/>
      <c r="D12" s="37"/>
      <c r="E12" s="25"/>
      <c r="F12" s="20"/>
      <c r="G12" s="3"/>
    </row>
    <row r="13" spans="1:7" ht="13.5" thickBot="1">
      <c r="A13" s="35" t="s">
        <v>216</v>
      </c>
      <c r="C13" s="257">
        <v>0</v>
      </c>
      <c r="D13" s="82" t="s">
        <v>185</v>
      </c>
      <c r="E13" s="25"/>
      <c r="F13" s="20"/>
      <c r="G13" s="3"/>
    </row>
    <row r="14" spans="1:7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</row>
    <row r="15" spans="1:7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</row>
    <row r="16" spans="1:7" ht="12.75">
      <c r="A16" s="298" t="s">
        <v>227</v>
      </c>
      <c r="B16" s="20" t="s">
        <v>64</v>
      </c>
      <c r="C16" s="8"/>
      <c r="D16" s="25"/>
      <c r="E16" s="25"/>
      <c r="F16" s="20"/>
      <c r="G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4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7" ht="12.75">
      <c r="A22" s="57" t="s">
        <v>149</v>
      </c>
      <c r="B22" s="23"/>
      <c r="C22" s="27"/>
      <c r="D22" s="28"/>
      <c r="E22" s="28"/>
      <c r="F22" s="11"/>
      <c r="G22" s="11"/>
    </row>
    <row r="23" spans="1:7" ht="12.75">
      <c r="A23" s="399" t="s">
        <v>325</v>
      </c>
      <c r="B23" s="400"/>
      <c r="C23" s="401"/>
      <c r="D23" s="402"/>
      <c r="E23" s="28"/>
      <c r="F23" s="11"/>
      <c r="G23" s="11"/>
    </row>
    <row r="24" spans="1:7" ht="12.75">
      <c r="A24" s="399" t="s">
        <v>258</v>
      </c>
      <c r="B24" s="400"/>
      <c r="C24" s="401"/>
      <c r="D24" s="402"/>
      <c r="E24" s="28"/>
      <c r="F24" s="11"/>
      <c r="G24" s="11"/>
    </row>
    <row r="25" spans="1:7" ht="12.75">
      <c r="A25" s="399" t="s">
        <v>222</v>
      </c>
      <c r="B25" s="400"/>
      <c r="C25" s="401"/>
      <c r="D25" s="402"/>
      <c r="E25" s="28"/>
      <c r="F25" s="11"/>
      <c r="G25" s="11"/>
    </row>
    <row r="26" spans="1:7" ht="12.75">
      <c r="A26" s="58"/>
      <c r="B26" s="23"/>
      <c r="C26" s="27"/>
      <c r="D26" s="28"/>
      <c r="E26" s="28"/>
      <c r="F26" s="11"/>
      <c r="G26" s="11"/>
    </row>
    <row r="27" spans="1:7" ht="12.75">
      <c r="A27" s="399" t="s">
        <v>323</v>
      </c>
      <c r="B27" s="400"/>
      <c r="C27" s="401"/>
      <c r="D27" s="402"/>
      <c r="E27" s="28"/>
      <c r="F27" s="11"/>
      <c r="G27" s="11"/>
    </row>
    <row r="28" spans="1:7" ht="12.75">
      <c r="A28" s="399" t="s">
        <v>324</v>
      </c>
      <c r="B28" s="400"/>
      <c r="C28" s="401"/>
      <c r="D28" s="402"/>
      <c r="E28" s="28"/>
      <c r="F28" s="11"/>
      <c r="G28" s="11"/>
    </row>
    <row r="29" spans="1:7" ht="12.75">
      <c r="A29" s="15"/>
      <c r="B29" s="23"/>
      <c r="C29" s="27"/>
      <c r="D29" s="28"/>
      <c r="E29" s="28"/>
      <c r="F29" s="11"/>
      <c r="G29" s="11"/>
    </row>
    <row r="30" spans="1:7" ht="12.75">
      <c r="A30" s="2" t="s">
        <v>178</v>
      </c>
      <c r="B30" s="23"/>
      <c r="C30" s="27"/>
      <c r="D30" s="28"/>
      <c r="E30" s="28"/>
      <c r="F30" s="11"/>
      <c r="G30" s="11"/>
    </row>
    <row r="31" spans="1:7" ht="12.75">
      <c r="A31" s="246" t="s">
        <v>273</v>
      </c>
      <c r="B31" s="23" t="s">
        <v>186</v>
      </c>
      <c r="C31" s="284">
        <v>23179157</v>
      </c>
      <c r="D31" s="285"/>
      <c r="E31" s="283">
        <f>C31-D31</f>
        <v>23179157</v>
      </c>
      <c r="F31" s="11"/>
      <c r="G31" s="11"/>
    </row>
    <row r="32" spans="1:7" ht="12.75">
      <c r="A32" s="4" t="s">
        <v>220</v>
      </c>
      <c r="B32" s="23" t="s">
        <v>186</v>
      </c>
      <c r="C32" s="284">
        <v>6325417</v>
      </c>
      <c r="D32" s="285"/>
      <c r="E32" s="283">
        <f>C32-D32</f>
        <v>6325417</v>
      </c>
      <c r="F32" s="11"/>
      <c r="G32" s="11"/>
    </row>
    <row r="33" spans="1:7" ht="12.75">
      <c r="A33" s="4" t="s">
        <v>210</v>
      </c>
      <c r="B33" s="23" t="s">
        <v>186</v>
      </c>
      <c r="C33" s="284">
        <v>353705</v>
      </c>
      <c r="D33" s="285"/>
      <c r="E33" s="283">
        <f>C33-D33</f>
        <v>353705</v>
      </c>
      <c r="F33" s="11"/>
      <c r="G33" s="11"/>
    </row>
    <row r="34" spans="1:7" ht="12.75">
      <c r="A34" s="4" t="s">
        <v>225</v>
      </c>
      <c r="B34" s="23" t="s">
        <v>186</v>
      </c>
      <c r="C34" s="284">
        <v>391130</v>
      </c>
      <c r="D34" s="285"/>
      <c r="E34" s="283">
        <f>C34-D34</f>
        <v>391130</v>
      </c>
      <c r="F34" s="11"/>
      <c r="G34" s="11"/>
    </row>
    <row r="35" spans="1:7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</row>
    <row r="36" spans="1:7" ht="12.75">
      <c r="A36" s="56" t="s">
        <v>180</v>
      </c>
      <c r="B36" s="23"/>
      <c r="C36" s="42"/>
      <c r="D36" s="42"/>
      <c r="E36" s="232"/>
      <c r="F36" s="11"/>
      <c r="G36" s="11"/>
    </row>
    <row r="37" spans="1:7" ht="12.75">
      <c r="A37" s="12"/>
      <c r="B37" s="23"/>
      <c r="C37" s="42"/>
      <c r="D37" s="42"/>
      <c r="E37" s="89"/>
      <c r="F37" s="11"/>
      <c r="G37" s="11"/>
    </row>
    <row r="38" spans="1:7" ht="12.75">
      <c r="A38" s="2" t="s">
        <v>285</v>
      </c>
      <c r="B38" s="23"/>
      <c r="C38" s="42"/>
      <c r="D38" s="42"/>
      <c r="E38" s="89"/>
      <c r="F38" s="11"/>
      <c r="G38" s="11"/>
    </row>
    <row r="39" spans="1:7" ht="12.75">
      <c r="A39" s="46" t="s">
        <v>208</v>
      </c>
      <c r="B39" s="23" t="s">
        <v>187</v>
      </c>
      <c r="C39" s="284">
        <v>23179157</v>
      </c>
      <c r="D39" s="285"/>
      <c r="E39" s="283">
        <f>C39-D39</f>
        <v>23179157</v>
      </c>
      <c r="F39" s="11"/>
      <c r="G39" s="11"/>
    </row>
    <row r="40" spans="1:7" ht="12.75">
      <c r="A40" s="46" t="s">
        <v>209</v>
      </c>
      <c r="B40" s="23" t="s">
        <v>187</v>
      </c>
      <c r="C40" s="284">
        <f>2199316-99800</f>
        <v>2099516</v>
      </c>
      <c r="D40" s="285"/>
      <c r="E40" s="283">
        <f aca="true" t="shared" si="0" ref="E40:E48">C40-D40</f>
        <v>2099516</v>
      </c>
      <c r="F40" s="11"/>
      <c r="G40" s="11"/>
    </row>
    <row r="41" spans="1:7" ht="12.75">
      <c r="A41" s="4" t="s">
        <v>274</v>
      </c>
      <c r="B41" s="23" t="s">
        <v>187</v>
      </c>
      <c r="C41" s="284">
        <v>0</v>
      </c>
      <c r="D41" s="285"/>
      <c r="E41" s="283">
        <f t="shared" si="0"/>
        <v>0</v>
      </c>
      <c r="F41" s="11"/>
      <c r="G41" s="11"/>
    </row>
    <row r="42" spans="1:7" ht="12.75">
      <c r="A42" s="4" t="s">
        <v>275</v>
      </c>
      <c r="B42" s="23" t="s">
        <v>187</v>
      </c>
      <c r="C42" s="284">
        <v>1351391</v>
      </c>
      <c r="D42" s="285"/>
      <c r="E42" s="283">
        <f t="shared" si="0"/>
        <v>1351391</v>
      </c>
      <c r="F42" s="11"/>
      <c r="G42" s="11"/>
    </row>
    <row r="43" spans="1:7" ht="12.75">
      <c r="A43" s="4" t="s">
        <v>276</v>
      </c>
      <c r="B43" s="23" t="s">
        <v>187</v>
      </c>
      <c r="C43" s="284">
        <f>1877802+99800</f>
        <v>1977602</v>
      </c>
      <c r="D43" s="285"/>
      <c r="E43" s="283">
        <f t="shared" si="0"/>
        <v>1977602</v>
      </c>
      <c r="F43" s="11"/>
      <c r="G43" s="11"/>
    </row>
    <row r="44" spans="1:7" ht="12.75">
      <c r="A44" s="4" t="s">
        <v>277</v>
      </c>
      <c r="B44" s="23" t="s">
        <v>187</v>
      </c>
      <c r="C44" s="284">
        <v>0</v>
      </c>
      <c r="D44" s="285"/>
      <c r="E44" s="283">
        <f t="shared" si="0"/>
        <v>0</v>
      </c>
      <c r="F44" s="11"/>
      <c r="G44" s="11"/>
    </row>
    <row r="45" spans="1:8" ht="12.75">
      <c r="A45" s="415" t="s">
        <v>490</v>
      </c>
      <c r="B45" s="23" t="s">
        <v>187</v>
      </c>
      <c r="C45" s="284">
        <v>0</v>
      </c>
      <c r="D45" s="285"/>
      <c r="E45" s="283">
        <f t="shared" si="0"/>
        <v>0</v>
      </c>
      <c r="F45" s="11"/>
      <c r="G45" s="11"/>
      <c r="H45" s="32"/>
    </row>
    <row r="46" spans="2:8" ht="12.75">
      <c r="B46" s="23" t="s">
        <v>187</v>
      </c>
      <c r="C46" s="284"/>
      <c r="D46" s="285"/>
      <c r="E46" s="283">
        <f t="shared" si="0"/>
        <v>0</v>
      </c>
      <c r="F46" s="11"/>
      <c r="G46" s="83"/>
      <c r="H46" s="32"/>
    </row>
    <row r="47" spans="1:8" ht="12.75">
      <c r="A47" s="47"/>
      <c r="B47" s="23" t="s">
        <v>187</v>
      </c>
      <c r="C47" s="284"/>
      <c r="D47" s="285"/>
      <c r="E47" s="283">
        <f t="shared" si="0"/>
        <v>0</v>
      </c>
      <c r="F47" s="11"/>
      <c r="G47" s="11"/>
      <c r="H47" s="32"/>
    </row>
    <row r="48" spans="1:8" ht="13.5" thickBot="1">
      <c r="A48" s="47"/>
      <c r="B48" s="23" t="s">
        <v>187</v>
      </c>
      <c r="C48" s="284"/>
      <c r="D48" s="285"/>
      <c r="E48" s="283">
        <f t="shared" si="0"/>
        <v>0</v>
      </c>
      <c r="F48" s="11"/>
      <c r="G48" s="11"/>
      <c r="H48" s="32"/>
    </row>
    <row r="49" spans="1:7" ht="12.75">
      <c r="A49" s="56"/>
      <c r="B49" s="23"/>
      <c r="C49" s="42"/>
      <c r="D49" s="43"/>
      <c r="E49" s="62"/>
      <c r="F49" s="11"/>
      <c r="G49" s="11"/>
    </row>
    <row r="50" spans="1:7" ht="12.75">
      <c r="A50" s="2" t="s">
        <v>82</v>
      </c>
      <c r="B50" s="23" t="s">
        <v>188</v>
      </c>
      <c r="C50" s="280">
        <f>SUM(C31:C36)-SUM(C39:C49)</f>
        <v>1641743</v>
      </c>
      <c r="D50" s="280">
        <f>SUM(D31:D36)-SUM(D39:D49)</f>
        <v>0</v>
      </c>
      <c r="E50" s="280">
        <f>SUM(E31:E35)-SUM(E39:E48)</f>
        <v>1641743</v>
      </c>
      <c r="F50" s="11"/>
      <c r="G50" s="11"/>
    </row>
    <row r="51" spans="1:7" ht="12.75">
      <c r="A51" s="4" t="s">
        <v>91</v>
      </c>
      <c r="B51" s="23" t="s">
        <v>187</v>
      </c>
      <c r="C51" s="284">
        <v>713876</v>
      </c>
      <c r="D51" s="284"/>
      <c r="E51" s="281">
        <f>+C51-D51</f>
        <v>713876</v>
      </c>
      <c r="F51" s="11"/>
      <c r="G51" s="11"/>
    </row>
    <row r="52" spans="1:7" ht="12.75">
      <c r="A52" t="s">
        <v>181</v>
      </c>
      <c r="B52" s="8" t="s">
        <v>187</v>
      </c>
      <c r="C52" s="284">
        <v>230660</v>
      </c>
      <c r="D52" s="284"/>
      <c r="E52" s="282">
        <f>+C52-D52</f>
        <v>230660</v>
      </c>
      <c r="F52" s="8"/>
      <c r="G52" s="415" t="s">
        <v>102</v>
      </c>
    </row>
    <row r="53" spans="1:6" ht="12.75">
      <c r="A53" s="2" t="s">
        <v>130</v>
      </c>
      <c r="B53" s="8" t="s">
        <v>188</v>
      </c>
      <c r="C53" s="280">
        <f>C50-C51-C52</f>
        <v>697207</v>
      </c>
      <c r="D53" s="280">
        <f>D50-D51-D52</f>
        <v>0</v>
      </c>
      <c r="E53" s="280">
        <f>E50-E51-E52</f>
        <v>697207</v>
      </c>
      <c r="F53" s="8"/>
    </row>
    <row r="54" spans="1:6" ht="24">
      <c r="A54" s="86" t="s">
        <v>213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186</v>
      </c>
      <c r="C59" s="286">
        <f>C52</f>
        <v>230660</v>
      </c>
      <c r="D59" s="286">
        <f>D52</f>
        <v>0</v>
      </c>
      <c r="E59" s="271">
        <f>+C59-D59</f>
        <v>230660</v>
      </c>
      <c r="F59" s="8"/>
      <c r="G59" s="415" t="s">
        <v>102</v>
      </c>
    </row>
    <row r="60" spans="1:7" ht="12.75">
      <c r="A60" s="4" t="s">
        <v>326</v>
      </c>
      <c r="B60" s="8" t="s">
        <v>186</v>
      </c>
      <c r="C60" s="317">
        <v>0</v>
      </c>
      <c r="D60" s="317"/>
      <c r="E60" s="271">
        <f>+C60-D60</f>
        <v>0</v>
      </c>
      <c r="F60" s="8"/>
      <c r="G60" t="s">
        <v>102</v>
      </c>
    </row>
    <row r="61" spans="1:7" ht="12.75">
      <c r="A61" t="s">
        <v>4</v>
      </c>
      <c r="B61" s="8" t="s">
        <v>186</v>
      </c>
      <c r="C61" s="286">
        <f>C43</f>
        <v>1977602</v>
      </c>
      <c r="D61" s="286">
        <f>D43</f>
        <v>0</v>
      </c>
      <c r="E61" s="271">
        <f>+C61-D61</f>
        <v>1977602</v>
      </c>
      <c r="F61" s="8"/>
      <c r="G61" s="415"/>
    </row>
    <row r="62" spans="1:6" ht="12.75">
      <c r="A62" t="s">
        <v>6</v>
      </c>
      <c r="B62" s="8" t="s">
        <v>186</v>
      </c>
      <c r="C62" s="317">
        <v>0</v>
      </c>
      <c r="D62" s="286">
        <v>0</v>
      </c>
      <c r="E62" s="271">
        <f>+C62-D62</f>
        <v>0</v>
      </c>
      <c r="F62" s="8"/>
    </row>
    <row r="63" spans="1:6" ht="12.75">
      <c r="A63" s="31" t="s">
        <v>278</v>
      </c>
      <c r="B63" s="8" t="s">
        <v>186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186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442</v>
      </c>
      <c r="B65" s="8" t="s">
        <v>186</v>
      </c>
      <c r="C65" s="285"/>
      <c r="D65" s="285"/>
      <c r="E65" s="271">
        <f>+C65-D65</f>
        <v>0</v>
      </c>
      <c r="F65" s="8"/>
    </row>
    <row r="66" spans="1:6" ht="15">
      <c r="A66" s="467" t="s">
        <v>393</v>
      </c>
      <c r="B66" s="8"/>
      <c r="C66" s="446">
        <f>'TAXREC 3 No True-up'!C47</f>
        <v>40901</v>
      </c>
      <c r="D66" s="446">
        <f>'TAXREC 3 No True-up'!D47</f>
        <v>0</v>
      </c>
      <c r="E66" s="271">
        <f>+C66-D66</f>
        <v>40901</v>
      </c>
      <c r="F66" s="8"/>
    </row>
    <row r="67" spans="1:6" ht="12.75">
      <c r="A67" t="s">
        <v>159</v>
      </c>
      <c r="B67" s="8" t="s">
        <v>186</v>
      </c>
      <c r="C67" s="249">
        <f>'TAXREC 2'!C77</f>
        <v>0</v>
      </c>
      <c r="D67" s="249">
        <f>'TAXREC 2'!D77</f>
        <v>0</v>
      </c>
      <c r="E67" s="271">
        <f>+C67-D67</f>
        <v>0</v>
      </c>
      <c r="F67" s="8"/>
    </row>
    <row r="68" spans="1:8" ht="12.75">
      <c r="A68" t="s">
        <v>160</v>
      </c>
      <c r="B68" s="8" t="s">
        <v>186</v>
      </c>
      <c r="C68" s="249">
        <f>'TAXREC 2'!C78</f>
        <v>0</v>
      </c>
      <c r="D68" s="249">
        <f>'TAXREC 2'!D78</f>
        <v>0</v>
      </c>
      <c r="E68" s="271">
        <f>+C68-D68</f>
        <v>0</v>
      </c>
      <c r="F68" s="8"/>
      <c r="G68" s="45"/>
      <c r="H68" s="74"/>
    </row>
    <row r="69" spans="3:8" ht="12.75">
      <c r="C69" s="22"/>
      <c r="D69" s="22"/>
      <c r="E69" s="296"/>
      <c r="F69" s="8"/>
      <c r="G69" s="45"/>
      <c r="H69" s="74"/>
    </row>
    <row r="70" spans="1:8" ht="12.75">
      <c r="A70" s="10" t="s">
        <v>106</v>
      </c>
      <c r="B70" s="8"/>
      <c r="C70" s="271">
        <f>SUM(C59:C68)</f>
        <v>2249163</v>
      </c>
      <c r="D70" s="271">
        <f>SUM(D59:D68)</f>
        <v>0</v>
      </c>
      <c r="E70" s="271">
        <f>SUM(E59:E68)</f>
        <v>2249163</v>
      </c>
      <c r="F70" s="8"/>
      <c r="G70" s="45"/>
      <c r="H70" s="74"/>
    </row>
    <row r="71" spans="1:8" ht="12.75">
      <c r="A71" s="10"/>
      <c r="B71" s="8"/>
      <c r="C71" s="42"/>
      <c r="D71" s="42"/>
      <c r="E71" s="42"/>
      <c r="F71" s="8"/>
      <c r="G71" s="45"/>
      <c r="H71" s="23"/>
    </row>
    <row r="72" spans="1:8" ht="12.75">
      <c r="A72" s="10" t="s">
        <v>206</v>
      </c>
      <c r="B72" s="8"/>
      <c r="C72" s="5"/>
      <c r="D72" s="5"/>
      <c r="E72" s="5"/>
      <c r="F72" s="8"/>
      <c r="G72" s="45"/>
      <c r="H72" s="23"/>
    </row>
    <row r="73" spans="1:8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5"/>
      <c r="H73" s="77"/>
    </row>
    <row r="74" spans="1:8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5"/>
      <c r="H74" s="76"/>
    </row>
    <row r="75" spans="1:8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5"/>
      <c r="H75" s="76"/>
    </row>
    <row r="76" spans="1:8" ht="12.75">
      <c r="A76" s="64"/>
      <c r="B76" s="8" t="s">
        <v>186</v>
      </c>
      <c r="C76" s="481">
        <v>0</v>
      </c>
      <c r="D76" s="293"/>
      <c r="E76" s="477">
        <f t="shared" si="1"/>
        <v>0</v>
      </c>
      <c r="F76" s="8"/>
      <c r="G76" s="75"/>
      <c r="H76" s="76"/>
    </row>
    <row r="77" spans="1:8" ht="12.75">
      <c r="A77" s="67"/>
      <c r="B77" s="8" t="s">
        <v>186</v>
      </c>
      <c r="C77" s="293"/>
      <c r="D77" s="293"/>
      <c r="E77" s="271">
        <f t="shared" si="1"/>
        <v>0</v>
      </c>
      <c r="F77" s="8"/>
      <c r="G77" s="75"/>
      <c r="H77" s="76"/>
    </row>
    <row r="78" spans="1:8" ht="12.75">
      <c r="A78" s="64"/>
      <c r="B78" s="8" t="s">
        <v>186</v>
      </c>
      <c r="C78" s="293"/>
      <c r="D78" s="293"/>
      <c r="E78" s="271">
        <f t="shared" si="1"/>
        <v>0</v>
      </c>
      <c r="F78" s="8"/>
      <c r="G78" s="75"/>
      <c r="H78" s="76"/>
    </row>
    <row r="79" spans="1:8" ht="12.75">
      <c r="A79" s="68"/>
      <c r="B79" s="8" t="s">
        <v>186</v>
      </c>
      <c r="C79" s="293"/>
      <c r="D79" s="293"/>
      <c r="E79" s="271">
        <f t="shared" si="1"/>
        <v>0</v>
      </c>
      <c r="F79" s="8"/>
      <c r="G79" s="75"/>
      <c r="H79" s="76"/>
    </row>
    <row r="80" spans="1:8" ht="12.75">
      <c r="A80" s="63" t="s">
        <v>50</v>
      </c>
      <c r="B80" s="8" t="s">
        <v>188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</row>
    <row r="81" spans="1:8" ht="12.75">
      <c r="A81" s="10"/>
      <c r="C81" s="22"/>
      <c r="D81" s="22"/>
      <c r="E81" s="22"/>
      <c r="F81" s="8"/>
      <c r="G81" s="76"/>
      <c r="H81" s="72"/>
    </row>
    <row r="82" spans="1:8" ht="12.75">
      <c r="A82" s="4" t="s">
        <v>18</v>
      </c>
      <c r="B82" s="8" t="s">
        <v>188</v>
      </c>
      <c r="C82" s="249">
        <f>C70+C80</f>
        <v>2249163</v>
      </c>
      <c r="D82" s="249">
        <f>D70+D80</f>
        <v>0</v>
      </c>
      <c r="E82" s="249">
        <f>E70+E80</f>
        <v>2249163</v>
      </c>
      <c r="F82" s="8"/>
      <c r="G82" s="45"/>
      <c r="H82" s="45"/>
    </row>
    <row r="83" spans="1:8" ht="12.75">
      <c r="A83" s="4"/>
      <c r="B83" s="8"/>
      <c r="C83" s="72"/>
      <c r="D83" s="72"/>
      <c r="E83" s="72"/>
      <c r="F83" s="8"/>
      <c r="G83" s="45"/>
      <c r="H83" s="45"/>
    </row>
    <row r="84" spans="1:8" ht="12.75">
      <c r="A84" s="279" t="s">
        <v>174</v>
      </c>
      <c r="B84" s="45"/>
      <c r="C84" s="23"/>
      <c r="D84" s="23"/>
      <c r="E84" s="23"/>
      <c r="F84" s="8"/>
      <c r="G84" s="45"/>
      <c r="H84" s="45"/>
    </row>
    <row r="85" spans="1:8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</row>
    <row r="86" spans="1:8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</row>
    <row r="87" spans="1:8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</row>
    <row r="88" spans="1:8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</row>
    <row r="89" spans="1:8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</row>
    <row r="90" spans="1:8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</row>
    <row r="91" spans="1:8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</row>
    <row r="92" spans="1:8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</row>
    <row r="93" spans="1:8" ht="12.75">
      <c r="A93" s="272" t="s">
        <v>430</v>
      </c>
      <c r="B93" s="272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</row>
    <row r="94" spans="1:8" ht="12.75">
      <c r="A94" s="272" t="s">
        <v>196</v>
      </c>
      <c r="B94" s="272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</row>
    <row r="95" spans="1:8" ht="12.75">
      <c r="A95" s="2"/>
      <c r="B95" s="8"/>
      <c r="C95" s="5"/>
      <c r="D95" s="5"/>
      <c r="E95" s="5"/>
      <c r="F95" s="8"/>
      <c r="G95" s="45"/>
      <c r="H95" s="45"/>
    </row>
    <row r="96" spans="1:8" ht="12.75">
      <c r="A96" s="12" t="s">
        <v>55</v>
      </c>
      <c r="B96" s="8"/>
      <c r="C96" s="5"/>
      <c r="D96" s="5"/>
      <c r="E96" s="5"/>
      <c r="F96" s="8"/>
      <c r="G96" s="45"/>
      <c r="H96" s="45"/>
    </row>
    <row r="97" spans="1:8" ht="12.75">
      <c r="A97" t="s">
        <v>27</v>
      </c>
      <c r="B97" s="8" t="s">
        <v>187</v>
      </c>
      <c r="C97" s="293">
        <v>1321748</v>
      </c>
      <c r="D97" s="293"/>
      <c r="E97" s="271">
        <f>+C97-D97</f>
        <v>1321748</v>
      </c>
      <c r="F97" s="8"/>
      <c r="G97" s="45" t="s">
        <v>102</v>
      </c>
      <c r="H97" s="45"/>
    </row>
    <row r="98" spans="1:8" ht="12.75">
      <c r="A98" t="s">
        <v>14</v>
      </c>
      <c r="B98" s="8" t="s">
        <v>187</v>
      </c>
      <c r="C98" s="293">
        <v>129853</v>
      </c>
      <c r="D98" s="293"/>
      <c r="E98" s="271">
        <f>+C98-D98</f>
        <v>129853</v>
      </c>
      <c r="F98" s="8"/>
      <c r="G98" s="45"/>
      <c r="H98" s="45"/>
    </row>
    <row r="99" spans="1:8" ht="12.75">
      <c r="A99" t="s">
        <v>11</v>
      </c>
      <c r="B99" s="8" t="s">
        <v>187</v>
      </c>
      <c r="C99" s="293">
        <v>0</v>
      </c>
      <c r="D99" s="293"/>
      <c r="E99" s="271">
        <f>+C99-D99</f>
        <v>0</v>
      </c>
      <c r="F99" s="8"/>
      <c r="G99" s="45"/>
      <c r="H99" s="45"/>
    </row>
    <row r="100" spans="1:8" ht="12.75">
      <c r="A100" t="s">
        <v>38</v>
      </c>
      <c r="B100" s="8" t="s">
        <v>187</v>
      </c>
      <c r="C100" s="293"/>
      <c r="D100" s="293"/>
      <c r="E100" s="271">
        <f>+C100-D100</f>
        <v>0</v>
      </c>
      <c r="F100" s="8"/>
      <c r="G100" s="45"/>
      <c r="H100" s="45"/>
    </row>
    <row r="101" spans="1:8" ht="12.75">
      <c r="A101" s="10" t="s">
        <v>92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</row>
    <row r="102" spans="1:8" ht="12.75">
      <c r="A102" s="10" t="s">
        <v>93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</row>
    <row r="103" spans="1:8" ht="12.75">
      <c r="A103" s="10" t="s">
        <v>94</v>
      </c>
      <c r="B103" s="8" t="s">
        <v>187</v>
      </c>
      <c r="C103" s="293"/>
      <c r="D103" s="293"/>
      <c r="E103" s="282">
        <f t="shared" si="5"/>
        <v>0</v>
      </c>
      <c r="F103" s="8"/>
      <c r="G103" s="45"/>
      <c r="H103" s="45"/>
    </row>
    <row r="104" spans="1:8" ht="12.75">
      <c r="A104" s="10" t="s">
        <v>261</v>
      </c>
      <c r="B104" s="8" t="s">
        <v>187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</row>
    <row r="105" spans="1:8" ht="12.75">
      <c r="A105" s="10" t="s">
        <v>279</v>
      </c>
      <c r="B105" s="8" t="s">
        <v>187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</row>
    <row r="106" spans="1:8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</row>
    <row r="107" spans="1:8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</row>
    <row r="108" spans="1:8" ht="15">
      <c r="A108" s="467" t="s">
        <v>393</v>
      </c>
      <c r="B108" s="8"/>
      <c r="C108" s="252">
        <f>'TAXREC 3 No True-up'!C73</f>
        <v>192966</v>
      </c>
      <c r="D108" s="252">
        <f>'TAXREC 3 No True-up'!D73</f>
        <v>0</v>
      </c>
      <c r="E108" s="271">
        <f t="shared" si="5"/>
        <v>192966</v>
      </c>
      <c r="F108" s="8"/>
      <c r="G108" s="45"/>
      <c r="H108" s="45"/>
    </row>
    <row r="109" spans="1:8" ht="12.75">
      <c r="A109" s="31" t="s">
        <v>182</v>
      </c>
      <c r="B109" s="8" t="s">
        <v>187</v>
      </c>
      <c r="C109" s="293"/>
      <c r="D109" s="293"/>
      <c r="E109" s="282">
        <f t="shared" si="5"/>
        <v>0</v>
      </c>
      <c r="F109" s="8"/>
      <c r="G109" s="45"/>
      <c r="H109" s="45"/>
    </row>
    <row r="110" spans="1:8" ht="12.75">
      <c r="A110" t="s">
        <v>161</v>
      </c>
      <c r="B110" s="8" t="s">
        <v>187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</row>
    <row r="111" spans="1:8" ht="12.75">
      <c r="A111" t="s">
        <v>162</v>
      </c>
      <c r="B111" s="8" t="s">
        <v>187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74"/>
    </row>
    <row r="112" spans="1:8" ht="12.75">
      <c r="A112" s="4"/>
      <c r="B112" s="8"/>
      <c r="C112" s="22"/>
      <c r="D112" s="22"/>
      <c r="E112" s="295"/>
      <c r="F112" s="8"/>
      <c r="G112" s="45"/>
      <c r="H112" s="74"/>
    </row>
    <row r="113" spans="1:8" ht="12.75">
      <c r="A113" s="4" t="s">
        <v>163</v>
      </c>
      <c r="B113" s="8" t="s">
        <v>188</v>
      </c>
      <c r="C113" s="249">
        <f>SUM(C97:C111)</f>
        <v>1644567</v>
      </c>
      <c r="D113" s="249">
        <f>SUM(D97:D111)</f>
        <v>0</v>
      </c>
      <c r="E113" s="249">
        <f>SUM(E97:E111)</f>
        <v>1644567</v>
      </c>
      <c r="F113" s="8"/>
      <c r="G113" s="45"/>
      <c r="H113" s="23"/>
    </row>
    <row r="114" spans="1:8" ht="12.75">
      <c r="A114" s="10" t="s">
        <v>205</v>
      </c>
      <c r="B114" s="8"/>
      <c r="C114" s="5"/>
      <c r="D114" s="5"/>
      <c r="E114" s="5"/>
      <c r="F114" s="8"/>
      <c r="G114" s="45"/>
      <c r="H114" s="23"/>
    </row>
    <row r="115" spans="1:8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5"/>
      <c r="H115" s="77"/>
    </row>
    <row r="116" spans="1:8" ht="12.75">
      <c r="A116" s="67" t="s">
        <v>221</v>
      </c>
      <c r="B116" s="8" t="s">
        <v>187</v>
      </c>
      <c r="C116" s="293"/>
      <c r="D116" s="293"/>
      <c r="E116" s="271">
        <f>+C116-D116</f>
        <v>0</v>
      </c>
      <c r="F116" s="8"/>
      <c r="G116" s="75"/>
      <c r="H116" s="76"/>
    </row>
    <row r="117" spans="1:8" ht="12.75">
      <c r="A117" s="67"/>
      <c r="B117" s="8" t="s">
        <v>187</v>
      </c>
      <c r="C117" s="293"/>
      <c r="D117" s="293"/>
      <c r="E117" s="271">
        <f>+C117-D117</f>
        <v>0</v>
      </c>
      <c r="F117" s="8"/>
      <c r="G117" s="75"/>
      <c r="H117" s="76"/>
    </row>
    <row r="118" spans="1:8" ht="12.75">
      <c r="A118" s="67"/>
      <c r="B118" s="8"/>
      <c r="C118" s="293"/>
      <c r="D118" s="293"/>
      <c r="E118" s="271">
        <f>+C118-D118</f>
        <v>0</v>
      </c>
      <c r="F118" s="8"/>
      <c r="G118" s="75"/>
      <c r="H118" s="76"/>
    </row>
    <row r="119" spans="1:8" ht="12.75">
      <c r="A119" s="68"/>
      <c r="B119" s="8" t="s">
        <v>187</v>
      </c>
      <c r="C119" s="293"/>
      <c r="D119" s="293"/>
      <c r="E119" s="271">
        <f>+C119-D119</f>
        <v>0</v>
      </c>
      <c r="F119" s="8"/>
      <c r="G119" s="75"/>
      <c r="H119" s="76"/>
    </row>
    <row r="120" spans="1:8" ht="12.75">
      <c r="A120" s="10" t="s">
        <v>51</v>
      </c>
      <c r="B120" s="8" t="s">
        <v>188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</row>
    <row r="121" spans="2:8" ht="12.75">
      <c r="B121" s="8"/>
      <c r="C121" s="22"/>
      <c r="D121" s="22"/>
      <c r="E121" s="22"/>
      <c r="F121" s="8"/>
      <c r="G121" s="76"/>
      <c r="H121" s="72"/>
    </row>
    <row r="122" spans="1:8" ht="12.75">
      <c r="A122" s="4" t="s">
        <v>19</v>
      </c>
      <c r="B122" s="8" t="s">
        <v>188</v>
      </c>
      <c r="C122" s="249">
        <f>C113+C120</f>
        <v>1644567</v>
      </c>
      <c r="D122" s="249">
        <f>D113+D120</f>
        <v>0</v>
      </c>
      <c r="E122" s="249">
        <f>+E113+E120</f>
        <v>1644567</v>
      </c>
      <c r="F122" s="8"/>
      <c r="G122" s="45"/>
      <c r="H122" s="45"/>
    </row>
    <row r="123" spans="2:8" ht="12.75">
      <c r="B123" s="8"/>
      <c r="C123" s="22"/>
      <c r="D123" s="22"/>
      <c r="E123" s="22"/>
      <c r="F123" s="8"/>
      <c r="G123" s="45"/>
      <c r="H123" s="45"/>
    </row>
    <row r="124" spans="1:8" ht="12.75">
      <c r="A124" s="290" t="s">
        <v>175</v>
      </c>
      <c r="C124" s="8"/>
      <c r="D124" s="8"/>
      <c r="E124" s="8"/>
      <c r="F124" s="8"/>
      <c r="G124" s="45"/>
      <c r="H124" s="45"/>
    </row>
    <row r="125" spans="1:8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</row>
    <row r="126" spans="1:8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</row>
    <row r="127" spans="1:8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</row>
    <row r="128" spans="1:8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</row>
    <row r="129" spans="1:8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</row>
    <row r="130" spans="1:8" ht="12.75">
      <c r="A130" s="288" t="s">
        <v>198</v>
      </c>
      <c r="B130" s="272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</row>
    <row r="131" spans="1:8" ht="12.75">
      <c r="A131" s="272" t="s">
        <v>199</v>
      </c>
      <c r="B131" s="272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</row>
    <row r="132" spans="1:8" ht="12.75">
      <c r="A132" s="272" t="s">
        <v>197</v>
      </c>
      <c r="B132" s="272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</row>
    <row r="133" spans="2:8" ht="12.75">
      <c r="B133" s="8"/>
      <c r="C133" s="22"/>
      <c r="D133" s="22"/>
      <c r="E133" s="22"/>
      <c r="F133" s="8"/>
      <c r="G133" s="45"/>
      <c r="H133" s="45"/>
    </row>
    <row r="134" spans="1:8" ht="12.75">
      <c r="A134" s="13" t="s">
        <v>81</v>
      </c>
      <c r="B134" s="8" t="s">
        <v>188</v>
      </c>
      <c r="C134" s="249">
        <f>+C53+C82-C122</f>
        <v>1301803</v>
      </c>
      <c r="D134" s="249">
        <f>D53+D82-D122</f>
        <v>0</v>
      </c>
      <c r="E134" s="249">
        <f>E53+E82-E122</f>
        <v>1301803</v>
      </c>
      <c r="F134" s="8"/>
      <c r="G134" s="45"/>
      <c r="H134" s="45"/>
    </row>
    <row r="135" spans="1:8" ht="12.75">
      <c r="A135" s="12" t="s">
        <v>46</v>
      </c>
      <c r="B135" s="8"/>
      <c r="D135" s="30"/>
      <c r="E135" s="30"/>
      <c r="F135" s="8"/>
      <c r="G135" s="45"/>
      <c r="H135" s="45"/>
    </row>
    <row r="136" spans="1:8" ht="12.75">
      <c r="A136" s="12" t="s">
        <v>373</v>
      </c>
      <c r="B136" s="8" t="s">
        <v>187</v>
      </c>
      <c r="C136" s="293">
        <v>394704</v>
      </c>
      <c r="D136" s="293"/>
      <c r="E136" s="263">
        <f>C136-D136</f>
        <v>394704</v>
      </c>
      <c r="F136" s="8"/>
      <c r="G136" s="45"/>
      <c r="H136" s="45"/>
    </row>
    <row r="137" spans="1:8" ht="12.75">
      <c r="A137" s="46" t="s">
        <v>374</v>
      </c>
      <c r="B137" s="8" t="s">
        <v>187</v>
      </c>
      <c r="C137" s="309"/>
      <c r="D137" s="309"/>
      <c r="E137" s="393">
        <f>C137-D137</f>
        <v>0</v>
      </c>
      <c r="F137" s="8"/>
      <c r="G137" s="45"/>
      <c r="H137" s="45"/>
    </row>
    <row r="138" spans="1:8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</row>
    <row r="139" spans="1:8" ht="12.75">
      <c r="A139" s="46" t="s">
        <v>97</v>
      </c>
      <c r="B139" s="8" t="s">
        <v>188</v>
      </c>
      <c r="C139" s="250">
        <f>C134-C136-C137-C138</f>
        <v>907099</v>
      </c>
      <c r="D139" s="250">
        <f>D134-D136-D137-D138</f>
        <v>0</v>
      </c>
      <c r="E139" s="250">
        <f>E134-E136-E137-E138</f>
        <v>907099</v>
      </c>
      <c r="F139" s="8"/>
      <c r="G139" s="45"/>
      <c r="H139" s="45"/>
    </row>
    <row r="140" spans="1:8" ht="12.75">
      <c r="A140" s="46"/>
      <c r="B140" s="8"/>
      <c r="C140" s="87"/>
      <c r="D140" s="87"/>
      <c r="E140" s="87"/>
      <c r="F140" s="8"/>
      <c r="G140" s="45"/>
      <c r="H140" s="45"/>
    </row>
    <row r="141" spans="1:8" ht="12.75">
      <c r="A141" s="319" t="s">
        <v>305</v>
      </c>
      <c r="B141" s="8"/>
      <c r="C141" s="5"/>
      <c r="D141" s="5"/>
      <c r="E141" s="5"/>
      <c r="F141" s="8"/>
      <c r="G141" s="45"/>
      <c r="H141" s="45"/>
    </row>
    <row r="142" spans="1:8" ht="12.75">
      <c r="A142" s="46" t="s">
        <v>322</v>
      </c>
      <c r="B142" s="8" t="s">
        <v>186</v>
      </c>
      <c r="C142" s="297">
        <v>218793</v>
      </c>
      <c r="D142" s="297"/>
      <c r="E142" s="250">
        <f>C142-D142</f>
        <v>218793</v>
      </c>
      <c r="F142" s="8"/>
      <c r="G142" s="45"/>
      <c r="H142" s="45"/>
    </row>
    <row r="143" spans="1:8" ht="12.75">
      <c r="A143" s="46" t="s">
        <v>321</v>
      </c>
      <c r="B143" s="8" t="s">
        <v>186</v>
      </c>
      <c r="C143" s="297">
        <v>113387</v>
      </c>
      <c r="D143" s="297"/>
      <c r="E143" s="291">
        <f>C143-D143</f>
        <v>113387</v>
      </c>
      <c r="F143" s="8"/>
      <c r="H143" s="45"/>
    </row>
    <row r="144" spans="1:8" ht="12.75">
      <c r="A144" s="46" t="s">
        <v>172</v>
      </c>
      <c r="B144" s="8" t="s">
        <v>188</v>
      </c>
      <c r="C144" s="250">
        <f>C142+C143</f>
        <v>332180</v>
      </c>
      <c r="D144" s="250">
        <f>D142+D143</f>
        <v>0</v>
      </c>
      <c r="E144" s="250">
        <f>E142+E143</f>
        <v>332180</v>
      </c>
      <c r="F144" s="8"/>
      <c r="G144" s="45"/>
      <c r="H144" s="45"/>
    </row>
    <row r="145" spans="1:8" ht="12.75">
      <c r="A145" s="46" t="s">
        <v>333</v>
      </c>
      <c r="B145" s="8" t="s">
        <v>187</v>
      </c>
      <c r="C145" s="297">
        <v>0</v>
      </c>
      <c r="D145" s="297"/>
      <c r="E145" s="292">
        <f>C145-D145</f>
        <v>0</v>
      </c>
      <c r="F145" s="8"/>
      <c r="G145" s="45"/>
      <c r="H145" s="45"/>
    </row>
    <row r="146" spans="1:8" ht="12.75">
      <c r="A146" s="319" t="s">
        <v>99</v>
      </c>
      <c r="B146" s="8" t="s">
        <v>188</v>
      </c>
      <c r="C146" s="250">
        <f>C144-C145</f>
        <v>332180</v>
      </c>
      <c r="D146" s="250">
        <f>D144-D145</f>
        <v>0</v>
      </c>
      <c r="E146" s="250">
        <f>E144-E145</f>
        <v>332180</v>
      </c>
      <c r="F146" s="8"/>
      <c r="G146" s="45"/>
      <c r="H146" s="45"/>
    </row>
    <row r="147" spans="2:8" ht="12.75">
      <c r="B147" s="8"/>
      <c r="C147" s="5"/>
      <c r="D147" s="5"/>
      <c r="E147" s="5"/>
      <c r="F147" s="8"/>
      <c r="G147" s="45"/>
      <c r="H147" s="45"/>
    </row>
    <row r="148" spans="1:8" ht="12.75">
      <c r="A148" s="319" t="s">
        <v>305</v>
      </c>
      <c r="B148" s="8"/>
      <c r="C148" s="5"/>
      <c r="D148" s="5"/>
      <c r="E148" s="5"/>
      <c r="F148" s="8"/>
      <c r="G148" s="45"/>
      <c r="H148" s="45"/>
    </row>
    <row r="149" spans="1:8" ht="12.75">
      <c r="A149" s="46" t="s">
        <v>328</v>
      </c>
      <c r="B149" s="8"/>
      <c r="C149" s="404">
        <f>C142/C139</f>
        <v>0.2412007950620605</v>
      </c>
      <c r="D149" s="5"/>
      <c r="E149" s="405">
        <f>C149</f>
        <v>0.2412007950620605</v>
      </c>
      <c r="F149" s="8"/>
      <c r="G149" s="482"/>
      <c r="H149" s="45"/>
    </row>
    <row r="150" spans="1:8" ht="12.75">
      <c r="A150" s="46" t="s">
        <v>329</v>
      </c>
      <c r="B150" s="8"/>
      <c r="C150" s="404">
        <v>0.125</v>
      </c>
      <c r="D150" s="488"/>
      <c r="E150" s="405">
        <f>C150</f>
        <v>0.125</v>
      </c>
      <c r="F150" s="8"/>
      <c r="G150" s="482"/>
      <c r="H150" s="45"/>
    </row>
    <row r="151" spans="1:8" ht="12.75">
      <c r="A151" t="s">
        <v>330</v>
      </c>
      <c r="B151" s="8"/>
      <c r="C151" s="405">
        <f>SUM(C149:C150)</f>
        <v>0.3662007950620605</v>
      </c>
      <c r="D151" s="5"/>
      <c r="E151" s="405">
        <f>SUM(E149:E150)</f>
        <v>0.3662007950620605</v>
      </c>
      <c r="F151" s="8"/>
      <c r="G151" s="45"/>
      <c r="H151" s="45"/>
    </row>
    <row r="152" spans="2:8" ht="12.75">
      <c r="B152" s="8"/>
      <c r="C152" s="5"/>
      <c r="D152" s="5"/>
      <c r="E152" s="5"/>
      <c r="F152" s="8"/>
      <c r="G152" s="45"/>
      <c r="H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474</v>
      </c>
      <c r="B155" s="8"/>
    </row>
    <row r="156" spans="1:5" ht="12.75">
      <c r="A156" t="s">
        <v>218</v>
      </c>
      <c r="B156" s="85" t="s">
        <v>186</v>
      </c>
      <c r="C156" s="249">
        <f>C146</f>
        <v>332180</v>
      </c>
      <c r="D156" s="249">
        <f>D146</f>
        <v>0</v>
      </c>
      <c r="E156" s="249">
        <f>E146</f>
        <v>332180</v>
      </c>
    </row>
    <row r="157" spans="1:5" ht="12.75">
      <c r="A157" t="s">
        <v>20</v>
      </c>
      <c r="B157" s="85" t="s">
        <v>186</v>
      </c>
      <c r="C157" s="478">
        <v>75228</v>
      </c>
      <c r="D157" s="249"/>
      <c r="E157" s="249">
        <f>C157+D157</f>
        <v>75228</v>
      </c>
    </row>
    <row r="158" spans="1:5" ht="12.75">
      <c r="A158" t="s">
        <v>217</v>
      </c>
      <c r="B158" s="85" t="s">
        <v>186</v>
      </c>
      <c r="C158" s="478">
        <v>30858</v>
      </c>
      <c r="D158" s="249"/>
      <c r="E158" s="249">
        <f>C158+D158</f>
        <v>30858</v>
      </c>
    </row>
    <row r="159" ht="12.75">
      <c r="B159" s="8"/>
    </row>
    <row r="160" spans="1:5" ht="12.75">
      <c r="A160" s="2" t="s">
        <v>302</v>
      </c>
      <c r="B160" s="65" t="s">
        <v>188</v>
      </c>
      <c r="C160" s="249">
        <f>C156+C157+C158</f>
        <v>438266</v>
      </c>
      <c r="D160" s="249">
        <f>D156+D157+D158</f>
        <v>0</v>
      </c>
      <c r="E160" s="249">
        <f>E156+E157+E158</f>
        <v>438266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34" header="0.19" footer="0"/>
  <pageSetup fitToHeight="3" fitToWidth="1" horizontalDpi="600" verticalDpi="600" orientation="portrait" scale="76" r:id="rId1"/>
  <rowBreaks count="1" manualBreakCount="1">
    <brk id="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D72" sqref="D7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Peninsula West Utilities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272</v>
      </c>
      <c r="B12" s="60"/>
      <c r="C12" s="310"/>
      <c r="D12" s="310"/>
      <c r="E12" s="60"/>
    </row>
    <row r="13" spans="1:5" ht="12.75">
      <c r="A13" s="60"/>
      <c r="B13" s="60"/>
      <c r="C13" s="293"/>
      <c r="D13" s="293"/>
      <c r="E13" s="249">
        <f>C13-D13</f>
        <v>0</v>
      </c>
    </row>
    <row r="14" spans="1:5" ht="12.75">
      <c r="A14" s="60" t="s">
        <v>280</v>
      </c>
      <c r="B14" s="60"/>
      <c r="C14" s="293"/>
      <c r="D14" s="293"/>
      <c r="E14" s="249">
        <f aca="true" t="shared" si="0" ref="E14:E21">C14-D14</f>
        <v>0</v>
      </c>
    </row>
    <row r="15" spans="1:5" ht="12.75">
      <c r="A15" s="60" t="s">
        <v>281</v>
      </c>
      <c r="B15" s="60"/>
      <c r="C15" s="293"/>
      <c r="D15" s="293"/>
      <c r="E15" s="249">
        <f t="shared" si="0"/>
        <v>0</v>
      </c>
    </row>
    <row r="16" spans="1:5" ht="12.75">
      <c r="A16" s="60" t="s">
        <v>282</v>
      </c>
      <c r="B16" s="60"/>
      <c r="C16" s="293"/>
      <c r="D16" s="293"/>
      <c r="E16" s="249">
        <f t="shared" si="0"/>
        <v>0</v>
      </c>
    </row>
    <row r="17" spans="1:5" ht="12.75">
      <c r="A17" s="60" t="s">
        <v>283</v>
      </c>
      <c r="B17" s="60"/>
      <c r="C17" s="293"/>
      <c r="D17" s="293"/>
      <c r="E17" s="249">
        <f t="shared" si="0"/>
        <v>0</v>
      </c>
    </row>
    <row r="18" spans="1:5" ht="12.75">
      <c r="A18" s="60" t="s">
        <v>447</v>
      </c>
      <c r="B18" s="60"/>
      <c r="C18" s="293"/>
      <c r="D18" s="293"/>
      <c r="E18" s="249">
        <f t="shared" si="0"/>
        <v>0</v>
      </c>
    </row>
    <row r="19" spans="1:5" ht="12.75">
      <c r="A19" s="60" t="s">
        <v>447</v>
      </c>
      <c r="B19" s="60"/>
      <c r="C19" s="293"/>
      <c r="D19" s="293"/>
      <c r="E19" s="249">
        <f t="shared" si="0"/>
        <v>0</v>
      </c>
    </row>
    <row r="20" spans="1:5" ht="12.75">
      <c r="A20" s="60"/>
      <c r="B20" s="60"/>
      <c r="C20" s="293"/>
      <c r="D20" s="293"/>
      <c r="E20" s="249">
        <f t="shared" si="0"/>
        <v>0</v>
      </c>
    </row>
    <row r="21" spans="1:5" ht="12.75">
      <c r="A21" s="60"/>
      <c r="B21" s="60"/>
      <c r="C21" s="309"/>
      <c r="D21" s="309"/>
      <c r="E21" s="278">
        <f t="shared" si="0"/>
        <v>0</v>
      </c>
    </row>
    <row r="22" spans="1:5" ht="12.75">
      <c r="A22" s="2" t="s">
        <v>179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271</v>
      </c>
      <c r="B24" s="60"/>
      <c r="C24" s="90"/>
      <c r="D24" s="90"/>
      <c r="E24" s="90"/>
    </row>
    <row r="25" spans="1:5" ht="12.75">
      <c r="A25" s="60"/>
      <c r="B25" s="60"/>
      <c r="C25" s="293"/>
      <c r="D25" s="293"/>
      <c r="E25" s="249">
        <f>C25-D25</f>
        <v>0</v>
      </c>
    </row>
    <row r="26" spans="1:5" ht="12.75">
      <c r="A26" s="60" t="s">
        <v>280</v>
      </c>
      <c r="B26" s="60"/>
      <c r="C26" s="293"/>
      <c r="D26" s="293"/>
      <c r="E26" s="249">
        <f aca="true" t="shared" si="1" ref="E26:E33">C26-D26</f>
        <v>0</v>
      </c>
    </row>
    <row r="27" spans="1:5" ht="12.75">
      <c r="A27" s="60" t="s">
        <v>281</v>
      </c>
      <c r="B27" s="60"/>
      <c r="C27" s="293"/>
      <c r="D27" s="293"/>
      <c r="E27" s="249">
        <f t="shared" si="1"/>
        <v>0</v>
      </c>
    </row>
    <row r="28" spans="1:5" ht="12.75">
      <c r="A28" s="60" t="s">
        <v>282</v>
      </c>
      <c r="B28" s="60"/>
      <c r="C28" s="293"/>
      <c r="D28" s="293"/>
      <c r="E28" s="249">
        <f t="shared" si="1"/>
        <v>0</v>
      </c>
    </row>
    <row r="29" spans="1:5" ht="12.75">
      <c r="A29" s="60" t="s">
        <v>283</v>
      </c>
      <c r="B29" s="60"/>
      <c r="C29" s="293"/>
      <c r="D29" s="293"/>
      <c r="E29" s="249">
        <f t="shared" si="1"/>
        <v>0</v>
      </c>
    </row>
    <row r="30" spans="1:5" ht="12.75">
      <c r="A30" s="60" t="s">
        <v>447</v>
      </c>
      <c r="B30" s="60"/>
      <c r="C30" s="293"/>
      <c r="D30" s="293"/>
      <c r="E30" s="249">
        <f t="shared" si="1"/>
        <v>0</v>
      </c>
    </row>
    <row r="31" spans="1:5" ht="12.75">
      <c r="A31" s="60" t="s">
        <v>447</v>
      </c>
      <c r="B31" s="60"/>
      <c r="C31" s="293"/>
      <c r="D31" s="293"/>
      <c r="E31" s="249">
        <f t="shared" si="1"/>
        <v>0</v>
      </c>
    </row>
    <row r="32" spans="1:5" ht="12.75">
      <c r="A32" s="60"/>
      <c r="B32" s="60"/>
      <c r="C32" s="293"/>
      <c r="D32" s="293"/>
      <c r="E32" s="249">
        <f t="shared" si="1"/>
        <v>0</v>
      </c>
    </row>
    <row r="33" spans="1:5" ht="13.5" thickBot="1">
      <c r="A33" s="61"/>
      <c r="B33" s="60"/>
      <c r="C33" s="293"/>
      <c r="D33" s="293"/>
      <c r="E33" s="249">
        <f t="shared" si="1"/>
        <v>0</v>
      </c>
    </row>
    <row r="34" spans="1:5" ht="12.75">
      <c r="A34" s="55" t="s">
        <v>131</v>
      </c>
      <c r="C34" s="22"/>
      <c r="D34" s="22"/>
      <c r="E34" s="278"/>
    </row>
    <row r="35" spans="1:5" ht="12.75">
      <c r="A35" s="2" t="s">
        <v>179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272</v>
      </c>
      <c r="B40" s="60"/>
      <c r="C40" s="90"/>
      <c r="D40" s="90"/>
      <c r="E40" s="90"/>
    </row>
    <row r="41" spans="1:5" ht="12.75">
      <c r="A41" s="60"/>
      <c r="B41" s="60"/>
      <c r="C41" s="293"/>
      <c r="D41" s="293"/>
      <c r="E41" s="249">
        <f>C41-D41</f>
        <v>0</v>
      </c>
    </row>
    <row r="42" spans="1:5" ht="12.75">
      <c r="A42" s="60"/>
      <c r="B42" s="60"/>
      <c r="C42" s="293"/>
      <c r="D42" s="293"/>
      <c r="E42" s="249">
        <f aca="true" t="shared" si="2" ref="E42:E49">C42-D42</f>
        <v>0</v>
      </c>
    </row>
    <row r="43" spans="1:5" ht="12.75">
      <c r="A43" s="60" t="s">
        <v>266</v>
      </c>
      <c r="B43" s="60"/>
      <c r="C43" s="293"/>
      <c r="D43" s="293"/>
      <c r="E43" s="249">
        <f t="shared" si="2"/>
        <v>0</v>
      </c>
    </row>
    <row r="44" spans="1:5" ht="12.75">
      <c r="A44" s="60" t="s">
        <v>267</v>
      </c>
      <c r="B44" s="60"/>
      <c r="C44" s="293"/>
      <c r="D44" s="293"/>
      <c r="E44" s="249">
        <f t="shared" si="2"/>
        <v>0</v>
      </c>
    </row>
    <row r="45" spans="1:5" ht="12.75">
      <c r="A45" s="60" t="s">
        <v>268</v>
      </c>
      <c r="B45" s="60"/>
      <c r="C45" s="293"/>
      <c r="D45" s="293"/>
      <c r="E45" s="249">
        <f t="shared" si="2"/>
        <v>0</v>
      </c>
    </row>
    <row r="46" spans="1:5" ht="12.75">
      <c r="A46" s="60" t="s">
        <v>269</v>
      </c>
      <c r="B46" s="60"/>
      <c r="C46" s="293"/>
      <c r="D46" s="293"/>
      <c r="E46" s="249">
        <f t="shared" si="2"/>
        <v>0</v>
      </c>
    </row>
    <row r="47" spans="1:5" ht="12.75">
      <c r="A47" s="60" t="s">
        <v>447</v>
      </c>
      <c r="B47" s="60"/>
      <c r="C47" s="293"/>
      <c r="D47" s="293"/>
      <c r="E47" s="249">
        <f t="shared" si="2"/>
        <v>0</v>
      </c>
    </row>
    <row r="48" spans="1:5" ht="12.75">
      <c r="A48" s="60" t="s">
        <v>447</v>
      </c>
      <c r="B48" s="60"/>
      <c r="C48" s="293"/>
      <c r="D48" s="293"/>
      <c r="E48" s="249">
        <f t="shared" si="2"/>
        <v>0</v>
      </c>
    </row>
    <row r="49" spans="1:5" ht="12.75">
      <c r="A49" s="60"/>
      <c r="B49" s="60"/>
      <c r="C49" s="309"/>
      <c r="D49" s="309"/>
      <c r="E49" s="278">
        <f t="shared" si="2"/>
        <v>0</v>
      </c>
    </row>
    <row r="50" spans="1:5" ht="12.75">
      <c r="A50" s="2" t="s">
        <v>179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271</v>
      </c>
      <c r="B52" s="60"/>
      <c r="C52" s="90"/>
      <c r="D52" s="90"/>
      <c r="E52" s="90"/>
    </row>
    <row r="53" spans="1:5" ht="12.75">
      <c r="A53" s="60"/>
      <c r="B53" s="60"/>
      <c r="C53" s="293"/>
      <c r="D53" s="293"/>
      <c r="E53" s="249">
        <f>C53-D53</f>
        <v>0</v>
      </c>
    </row>
    <row r="54" spans="1:5" ht="12.75">
      <c r="A54" s="244"/>
      <c r="B54" s="60"/>
      <c r="C54" s="293"/>
      <c r="D54" s="293"/>
      <c r="E54" s="249">
        <f aca="true" t="shared" si="3" ref="E54:E61">C54-D54</f>
        <v>0</v>
      </c>
    </row>
    <row r="55" spans="1:5" ht="12.75">
      <c r="A55" s="244" t="s">
        <v>266</v>
      </c>
      <c r="B55" s="60"/>
      <c r="C55" s="293"/>
      <c r="D55" s="293"/>
      <c r="E55" s="249">
        <f t="shared" si="3"/>
        <v>0</v>
      </c>
    </row>
    <row r="56" spans="1:5" ht="12.75">
      <c r="A56" s="244" t="s">
        <v>267</v>
      </c>
      <c r="B56" s="60"/>
      <c r="C56" s="293"/>
      <c r="D56" s="293"/>
      <c r="E56" s="249">
        <f t="shared" si="3"/>
        <v>0</v>
      </c>
    </row>
    <row r="57" spans="1:5" ht="12.75">
      <c r="A57" s="244" t="s">
        <v>268</v>
      </c>
      <c r="B57" s="60"/>
      <c r="C57" s="293"/>
      <c r="D57" s="293"/>
      <c r="E57" s="249">
        <f t="shared" si="3"/>
        <v>0</v>
      </c>
    </row>
    <row r="58" spans="1:5" ht="12.75">
      <c r="A58" s="244" t="s">
        <v>269</v>
      </c>
      <c r="B58" s="60"/>
      <c r="C58" s="293"/>
      <c r="D58" s="293"/>
      <c r="E58" s="249">
        <f t="shared" si="3"/>
        <v>0</v>
      </c>
    </row>
    <row r="59" spans="1:5" ht="12.75">
      <c r="A59" s="60" t="s">
        <v>447</v>
      </c>
      <c r="B59" s="60"/>
      <c r="C59" s="293"/>
      <c r="D59" s="293"/>
      <c r="E59" s="249">
        <f t="shared" si="3"/>
        <v>0</v>
      </c>
    </row>
    <row r="60" spans="1:5" ht="12.75">
      <c r="A60" s="60" t="s">
        <v>447</v>
      </c>
      <c r="B60" s="60"/>
      <c r="C60" s="293"/>
      <c r="D60" s="293"/>
      <c r="E60" s="249">
        <f t="shared" si="3"/>
        <v>0</v>
      </c>
    </row>
    <row r="61" spans="1:5" ht="13.5" thickBot="1">
      <c r="A61" s="61"/>
      <c r="B61" s="60"/>
      <c r="C61" s="293"/>
      <c r="D61" s="293"/>
      <c r="E61" s="249">
        <f t="shared" si="3"/>
        <v>0</v>
      </c>
    </row>
    <row r="62" spans="1:5" ht="12.75">
      <c r="A62" s="55" t="s">
        <v>131</v>
      </c>
      <c r="C62" s="22"/>
      <c r="D62" s="22"/>
      <c r="E62" s="278"/>
    </row>
    <row r="63" spans="1:5" ht="12.75">
      <c r="A63" s="2" t="s">
        <v>179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C32" sqref="C3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466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465</v>
      </c>
      <c r="B5" s="8"/>
      <c r="C5" s="8" t="s">
        <v>2</v>
      </c>
      <c r="D5" s="8"/>
      <c r="E5" s="8"/>
      <c r="F5" s="8"/>
    </row>
    <row r="6" spans="1:6" ht="12.75">
      <c r="A6" s="415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Peninsula West Utilities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271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4"/>
      <c r="D17" s="294"/>
      <c r="E17" s="312">
        <f>C17-D17</f>
        <v>0</v>
      </c>
    </row>
    <row r="18" spans="1:5" ht="12.75">
      <c r="A18" s="66" t="s">
        <v>252</v>
      </c>
      <c r="B18" t="s">
        <v>186</v>
      </c>
      <c r="C18" s="294"/>
      <c r="D18" s="294"/>
      <c r="E18" s="312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4"/>
      <c r="D19" s="294"/>
      <c r="E19" s="312">
        <f t="shared" si="0"/>
        <v>0</v>
      </c>
    </row>
    <row r="20" spans="1:5" ht="12.75">
      <c r="A20" s="66" t="s">
        <v>448</v>
      </c>
      <c r="B20" t="s">
        <v>186</v>
      </c>
      <c r="C20" s="294"/>
      <c r="D20" s="313"/>
      <c r="E20" s="312">
        <f t="shared" si="0"/>
        <v>0</v>
      </c>
    </row>
    <row r="21" spans="1:5" ht="12.75">
      <c r="A21" s="66" t="s">
        <v>8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6"/>
      <c r="B22" t="s">
        <v>186</v>
      </c>
      <c r="C22" s="294"/>
      <c r="D22" s="294"/>
      <c r="E22" s="312">
        <f t="shared" si="0"/>
        <v>0</v>
      </c>
    </row>
    <row r="23" spans="1:5" ht="12.75">
      <c r="A23" s="66" t="s">
        <v>136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6" t="s">
        <v>137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6" t="s">
        <v>9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6" t="s">
        <v>190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6" t="s">
        <v>7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6" t="s">
        <v>124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6" t="s">
        <v>138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6" t="s">
        <v>139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6" t="s">
        <v>253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6" t="s">
        <v>140</v>
      </c>
      <c r="B32" t="s">
        <v>186</v>
      </c>
      <c r="C32" s="294"/>
      <c r="D32" s="294"/>
      <c r="E32" s="312">
        <f t="shared" si="0"/>
        <v>0</v>
      </c>
    </row>
    <row r="33" spans="1:5" ht="12.75">
      <c r="A33" s="66" t="s">
        <v>141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6" t="s">
        <v>142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66" t="s">
        <v>192</v>
      </c>
      <c r="B35" t="s">
        <v>186</v>
      </c>
      <c r="C35" s="294"/>
      <c r="D35" s="294"/>
      <c r="E35" s="312">
        <f t="shared" si="0"/>
        <v>0</v>
      </c>
    </row>
    <row r="36" spans="1:5" ht="12.75">
      <c r="A36" s="66" t="s">
        <v>472</v>
      </c>
      <c r="B36" t="s">
        <v>186</v>
      </c>
      <c r="C36" s="294"/>
      <c r="D36" s="294"/>
      <c r="E36" s="312">
        <f t="shared" si="0"/>
        <v>0</v>
      </c>
    </row>
    <row r="37" spans="1:5" ht="12.75">
      <c r="A37" s="66"/>
      <c r="B37" t="s">
        <v>186</v>
      </c>
      <c r="C37" s="294"/>
      <c r="D37" s="294"/>
      <c r="E37" s="312">
        <f t="shared" si="0"/>
        <v>0</v>
      </c>
    </row>
    <row r="38" spans="2:5" ht="12.75">
      <c r="B38" t="s">
        <v>186</v>
      </c>
      <c r="C38" s="294"/>
      <c r="D38" s="294"/>
      <c r="E38" s="249">
        <f t="shared" si="0"/>
        <v>0</v>
      </c>
    </row>
    <row r="39" spans="2:5" ht="12.75">
      <c r="B39" t="s">
        <v>186</v>
      </c>
      <c r="C39" s="293"/>
      <c r="D39" s="294"/>
      <c r="E39" s="249">
        <f t="shared" si="0"/>
        <v>0</v>
      </c>
    </row>
    <row r="40" spans="1:5" ht="12.75">
      <c r="A40" s="67" t="s">
        <v>203</v>
      </c>
      <c r="B40" t="s">
        <v>186</v>
      </c>
      <c r="C40" s="293"/>
      <c r="D40" s="293"/>
      <c r="E40" s="249">
        <f t="shared" si="0"/>
        <v>0</v>
      </c>
    </row>
    <row r="41" spans="1:5" ht="12.75">
      <c r="A41" s="66"/>
      <c r="B41" t="s">
        <v>186</v>
      </c>
      <c r="C41" s="293"/>
      <c r="D41" s="293"/>
      <c r="E41" s="249">
        <f t="shared" si="0"/>
        <v>0</v>
      </c>
    </row>
    <row r="42" spans="1:5" ht="12.75">
      <c r="A42" s="66"/>
      <c r="B42" t="s">
        <v>186</v>
      </c>
      <c r="C42" s="293"/>
      <c r="D42" s="293"/>
      <c r="E42" s="249">
        <f t="shared" si="0"/>
        <v>0</v>
      </c>
    </row>
    <row r="43" spans="1:5" ht="12.75">
      <c r="A43" s="66"/>
      <c r="B43" t="s">
        <v>186</v>
      </c>
      <c r="C43" s="293"/>
      <c r="D43" s="293"/>
      <c r="E43" s="249">
        <f t="shared" si="0"/>
        <v>0</v>
      </c>
    </row>
    <row r="44" spans="1:5" ht="12.75">
      <c r="A44" s="66"/>
      <c r="B44" t="s">
        <v>186</v>
      </c>
      <c r="C44" s="293"/>
      <c r="D44" s="293"/>
      <c r="E44" s="249">
        <f t="shared" si="0"/>
        <v>0</v>
      </c>
    </row>
    <row r="45" spans="1:5" ht="12.75">
      <c r="A45" s="66"/>
      <c r="B45" t="s">
        <v>186</v>
      </c>
      <c r="C45" s="293"/>
      <c r="D45" s="293"/>
      <c r="E45" s="278"/>
    </row>
    <row r="46" spans="1:5" ht="12.75">
      <c r="A46" s="69" t="s">
        <v>169</v>
      </c>
      <c r="B46" t="s">
        <v>188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4" t="str">
        <f>IF($E17&gt;$C$11,A17," ")</f>
        <v> </v>
      </c>
      <c r="B49" s="272"/>
      <c r="C49" s="249">
        <f aca="true" t="shared" si="1" ref="C49:E72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4" t="str">
        <f aca="true" t="shared" si="2" ref="A50:A70">IF($E18&gt;$C$11,A18," ")</f>
        <v> </v>
      </c>
      <c r="B50" s="272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4" t="str">
        <f t="shared" si="2"/>
        <v> </v>
      </c>
      <c r="B51" s="272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4" t="str">
        <f t="shared" si="2"/>
        <v> </v>
      </c>
      <c r="B52" s="272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4" t="str">
        <f t="shared" si="2"/>
        <v> </v>
      </c>
      <c r="B53" s="272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4" t="str">
        <f t="shared" si="2"/>
        <v> </v>
      </c>
      <c r="B54" s="272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4" t="str">
        <f t="shared" si="2"/>
        <v> </v>
      </c>
      <c r="B55" s="272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4" t="str">
        <f t="shared" si="2"/>
        <v> </v>
      </c>
      <c r="B56" s="272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4" t="str">
        <f t="shared" si="2"/>
        <v> </v>
      </c>
      <c r="B57" s="272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4" t="str">
        <f t="shared" si="2"/>
        <v> </v>
      </c>
      <c r="B58" s="272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4" t="str">
        <f t="shared" si="2"/>
        <v> </v>
      </c>
      <c r="B59" s="272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4" t="str">
        <f t="shared" si="2"/>
        <v> </v>
      </c>
      <c r="B60" s="272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4" t="str">
        <f t="shared" si="2"/>
        <v> </v>
      </c>
      <c r="B61" s="272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4" t="str">
        <f t="shared" si="2"/>
        <v> </v>
      </c>
      <c r="B62" s="272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4" t="str">
        <f t="shared" si="2"/>
        <v> </v>
      </c>
      <c r="B63" s="272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4" t="str">
        <f t="shared" si="2"/>
        <v> </v>
      </c>
      <c r="B64" s="272"/>
      <c r="C64" s="249">
        <f t="shared" si="1"/>
        <v>0</v>
      </c>
      <c r="D64" s="249">
        <f t="shared" si="1"/>
        <v>0</v>
      </c>
      <c r="E64" s="249">
        <f t="shared" si="1"/>
        <v>0</v>
      </c>
    </row>
    <row r="65" spans="1:5" ht="12.75">
      <c r="A65" s="274" t="str">
        <f t="shared" si="2"/>
        <v> </v>
      </c>
      <c r="B65" s="272"/>
      <c r="C65" s="249">
        <f t="shared" si="1"/>
        <v>0</v>
      </c>
      <c r="D65" s="249">
        <f t="shared" si="1"/>
        <v>0</v>
      </c>
      <c r="E65" s="249">
        <f t="shared" si="1"/>
        <v>0</v>
      </c>
    </row>
    <row r="66" spans="1:5" ht="12.75">
      <c r="A66" s="274" t="str">
        <f t="shared" si="2"/>
        <v> </v>
      </c>
      <c r="B66" s="272"/>
      <c r="C66" s="249">
        <f t="shared" si="1"/>
        <v>0</v>
      </c>
      <c r="D66" s="249">
        <f t="shared" si="1"/>
        <v>0</v>
      </c>
      <c r="E66" s="249">
        <f t="shared" si="1"/>
        <v>0</v>
      </c>
    </row>
    <row r="67" spans="1:5" ht="12.75">
      <c r="A67" s="274" t="str">
        <f t="shared" si="2"/>
        <v> </v>
      </c>
      <c r="B67" s="272"/>
      <c r="C67" s="249">
        <f t="shared" si="1"/>
        <v>0</v>
      </c>
      <c r="D67" s="249">
        <f t="shared" si="1"/>
        <v>0</v>
      </c>
      <c r="E67" s="249">
        <f t="shared" si="1"/>
        <v>0</v>
      </c>
    </row>
    <row r="68" spans="1:5" ht="12.75">
      <c r="A68" s="274" t="str">
        <f t="shared" si="2"/>
        <v> </v>
      </c>
      <c r="B68" s="272"/>
      <c r="C68" s="249">
        <f t="shared" si="1"/>
        <v>0</v>
      </c>
      <c r="D68" s="249">
        <f t="shared" si="1"/>
        <v>0</v>
      </c>
      <c r="E68" s="249">
        <f t="shared" si="1"/>
        <v>0</v>
      </c>
    </row>
    <row r="69" spans="1:5" ht="12.75">
      <c r="A69" s="274" t="str">
        <f t="shared" si="2"/>
        <v> </v>
      </c>
      <c r="B69" s="272"/>
      <c r="C69" s="249">
        <f t="shared" si="1"/>
        <v>0</v>
      </c>
      <c r="D69" s="249">
        <f t="shared" si="1"/>
        <v>0</v>
      </c>
      <c r="E69" s="249">
        <f t="shared" si="1"/>
        <v>0</v>
      </c>
    </row>
    <row r="70" spans="1:5" ht="12.75">
      <c r="A70" s="274" t="str">
        <f t="shared" si="2"/>
        <v> </v>
      </c>
      <c r="B70" s="272"/>
      <c r="C70" s="249">
        <f t="shared" si="1"/>
        <v>0</v>
      </c>
      <c r="D70" s="249">
        <f t="shared" si="1"/>
        <v>0</v>
      </c>
      <c r="E70" s="249">
        <f t="shared" si="1"/>
        <v>0</v>
      </c>
    </row>
    <row r="71" spans="1:5" ht="12.75">
      <c r="A71" s="274" t="str">
        <f aca="true" t="shared" si="3" ref="A71:A76">IF($E40&gt;$C$11,A40," ")</f>
        <v> </v>
      </c>
      <c r="B71" s="272"/>
      <c r="C71" s="249">
        <f t="shared" si="1"/>
        <v>0</v>
      </c>
      <c r="D71" s="249">
        <f t="shared" si="1"/>
        <v>0</v>
      </c>
      <c r="E71" s="249">
        <f t="shared" si="1"/>
        <v>0</v>
      </c>
    </row>
    <row r="72" spans="1:5" ht="12.75">
      <c r="A72" s="274" t="str">
        <f t="shared" si="3"/>
        <v> </v>
      </c>
      <c r="B72" s="272"/>
      <c r="C72" s="249">
        <f t="shared" si="1"/>
        <v>0</v>
      </c>
      <c r="D72" s="249">
        <f t="shared" si="1"/>
        <v>0</v>
      </c>
      <c r="E72" s="249">
        <f t="shared" si="1"/>
        <v>0</v>
      </c>
    </row>
    <row r="73" spans="1:5" ht="12.75">
      <c r="A73" s="274" t="str">
        <f t="shared" si="3"/>
        <v> </v>
      </c>
      <c r="B73" s="272"/>
      <c r="C73" s="249">
        <f aca="true" t="shared" si="4" ref="C73:D76">IF($E42&gt;$C$11,C42,)</f>
        <v>0</v>
      </c>
      <c r="D73" s="249">
        <f t="shared" si="4"/>
        <v>0</v>
      </c>
      <c r="E73" s="249">
        <f>IF($E41&gt;$C$11,E41,)</f>
        <v>0</v>
      </c>
    </row>
    <row r="74" spans="1:5" ht="12.75">
      <c r="A74" s="274" t="str">
        <f t="shared" si="3"/>
        <v> </v>
      </c>
      <c r="B74" s="272"/>
      <c r="C74" s="249">
        <f t="shared" si="4"/>
        <v>0</v>
      </c>
      <c r="D74" s="249">
        <f t="shared" si="4"/>
        <v>0</v>
      </c>
      <c r="E74" s="249">
        <f>IF($E42&gt;$C$11,E42,)</f>
        <v>0</v>
      </c>
    </row>
    <row r="75" spans="1:5" ht="12.75">
      <c r="A75" s="274" t="str">
        <f t="shared" si="3"/>
        <v> </v>
      </c>
      <c r="B75" s="272"/>
      <c r="C75" s="249">
        <f t="shared" si="4"/>
        <v>0</v>
      </c>
      <c r="D75" s="249">
        <f t="shared" si="4"/>
        <v>0</v>
      </c>
      <c r="E75" s="249">
        <f>IF($E43&gt;$C$11,E43,)</f>
        <v>0</v>
      </c>
    </row>
    <row r="76" spans="1:5" ht="12.75">
      <c r="A76" s="274" t="str">
        <f t="shared" si="3"/>
        <v> </v>
      </c>
      <c r="B76" s="273"/>
      <c r="C76" s="249">
        <f t="shared" si="4"/>
        <v>0</v>
      </c>
      <c r="D76" s="249">
        <f t="shared" si="4"/>
        <v>0</v>
      </c>
      <c r="E76" s="249">
        <f>IF($E44&gt;$C$11,E44,)</f>
        <v>0</v>
      </c>
    </row>
    <row r="77" spans="1:5" ht="12.75">
      <c r="A77" s="275" t="s">
        <v>143</v>
      </c>
      <c r="B77" s="272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5" t="s">
        <v>202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169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3"/>
      <c r="D82" s="293"/>
      <c r="E82" s="249">
        <f>C82-D82</f>
        <v>0</v>
      </c>
    </row>
    <row r="83" spans="1:5" ht="12.75">
      <c r="A83" s="70" t="s">
        <v>151</v>
      </c>
      <c r="B83" s="8" t="s">
        <v>187</v>
      </c>
      <c r="C83" s="293"/>
      <c r="D83" s="293"/>
      <c r="E83" s="249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3"/>
      <c r="D84" s="293"/>
      <c r="E84" s="249">
        <f t="shared" si="5"/>
        <v>0</v>
      </c>
    </row>
    <row r="85" spans="1:5" ht="12.75">
      <c r="A85" s="70" t="s">
        <v>254</v>
      </c>
      <c r="B85" s="8" t="s">
        <v>187</v>
      </c>
      <c r="C85" s="293"/>
      <c r="D85" s="293"/>
      <c r="E85" s="249">
        <f t="shared" si="5"/>
        <v>0</v>
      </c>
    </row>
    <row r="86" spans="1:5" ht="12.75">
      <c r="A86" s="66" t="s">
        <v>193</v>
      </c>
      <c r="B86" s="8" t="s">
        <v>187</v>
      </c>
      <c r="C86" s="293"/>
      <c r="D86" s="293"/>
      <c r="E86" s="249">
        <f t="shared" si="5"/>
        <v>0</v>
      </c>
    </row>
    <row r="87" spans="1:5" ht="12.75">
      <c r="A87" s="66" t="s">
        <v>375</v>
      </c>
      <c r="B87" s="8" t="s">
        <v>187</v>
      </c>
      <c r="C87" s="293"/>
      <c r="D87" s="293"/>
      <c r="E87" s="249">
        <f t="shared" si="5"/>
        <v>0</v>
      </c>
    </row>
    <row r="88" spans="1:5" ht="12.75">
      <c r="A88" s="66" t="s">
        <v>194</v>
      </c>
      <c r="B88" s="8" t="s">
        <v>187</v>
      </c>
      <c r="C88" s="293"/>
      <c r="D88" s="293"/>
      <c r="E88" s="249">
        <f t="shared" si="5"/>
        <v>0</v>
      </c>
    </row>
    <row r="89" spans="1:5" ht="12.75">
      <c r="A89" s="66" t="s">
        <v>166</v>
      </c>
      <c r="B89" s="8" t="s">
        <v>187</v>
      </c>
      <c r="C89" s="293"/>
      <c r="D89" s="293"/>
      <c r="E89" s="249">
        <f t="shared" si="5"/>
        <v>0</v>
      </c>
    </row>
    <row r="90" spans="1:5" ht="12.75">
      <c r="A90" s="66" t="s">
        <v>167</v>
      </c>
      <c r="B90" s="8" t="s">
        <v>187</v>
      </c>
      <c r="C90" s="293"/>
      <c r="D90" s="293"/>
      <c r="E90" s="249">
        <f t="shared" si="5"/>
        <v>0</v>
      </c>
    </row>
    <row r="91" spans="1:5" ht="12.75">
      <c r="A91" s="66" t="s">
        <v>168</v>
      </c>
      <c r="B91" s="8" t="s">
        <v>187</v>
      </c>
      <c r="C91" s="293"/>
      <c r="D91" s="293"/>
      <c r="E91" s="249">
        <f t="shared" si="5"/>
        <v>0</v>
      </c>
    </row>
    <row r="92" spans="2:5" ht="12.75">
      <c r="B92" s="8" t="s">
        <v>187</v>
      </c>
      <c r="C92" s="293"/>
      <c r="D92" s="293"/>
      <c r="E92" s="249"/>
    </row>
    <row r="93" spans="1:5" ht="12.75">
      <c r="A93" s="66"/>
      <c r="B93" s="8" t="s">
        <v>187</v>
      </c>
      <c r="C93" s="293"/>
      <c r="D93" s="293"/>
      <c r="E93" s="249">
        <f t="shared" si="5"/>
        <v>0</v>
      </c>
    </row>
    <row r="94" spans="1:5" ht="12.75">
      <c r="A94" s="66"/>
      <c r="B94" s="8" t="s">
        <v>187</v>
      </c>
      <c r="C94" s="293"/>
      <c r="D94" s="293"/>
      <c r="E94" s="249">
        <f t="shared" si="5"/>
        <v>0</v>
      </c>
    </row>
    <row r="95" spans="1:5" ht="12.75">
      <c r="A95" s="67" t="s">
        <v>204</v>
      </c>
      <c r="B95" s="8" t="s">
        <v>187</v>
      </c>
      <c r="C95" s="293"/>
      <c r="D95" s="293"/>
      <c r="E95" s="249">
        <f t="shared" si="5"/>
        <v>0</v>
      </c>
    </row>
    <row r="96" spans="1:5" ht="12.75">
      <c r="A96" s="66" t="s">
        <v>473</v>
      </c>
      <c r="B96" s="8" t="s">
        <v>187</v>
      </c>
      <c r="C96" s="293">
        <v>0</v>
      </c>
      <c r="D96" s="293"/>
      <c r="E96" s="249">
        <f t="shared" si="5"/>
        <v>0</v>
      </c>
    </row>
    <row r="97" spans="1:5" ht="12.75">
      <c r="A97" s="66"/>
      <c r="B97" s="8" t="s">
        <v>187</v>
      </c>
      <c r="C97" s="293"/>
      <c r="D97" s="293"/>
      <c r="E97" s="249">
        <f t="shared" si="5"/>
        <v>0</v>
      </c>
    </row>
    <row r="98" spans="1:5" ht="12.75">
      <c r="A98" s="66"/>
      <c r="B98" s="8" t="s">
        <v>187</v>
      </c>
      <c r="C98" s="293"/>
      <c r="D98" s="293"/>
      <c r="E98" s="249">
        <f t="shared" si="5"/>
        <v>0</v>
      </c>
    </row>
    <row r="99" spans="1:5" ht="12.75">
      <c r="A99" s="66" t="s">
        <v>170</v>
      </c>
      <c r="B99" s="8" t="s">
        <v>188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4" t="str">
        <f t="shared" si="6"/>
        <v> </v>
      </c>
      <c r="B103" s="272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4" t="str">
        <f t="shared" si="6"/>
        <v> </v>
      </c>
      <c r="B104" s="272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4" t="str">
        <f t="shared" si="6"/>
        <v> </v>
      </c>
      <c r="B105" s="272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4" t="str">
        <f t="shared" si="6"/>
        <v> </v>
      </c>
      <c r="B106" s="272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4" t="str">
        <f t="shared" si="6"/>
        <v> </v>
      </c>
      <c r="B107" s="272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4" t="str">
        <f t="shared" si="6"/>
        <v> </v>
      </c>
      <c r="B108" s="272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4" t="str">
        <f t="shared" si="6"/>
        <v> </v>
      </c>
      <c r="B109" s="272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4" t="str">
        <f t="shared" si="6"/>
        <v> </v>
      </c>
      <c r="B110" s="272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4" t="str">
        <f t="shared" si="6"/>
        <v> </v>
      </c>
      <c r="B111" s="272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4" t="str">
        <f>IF($E92&gt;$C$11,A95," ")</f>
        <v> </v>
      </c>
      <c r="B112" s="272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4" t="str">
        <f>IF($E93&gt;$C$11,#REF!," ")</f>
        <v> </v>
      </c>
      <c r="B113" s="272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4" t="str">
        <f>IF($E94&gt;$C$11,A94," ")</f>
        <v> </v>
      </c>
      <c r="B114" s="272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4" t="str">
        <f>IF($E95&gt;$C$11,A93," ")</f>
        <v> </v>
      </c>
      <c r="B115" s="272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4" t="str">
        <f>IF($E96&gt;$C$11,A96," ")</f>
        <v> </v>
      </c>
      <c r="B116" s="272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4" t="str">
        <f>IF($E97&gt;$C$11,A97," ")</f>
        <v> </v>
      </c>
      <c r="B117" s="272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4" t="str">
        <f>IF($E98&gt;$C$11,A98," ")</f>
        <v> </v>
      </c>
      <c r="B118" s="272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7" t="s">
        <v>201</v>
      </c>
      <c r="B119" s="272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7" t="s">
        <v>200</v>
      </c>
      <c r="B120" s="272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7" t="s">
        <v>170</v>
      </c>
      <c r="B121" s="272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42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tabSelected="1" zoomScale="75" zoomScaleNormal="75" zoomScalePageLayoutView="0" workbookViewId="0" topLeftCell="A1">
      <pane xSplit="1" ySplit="8" topLeftCell="B36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C59" sqref="C59:C6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383</v>
      </c>
      <c r="E3" s="91"/>
    </row>
    <row r="4" spans="1:6" ht="15.75">
      <c r="A4" s="464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Peninsula West Utilities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59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4"/>
      <c r="D19" s="294"/>
      <c r="E19" s="312">
        <f aca="true" t="shared" si="0" ref="E19:E45">C19-D19</f>
        <v>0</v>
      </c>
    </row>
    <row r="20" spans="1:5" ht="12.75">
      <c r="A20" t="s">
        <v>386</v>
      </c>
      <c r="B20" t="s">
        <v>186</v>
      </c>
      <c r="C20" s="294"/>
      <c r="D20" s="294"/>
      <c r="E20" s="312">
        <f t="shared" si="0"/>
        <v>0</v>
      </c>
    </row>
    <row r="21" spans="1:5" ht="12.75">
      <c r="A21" t="s">
        <v>452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6" t="s">
        <v>389</v>
      </c>
      <c r="B22" t="s">
        <v>186</v>
      </c>
      <c r="C22" s="294"/>
      <c r="D22" s="313"/>
      <c r="E22" s="312">
        <f t="shared" si="0"/>
        <v>0</v>
      </c>
    </row>
    <row r="23" spans="1:5" ht="12.75">
      <c r="A23" s="66" t="s">
        <v>390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6" t="s">
        <v>453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6" t="s">
        <v>125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6" t="s">
        <v>133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6" t="s">
        <v>436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6" t="s">
        <v>388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6" t="s">
        <v>135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6" t="s">
        <v>387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6" t="s">
        <v>191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6" t="s">
        <v>431</v>
      </c>
      <c r="B32" t="s">
        <v>186</v>
      </c>
      <c r="C32" s="294">
        <v>4702</v>
      </c>
      <c r="D32" s="294"/>
      <c r="E32" s="312">
        <f t="shared" si="0"/>
        <v>4702</v>
      </c>
    </row>
    <row r="33" spans="1:5" ht="12.75">
      <c r="A33" s="66" t="s">
        <v>432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6" t="s">
        <v>449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80" t="s">
        <v>450</v>
      </c>
      <c r="C35" s="294"/>
      <c r="D35" s="294"/>
      <c r="E35" s="312">
        <f t="shared" si="0"/>
        <v>0</v>
      </c>
    </row>
    <row r="36" spans="1:5" ht="12.75">
      <c r="A36" s="66" t="s">
        <v>433</v>
      </c>
      <c r="C36" s="294"/>
      <c r="D36" s="294"/>
      <c r="E36" s="312">
        <f t="shared" si="0"/>
        <v>0</v>
      </c>
    </row>
    <row r="37" spans="1:5" ht="12.75">
      <c r="A37" s="66" t="s">
        <v>434</v>
      </c>
      <c r="C37" s="294"/>
      <c r="D37" s="294"/>
      <c r="E37" s="312">
        <f t="shared" si="0"/>
        <v>0</v>
      </c>
    </row>
    <row r="38" spans="1:5" ht="12.75">
      <c r="A38" s="66" t="s">
        <v>456</v>
      </c>
      <c r="C38" s="294"/>
      <c r="D38" s="294"/>
      <c r="E38" s="312">
        <f t="shared" si="0"/>
        <v>0</v>
      </c>
    </row>
    <row r="39" spans="1:5" ht="12.75">
      <c r="A39" s="66" t="s">
        <v>496</v>
      </c>
      <c r="B39" t="s">
        <v>186</v>
      </c>
      <c r="C39" s="294">
        <v>7759</v>
      </c>
      <c r="D39" s="294"/>
      <c r="E39" s="312">
        <f t="shared" si="0"/>
        <v>7759</v>
      </c>
    </row>
    <row r="40" spans="1:5" ht="12.75">
      <c r="A40" s="80" t="s">
        <v>391</v>
      </c>
      <c r="B40" t="s">
        <v>186</v>
      </c>
      <c r="C40" s="294"/>
      <c r="D40" s="294"/>
      <c r="E40" s="312">
        <f t="shared" si="0"/>
        <v>0</v>
      </c>
    </row>
    <row r="41" spans="1:5" ht="12.75">
      <c r="A41" s="80" t="s">
        <v>385</v>
      </c>
      <c r="B41" t="s">
        <v>186</v>
      </c>
      <c r="C41" s="294"/>
      <c r="D41" s="294"/>
      <c r="E41" s="312">
        <f t="shared" si="0"/>
        <v>0</v>
      </c>
    </row>
    <row r="42" spans="1:5" ht="12.75">
      <c r="A42" s="66" t="s">
        <v>497</v>
      </c>
      <c r="B42" t="s">
        <v>186</v>
      </c>
      <c r="C42" s="294">
        <v>28440</v>
      </c>
      <c r="D42" s="294"/>
      <c r="E42" s="312">
        <f t="shared" si="0"/>
        <v>28440</v>
      </c>
    </row>
    <row r="43" spans="1:5" ht="12.75">
      <c r="A43" s="67" t="s">
        <v>203</v>
      </c>
      <c r="B43" t="s">
        <v>186</v>
      </c>
      <c r="C43" s="294"/>
      <c r="D43" s="294"/>
      <c r="E43" s="312">
        <f t="shared" si="0"/>
        <v>0</v>
      </c>
    </row>
    <row r="44" spans="1:5" ht="12.75">
      <c r="A44" t="s">
        <v>491</v>
      </c>
      <c r="B44" t="s">
        <v>186</v>
      </c>
      <c r="C44" s="293"/>
      <c r="D44" s="293"/>
      <c r="E44" s="249">
        <f t="shared" si="0"/>
        <v>0</v>
      </c>
    </row>
    <row r="45" spans="2:5" ht="12.75">
      <c r="B45" t="s">
        <v>186</v>
      </c>
      <c r="C45" s="293"/>
      <c r="D45" s="293"/>
      <c r="E45" s="249">
        <f t="shared" si="0"/>
        <v>0</v>
      </c>
    </row>
    <row r="46" spans="1:5" ht="12.75">
      <c r="A46" s="66"/>
      <c r="B46" t="s">
        <v>186</v>
      </c>
      <c r="C46" s="293"/>
      <c r="D46" s="293"/>
      <c r="E46" s="278"/>
    </row>
    <row r="47" spans="1:5" ht="12.75">
      <c r="A47" s="449" t="s">
        <v>395</v>
      </c>
      <c r="B47" t="s">
        <v>188</v>
      </c>
      <c r="C47" s="249">
        <f>SUM(C19:C46)</f>
        <v>40901</v>
      </c>
      <c r="D47" s="249">
        <f>SUM(D19:D46)</f>
        <v>0</v>
      </c>
      <c r="E47" s="249">
        <f>SUM(E19:E46)</f>
        <v>40901</v>
      </c>
    </row>
    <row r="48" ht="12.75">
      <c r="A48" s="66"/>
    </row>
    <row r="49" ht="12.75">
      <c r="A49" s="80" t="s">
        <v>144</v>
      </c>
    </row>
    <row r="51" spans="1:5" ht="12.75">
      <c r="A51" s="70" t="s">
        <v>386</v>
      </c>
      <c r="B51" s="8" t="s">
        <v>187</v>
      </c>
      <c r="C51" s="293"/>
      <c r="D51" s="293"/>
      <c r="E51" s="249">
        <f aca="true" t="shared" si="1" ref="E51:E61">C51-D51</f>
        <v>0</v>
      </c>
    </row>
    <row r="52" spans="1:5" ht="12.75">
      <c r="A52" s="66" t="s">
        <v>452</v>
      </c>
      <c r="B52" s="8" t="s">
        <v>187</v>
      </c>
      <c r="C52" s="293"/>
      <c r="D52" s="293"/>
      <c r="E52" s="249">
        <f t="shared" si="1"/>
        <v>0</v>
      </c>
    </row>
    <row r="53" spans="1:5" ht="12.75">
      <c r="A53" t="s">
        <v>387</v>
      </c>
      <c r="B53" s="8" t="s">
        <v>187</v>
      </c>
      <c r="C53" s="293"/>
      <c r="D53" s="293"/>
      <c r="E53" s="249">
        <f t="shared" si="1"/>
        <v>0</v>
      </c>
    </row>
    <row r="54" spans="1:5" ht="12.75">
      <c r="A54" t="s">
        <v>435</v>
      </c>
      <c r="B54" s="8" t="s">
        <v>187</v>
      </c>
      <c r="C54" s="293"/>
      <c r="D54" s="293"/>
      <c r="E54" s="249">
        <f t="shared" si="1"/>
        <v>0</v>
      </c>
    </row>
    <row r="55" spans="1:5" ht="12.75">
      <c r="A55" s="66" t="s">
        <v>443</v>
      </c>
      <c r="B55" s="8" t="s">
        <v>187</v>
      </c>
      <c r="C55" s="293"/>
      <c r="D55" s="293"/>
      <c r="E55" s="249">
        <f t="shared" si="1"/>
        <v>0</v>
      </c>
    </row>
    <row r="56" spans="1:5" ht="12.75">
      <c r="A56" s="66" t="s">
        <v>455</v>
      </c>
      <c r="B56" s="8" t="s">
        <v>187</v>
      </c>
      <c r="C56" s="293"/>
      <c r="D56" s="293"/>
      <c r="E56" s="249">
        <f t="shared" si="1"/>
        <v>0</v>
      </c>
    </row>
    <row r="57" spans="1:5" ht="12.75">
      <c r="A57" s="2" t="s">
        <v>451</v>
      </c>
      <c r="B57" s="8" t="s">
        <v>187</v>
      </c>
      <c r="C57" s="293"/>
      <c r="D57" s="293"/>
      <c r="E57" s="249">
        <f t="shared" si="1"/>
        <v>0</v>
      </c>
    </row>
    <row r="58" spans="1:5" ht="12.75">
      <c r="A58" s="66" t="s">
        <v>454</v>
      </c>
      <c r="B58" s="8" t="s">
        <v>187</v>
      </c>
      <c r="C58" s="293"/>
      <c r="D58" s="293"/>
      <c r="E58" s="249">
        <f t="shared" si="1"/>
        <v>0</v>
      </c>
    </row>
    <row r="59" spans="1:5" ht="12.75">
      <c r="A59" s="66"/>
      <c r="B59" s="8" t="s">
        <v>187</v>
      </c>
      <c r="C59" s="293"/>
      <c r="D59" s="293"/>
      <c r="E59" s="249">
        <f t="shared" si="1"/>
        <v>0</v>
      </c>
    </row>
    <row r="60" spans="1:5" ht="12.75">
      <c r="A60" s="66"/>
      <c r="B60" s="8" t="s">
        <v>187</v>
      </c>
      <c r="C60" s="293"/>
      <c r="D60" s="293"/>
      <c r="E60" s="249">
        <f t="shared" si="1"/>
        <v>0</v>
      </c>
    </row>
    <row r="61" spans="1:5" ht="12.75">
      <c r="A61" s="66" t="s">
        <v>498</v>
      </c>
      <c r="B61" s="8" t="s">
        <v>187</v>
      </c>
      <c r="C61" s="293">
        <v>19838</v>
      </c>
      <c r="D61" s="293"/>
      <c r="E61" s="249">
        <f t="shared" si="1"/>
        <v>19838</v>
      </c>
    </row>
    <row r="62" spans="2:5" ht="12.75">
      <c r="B62" s="8" t="s">
        <v>187</v>
      </c>
      <c r="C62" s="293"/>
      <c r="D62" s="293"/>
      <c r="E62" s="249">
        <f aca="true" t="shared" si="2" ref="E62:E72">C62-D62</f>
        <v>0</v>
      </c>
    </row>
    <row r="63" spans="2:5" ht="12.75">
      <c r="B63" s="8" t="s">
        <v>187</v>
      </c>
      <c r="C63" s="293"/>
      <c r="D63" s="293"/>
      <c r="E63" s="249">
        <f t="shared" si="2"/>
        <v>0</v>
      </c>
    </row>
    <row r="64" spans="1:5" ht="12.75">
      <c r="A64" s="468" t="s">
        <v>392</v>
      </c>
      <c r="B64" s="8" t="s">
        <v>187</v>
      </c>
      <c r="C64" s="293"/>
      <c r="D64" s="293"/>
      <c r="E64" s="249">
        <f t="shared" si="2"/>
        <v>0</v>
      </c>
    </row>
    <row r="65" spans="2:5" ht="12.75">
      <c r="B65" s="8" t="s">
        <v>187</v>
      </c>
      <c r="C65" s="293"/>
      <c r="D65" s="293"/>
      <c r="E65" s="249">
        <f t="shared" si="2"/>
        <v>0</v>
      </c>
    </row>
    <row r="66" spans="1:5" ht="12.75">
      <c r="A66" s="468" t="s">
        <v>385</v>
      </c>
      <c r="B66" s="8" t="s">
        <v>187</v>
      </c>
      <c r="C66" s="293">
        <f>26318+146810</f>
        <v>173128</v>
      </c>
      <c r="D66" s="293"/>
      <c r="E66" s="249">
        <f t="shared" si="2"/>
        <v>173128</v>
      </c>
    </row>
    <row r="67" spans="1:5" ht="12.75">
      <c r="A67" s="66"/>
      <c r="B67" s="8" t="s">
        <v>187</v>
      </c>
      <c r="C67" s="293"/>
      <c r="D67" s="293"/>
      <c r="E67" s="249">
        <f t="shared" si="2"/>
        <v>0</v>
      </c>
    </row>
    <row r="68" spans="1:5" ht="12.75">
      <c r="A68" s="67" t="s">
        <v>204</v>
      </c>
      <c r="B68" s="8" t="s">
        <v>187</v>
      </c>
      <c r="C68" s="293"/>
      <c r="D68" s="293"/>
      <c r="E68" s="249">
        <f t="shared" si="2"/>
        <v>0</v>
      </c>
    </row>
    <row r="69" spans="1:5" ht="12.75">
      <c r="A69" s="66"/>
      <c r="B69" s="8" t="s">
        <v>187</v>
      </c>
      <c r="C69" s="293"/>
      <c r="D69" s="293"/>
      <c r="E69" s="249">
        <f t="shared" si="2"/>
        <v>0</v>
      </c>
    </row>
    <row r="70" spans="1:5" ht="12.75">
      <c r="A70" s="66"/>
      <c r="B70" s="8" t="s">
        <v>187</v>
      </c>
      <c r="C70" s="293"/>
      <c r="D70" s="293"/>
      <c r="E70" s="249">
        <f t="shared" si="2"/>
        <v>0</v>
      </c>
    </row>
    <row r="71" spans="1:5" ht="12.75">
      <c r="A71" s="66"/>
      <c r="B71" s="8" t="s">
        <v>187</v>
      </c>
      <c r="C71" s="293"/>
      <c r="D71" s="293"/>
      <c r="E71" s="249">
        <f t="shared" si="2"/>
        <v>0</v>
      </c>
    </row>
    <row r="72" spans="1:5" ht="12.75">
      <c r="A72" s="66"/>
      <c r="B72" s="8" t="s">
        <v>187</v>
      </c>
      <c r="C72" s="293"/>
      <c r="D72" s="293"/>
      <c r="E72" s="278">
        <f t="shared" si="2"/>
        <v>0</v>
      </c>
    </row>
    <row r="73" spans="1:5" ht="12.75">
      <c r="A73" s="448" t="s">
        <v>394</v>
      </c>
      <c r="B73" s="8" t="s">
        <v>188</v>
      </c>
      <c r="C73" s="249">
        <f>SUM(C51:C72)</f>
        <v>192966</v>
      </c>
      <c r="D73" s="249">
        <f>SUM(D51:D72)</f>
        <v>0</v>
      </c>
      <c r="E73" s="249">
        <f>SUM(E51:E72)</f>
        <v>192966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34">
      <selection activeCell="C58" sqref="C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EB-2008-381</v>
      </c>
      <c r="B1" s="385"/>
      <c r="C1" s="342"/>
      <c r="D1" s="342"/>
      <c r="E1" s="342"/>
      <c r="F1" s="342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7"/>
      <c r="H2" s="187"/>
      <c r="I2" s="187"/>
      <c r="J2" s="187"/>
      <c r="K2" s="237"/>
      <c r="L2" s="187"/>
      <c r="M2" s="187"/>
      <c r="N2" s="187"/>
      <c r="O2" s="187"/>
      <c r="P2" s="187"/>
      <c r="Q2" s="34"/>
      <c r="R2" s="34"/>
    </row>
    <row r="3" spans="1:18" ht="12.75">
      <c r="A3" s="343" t="s">
        <v>306</v>
      </c>
      <c r="B3" s="342"/>
      <c r="C3" s="342"/>
      <c r="D3" s="342"/>
      <c r="E3" s="342"/>
      <c r="F3" s="344"/>
      <c r="G3" s="187"/>
      <c r="H3" s="187"/>
      <c r="I3" s="187"/>
      <c r="J3" s="187"/>
      <c r="K3" s="237"/>
      <c r="L3" s="187"/>
      <c r="M3" s="187"/>
      <c r="N3" s="187"/>
      <c r="O3" s="187"/>
      <c r="P3" s="187"/>
      <c r="Q3" s="34"/>
      <c r="R3" s="34"/>
    </row>
    <row r="4" spans="1:18" ht="12.75">
      <c r="A4" s="237" t="str">
        <f>REGINFO!A3</f>
        <v>Utility Name: Peninsula West Utilities</v>
      </c>
      <c r="B4" s="342"/>
      <c r="C4" s="342"/>
      <c r="D4" s="342"/>
      <c r="E4" s="342"/>
      <c r="F4" s="342"/>
      <c r="G4" s="187"/>
      <c r="H4" s="187"/>
      <c r="I4" s="187"/>
      <c r="J4" s="187"/>
      <c r="K4" s="237"/>
      <c r="L4" s="187"/>
      <c r="M4" s="187"/>
      <c r="N4" s="187"/>
      <c r="O4" s="187"/>
      <c r="P4" s="187"/>
      <c r="Q4" s="34"/>
      <c r="R4" s="34"/>
    </row>
    <row r="5" spans="1:18" ht="12.75">
      <c r="A5" s="237" t="str">
        <f>REGINFO!A4</f>
        <v>Reporting period:  2003</v>
      </c>
      <c r="B5" s="342"/>
      <c r="C5" s="342"/>
      <c r="D5" s="342"/>
      <c r="E5" s="342"/>
      <c r="F5" s="342"/>
      <c r="G5" s="187"/>
      <c r="H5" s="187"/>
      <c r="I5" s="187"/>
      <c r="J5" s="187"/>
      <c r="K5" s="237"/>
      <c r="L5" s="187"/>
      <c r="M5" s="187"/>
      <c r="N5" s="187"/>
      <c r="O5" s="187"/>
      <c r="P5" s="187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7"/>
      <c r="H6" s="187"/>
      <c r="I6" s="187"/>
      <c r="J6" s="187"/>
      <c r="K6" s="237"/>
      <c r="L6" s="187"/>
      <c r="M6" s="187"/>
      <c r="N6" s="187"/>
      <c r="O6" s="187"/>
      <c r="P6" s="187"/>
      <c r="Q6" s="34"/>
      <c r="R6" s="34"/>
    </row>
    <row r="7" spans="1:18" ht="12.75">
      <c r="A7" s="343"/>
      <c r="B7" s="342"/>
      <c r="C7" s="342"/>
      <c r="D7" s="342"/>
      <c r="E7" s="342"/>
      <c r="F7" s="410" t="s">
        <v>336</v>
      </c>
      <c r="G7" s="187"/>
      <c r="H7" s="187"/>
      <c r="I7" s="187"/>
      <c r="J7" s="187"/>
      <c r="K7" s="237"/>
      <c r="L7" s="187"/>
      <c r="M7" s="187"/>
      <c r="N7" s="187"/>
      <c r="O7" s="187"/>
      <c r="P7" s="187"/>
      <c r="Q7" s="34"/>
      <c r="R7" s="34"/>
    </row>
    <row r="8" spans="1:18" ht="13.5" thickBot="1">
      <c r="A8" s="497" t="s">
        <v>480</v>
      </c>
      <c r="B8" s="498"/>
      <c r="C8" s="498"/>
      <c r="D8" s="498"/>
      <c r="E8" s="342"/>
      <c r="F8" s="382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21" t="s">
        <v>467</v>
      </c>
      <c r="B10" s="326"/>
      <c r="C10" s="375" t="s">
        <v>111</v>
      </c>
      <c r="D10" s="375"/>
      <c r="E10" s="375" t="s">
        <v>111</v>
      </c>
      <c r="F10" s="376" t="s">
        <v>485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22" t="s">
        <v>108</v>
      </c>
      <c r="B12" s="233"/>
      <c r="C12" s="234"/>
      <c r="D12" s="234"/>
      <c r="E12" s="240"/>
      <c r="F12" s="240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3" t="s">
        <v>299</v>
      </c>
      <c r="B13" s="409">
        <v>2002</v>
      </c>
      <c r="C13" s="235"/>
      <c r="D13" s="235"/>
      <c r="E13" s="241"/>
      <c r="F13" s="241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9"/>
    </row>
    <row r="14" spans="1:16" ht="13.5" thickBot="1">
      <c r="A14" s="323" t="s">
        <v>298</v>
      </c>
      <c r="B14" s="243"/>
      <c r="C14" s="327">
        <v>0.1312</v>
      </c>
      <c r="D14" s="327"/>
      <c r="E14" s="328">
        <v>0.2612</v>
      </c>
      <c r="F14" s="328">
        <v>0.2612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3" t="s">
        <v>303</v>
      </c>
      <c r="B15" s="243"/>
      <c r="C15" s="329">
        <v>0.06</v>
      </c>
      <c r="D15" s="329"/>
      <c r="E15" s="330">
        <v>0.06</v>
      </c>
      <c r="F15" s="330">
        <v>0.125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3" t="s">
        <v>259</v>
      </c>
      <c r="B16" s="243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3"/>
      <c r="B17" s="243"/>
      <c r="C17" s="327"/>
      <c r="D17" s="327"/>
      <c r="E17" s="328"/>
      <c r="F17" s="328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22" t="s">
        <v>109</v>
      </c>
      <c r="B18" s="242"/>
      <c r="C18" s="333">
        <v>0.003</v>
      </c>
      <c r="D18" s="327"/>
      <c r="E18" s="328"/>
      <c r="F18" s="328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22" t="s">
        <v>110</v>
      </c>
      <c r="B19" s="236"/>
      <c r="C19" s="334">
        <v>0.00225</v>
      </c>
      <c r="D19" s="335"/>
      <c r="E19" s="336"/>
      <c r="F19" s="336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22" t="s">
        <v>113</v>
      </c>
      <c r="B20" s="236"/>
      <c r="C20" s="335">
        <v>0.0112</v>
      </c>
      <c r="D20" s="337"/>
      <c r="E20" s="338"/>
      <c r="F20" s="338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6.25" thickBot="1">
      <c r="A21" s="324" t="s">
        <v>331</v>
      </c>
      <c r="B21" s="406" t="s">
        <v>470</v>
      </c>
      <c r="C21" s="361">
        <v>5000000</v>
      </c>
      <c r="D21" s="337"/>
      <c r="E21" s="338"/>
      <c r="F21" s="338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" thickBot="1">
      <c r="A22" s="324" t="s">
        <v>332</v>
      </c>
      <c r="B22" s="407" t="s">
        <v>471</v>
      </c>
      <c r="C22" s="362">
        <v>10000000</v>
      </c>
      <c r="D22" s="339"/>
      <c r="E22" s="340"/>
      <c r="F22" s="340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91" t="s">
        <v>489</v>
      </c>
      <c r="B23" s="492"/>
      <c r="C23" s="492"/>
      <c r="D23" s="492"/>
      <c r="E23" s="492"/>
      <c r="F23" s="492"/>
      <c r="G23" s="438"/>
      <c r="H23" s="420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411"/>
      <c r="B24" s="412"/>
      <c r="C24" s="412"/>
      <c r="D24" s="412"/>
      <c r="E24" s="412"/>
      <c r="F24" s="412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79"/>
      <c r="B25" s="380"/>
      <c r="C25" s="383"/>
      <c r="D25" s="342"/>
      <c r="E25" s="342"/>
      <c r="F25" s="410" t="s">
        <v>337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499" t="s">
        <v>481</v>
      </c>
      <c r="B26" s="500"/>
      <c r="C26" s="500"/>
      <c r="D26" s="500"/>
      <c r="E26" s="500"/>
      <c r="F26" s="500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21" t="s">
        <v>439</v>
      </c>
      <c r="B28" s="326"/>
      <c r="C28" s="369" t="s">
        <v>111</v>
      </c>
      <c r="D28" s="369"/>
      <c r="E28" s="369" t="s">
        <v>111</v>
      </c>
      <c r="F28" s="370" t="s">
        <v>485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22" t="s">
        <v>108</v>
      </c>
      <c r="B30" s="233"/>
      <c r="C30" s="234"/>
      <c r="D30" s="234"/>
      <c r="E30" s="240"/>
      <c r="F30" s="240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3" t="s">
        <v>115</v>
      </c>
      <c r="B31" s="409">
        <v>2003</v>
      </c>
      <c r="C31" s="235"/>
      <c r="D31" s="235"/>
      <c r="E31" s="241"/>
      <c r="F31" s="241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3" t="s">
        <v>298</v>
      </c>
      <c r="B32" s="409">
        <v>2003</v>
      </c>
      <c r="C32" s="327">
        <v>0.1312</v>
      </c>
      <c r="D32" s="327"/>
      <c r="E32" s="328"/>
      <c r="F32" s="328">
        <v>0.2412</v>
      </c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3" t="s">
        <v>29</v>
      </c>
      <c r="B33" s="409">
        <v>2003</v>
      </c>
      <c r="C33" s="329">
        <v>0.06</v>
      </c>
      <c r="D33" s="329"/>
      <c r="E33" s="330"/>
      <c r="F33" s="330">
        <v>0.125</v>
      </c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3" t="s">
        <v>259</v>
      </c>
      <c r="B34" s="409">
        <v>2003</v>
      </c>
      <c r="C34" s="331">
        <f>SUM(C32:C33)</f>
        <v>0.1912</v>
      </c>
      <c r="D34" s="331"/>
      <c r="E34" s="332">
        <v>0.3412</v>
      </c>
      <c r="F34" s="332">
        <f>SUM(F32:F33)</f>
        <v>0.36619999999999997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3"/>
      <c r="B35" s="243"/>
      <c r="C35" s="327"/>
      <c r="D35" s="327"/>
      <c r="E35" s="328"/>
      <c r="F35" s="328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22" t="s">
        <v>109</v>
      </c>
      <c r="B36" s="409">
        <v>2003</v>
      </c>
      <c r="C36" s="333">
        <v>0.003</v>
      </c>
      <c r="D36" s="327"/>
      <c r="E36" s="328"/>
      <c r="F36" s="328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22" t="s">
        <v>110</v>
      </c>
      <c r="B37" s="409">
        <v>2003</v>
      </c>
      <c r="C37" s="334">
        <v>0.00225</v>
      </c>
      <c r="D37" s="335"/>
      <c r="E37" s="336"/>
      <c r="F37" s="336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22" t="s">
        <v>113</v>
      </c>
      <c r="B38" s="409">
        <v>2003</v>
      </c>
      <c r="C38" s="335">
        <v>0.0112</v>
      </c>
      <c r="D38" s="337"/>
      <c r="E38" s="338"/>
      <c r="F38" s="338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6.25" thickBot="1">
      <c r="A39" s="324" t="s">
        <v>482</v>
      </c>
      <c r="B39" s="406" t="s">
        <v>470</v>
      </c>
      <c r="C39" s="361">
        <v>5000000</v>
      </c>
      <c r="D39" s="337"/>
      <c r="E39" s="338"/>
      <c r="F39" s="338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" thickBot="1">
      <c r="A40" s="324" t="s">
        <v>483</v>
      </c>
      <c r="B40" s="407" t="s">
        <v>471</v>
      </c>
      <c r="C40" s="362">
        <v>10000000</v>
      </c>
      <c r="D40" s="339"/>
      <c r="E40" s="340"/>
      <c r="F40" s="340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493" t="s">
        <v>334</v>
      </c>
      <c r="B41" s="492"/>
      <c r="C41" s="492"/>
      <c r="D41" s="492"/>
      <c r="E41" s="492"/>
      <c r="F41" s="492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494"/>
      <c r="B42" s="494"/>
      <c r="C42" s="494"/>
      <c r="D42" s="494"/>
      <c r="E42" s="494"/>
      <c r="F42" s="494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1:16" ht="12.75">
      <c r="A43" s="379"/>
      <c r="B43" s="380"/>
      <c r="C43" s="381"/>
      <c r="D43" s="380"/>
      <c r="E43" s="380"/>
      <c r="F43" s="410" t="s">
        <v>338</v>
      </c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1:16" ht="13.5" thickBot="1">
      <c r="A44" s="408" t="s">
        <v>484</v>
      </c>
      <c r="B44" s="365"/>
      <c r="C44" s="366"/>
      <c r="D44" s="365"/>
      <c r="E44" s="342"/>
      <c r="F44" s="382"/>
      <c r="G44" s="190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2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469</v>
      </c>
      <c r="G46" s="189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2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1:16" ht="13.5" thickBot="1">
      <c r="A48" s="322" t="s">
        <v>108</v>
      </c>
      <c r="B48" s="233"/>
      <c r="C48" s="234"/>
      <c r="D48" s="234"/>
      <c r="E48" s="240"/>
      <c r="F48" s="240"/>
      <c r="G48" s="192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1:16" ht="13.5" thickBot="1">
      <c r="A49" s="323" t="s">
        <v>115</v>
      </c>
      <c r="B49" s="409">
        <v>2003</v>
      </c>
      <c r="C49" s="235"/>
      <c r="D49" s="235"/>
      <c r="E49" s="241"/>
      <c r="F49" s="241"/>
      <c r="G49" s="192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1:16" ht="13.5" thickBot="1">
      <c r="A50" s="323" t="s">
        <v>298</v>
      </c>
      <c r="B50" s="243"/>
      <c r="C50" s="351">
        <v>0.1312</v>
      </c>
      <c r="D50" s="351"/>
      <c r="E50" s="352">
        <v>0</v>
      </c>
      <c r="F50" s="352">
        <v>0.2412</v>
      </c>
      <c r="G50" s="192"/>
      <c r="H50" s="487">
        <v>0.2412</v>
      </c>
      <c r="I50" s="487">
        <f>+H50-F50</f>
        <v>0</v>
      </c>
      <c r="J50" s="192"/>
      <c r="K50" s="186"/>
      <c r="L50" s="187"/>
      <c r="M50" s="187"/>
      <c r="N50" s="187"/>
      <c r="O50" s="187"/>
      <c r="P50" s="187"/>
    </row>
    <row r="51" spans="1:16" ht="13.5" thickBot="1">
      <c r="A51" s="323" t="s">
        <v>29</v>
      </c>
      <c r="B51" s="243"/>
      <c r="C51" s="353">
        <v>0.06</v>
      </c>
      <c r="D51" s="353"/>
      <c r="E51" s="354">
        <v>0</v>
      </c>
      <c r="F51" s="354">
        <v>0.125</v>
      </c>
      <c r="G51" s="192"/>
      <c r="H51" s="487">
        <v>0.125</v>
      </c>
      <c r="I51" s="487">
        <f>+H51-F51</f>
        <v>0</v>
      </c>
      <c r="J51" s="192"/>
      <c r="K51" s="186"/>
      <c r="L51" s="187"/>
      <c r="M51" s="187"/>
      <c r="N51" s="187"/>
      <c r="O51" s="187"/>
      <c r="P51" s="187"/>
    </row>
    <row r="52" spans="1:16" ht="13.5" thickBot="1">
      <c r="A52" s="323" t="s">
        <v>259</v>
      </c>
      <c r="B52" s="243"/>
      <c r="C52" s="331">
        <f>SUM(C50:C51)</f>
        <v>0.1912</v>
      </c>
      <c r="D52" s="331"/>
      <c r="E52" s="332">
        <f>SUM(E50:E51)</f>
        <v>0</v>
      </c>
      <c r="F52" s="332">
        <f>SUM(F50:F51)</f>
        <v>0.36619999999999997</v>
      </c>
      <c r="G52" s="192"/>
      <c r="H52" s="487">
        <f>+H51+H50</f>
        <v>0.36619999999999997</v>
      </c>
      <c r="I52" s="487">
        <f>+H52-F52</f>
        <v>0</v>
      </c>
      <c r="J52" s="192"/>
      <c r="K52" s="186"/>
      <c r="L52" s="187"/>
      <c r="M52" s="187"/>
      <c r="N52" s="187"/>
      <c r="O52" s="187"/>
      <c r="P52" s="187"/>
    </row>
    <row r="53" spans="1:16" ht="13.5" thickBot="1">
      <c r="A53" s="323"/>
      <c r="B53" s="243"/>
      <c r="C53" s="351"/>
      <c r="D53" s="351"/>
      <c r="E53" s="352"/>
      <c r="F53" s="352"/>
      <c r="G53" s="192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1:16" ht="13.5" thickBot="1">
      <c r="A54" s="322" t="s">
        <v>109</v>
      </c>
      <c r="B54" s="242"/>
      <c r="C54" s="355">
        <v>0.003</v>
      </c>
      <c r="D54" s="351"/>
      <c r="E54" s="352"/>
      <c r="F54" s="352"/>
      <c r="G54" s="192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1:16" ht="13.5" thickBot="1">
      <c r="A55" s="322" t="s">
        <v>110</v>
      </c>
      <c r="B55" s="236"/>
      <c r="C55" s="356">
        <v>0.00225</v>
      </c>
      <c r="D55" s="357"/>
      <c r="E55" s="358"/>
      <c r="F55" s="358"/>
      <c r="G55" s="192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1:16" ht="13.5" thickBot="1">
      <c r="A56" s="322" t="s">
        <v>113</v>
      </c>
      <c r="B56" s="236"/>
      <c r="C56" s="357">
        <v>0.0112</v>
      </c>
      <c r="D56" s="359"/>
      <c r="E56" s="360"/>
      <c r="F56" s="360"/>
      <c r="G56" s="192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1:16" ht="26.25" thickBot="1">
      <c r="A57" s="324" t="s">
        <v>348</v>
      </c>
      <c r="B57" s="406" t="s">
        <v>470</v>
      </c>
      <c r="C57" s="361">
        <v>4967471</v>
      </c>
      <c r="D57" s="359"/>
      <c r="E57" s="360"/>
      <c r="F57" s="360"/>
      <c r="G57" s="192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1:16" ht="39" thickBot="1">
      <c r="A58" s="324" t="s">
        <v>349</v>
      </c>
      <c r="B58" s="407" t="s">
        <v>471</v>
      </c>
      <c r="C58" s="362">
        <v>10000000</v>
      </c>
      <c r="D58" s="363"/>
      <c r="E58" s="364"/>
      <c r="F58" s="364"/>
      <c r="G58" s="192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1:16" ht="12.75">
      <c r="A59" s="491" t="s">
        <v>350</v>
      </c>
      <c r="B59" s="495"/>
      <c r="C59" s="495"/>
      <c r="D59" s="495"/>
      <c r="E59" s="495"/>
      <c r="F59" s="495"/>
      <c r="G59" s="190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1:16" ht="25.5" customHeight="1">
      <c r="A60" s="496"/>
      <c r="B60" s="496"/>
      <c r="C60" s="496"/>
      <c r="D60" s="496"/>
      <c r="E60" s="496"/>
      <c r="F60" s="496"/>
      <c r="G60" s="192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3"/>
      <c r="B61" s="344"/>
      <c r="C61" s="344"/>
      <c r="D61" s="344"/>
      <c r="E61" s="344"/>
      <c r="F61" s="346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3"/>
      <c r="B62" s="344"/>
      <c r="C62" s="345"/>
      <c r="D62" s="345"/>
      <c r="E62" s="345"/>
      <c r="F62" s="347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3"/>
      <c r="B63" s="342"/>
      <c r="C63" s="342"/>
      <c r="D63" s="342"/>
      <c r="E63" s="342"/>
      <c r="F63" s="342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8"/>
      <c r="B64" s="349"/>
      <c r="C64" s="350"/>
      <c r="D64" s="350"/>
      <c r="E64" s="350"/>
      <c r="F64" s="350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8"/>
      <c r="C66" s="238"/>
      <c r="D66" s="238"/>
      <c r="E66" s="238"/>
      <c r="F66" s="238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8"/>
      <c r="C67" s="238"/>
      <c r="D67" s="238"/>
      <c r="E67" s="238"/>
      <c r="F67" s="238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8"/>
      <c r="C68" s="238"/>
      <c r="D68" s="238"/>
      <c r="E68" s="238"/>
      <c r="F68" s="238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8"/>
      <c r="C69" s="238"/>
      <c r="D69" s="238"/>
      <c r="E69" s="238"/>
      <c r="F69" s="238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8"/>
      <c r="C70" s="238"/>
      <c r="D70" s="238"/>
      <c r="E70" s="238"/>
      <c r="F70" s="238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8"/>
      <c r="C71" s="238"/>
      <c r="D71" s="238"/>
      <c r="E71" s="238"/>
      <c r="F71" s="238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8"/>
      <c r="C72" s="238"/>
      <c r="D72" s="238"/>
      <c r="E72" s="238"/>
      <c r="F72" s="238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8"/>
      <c r="C73" s="238"/>
      <c r="D73" s="238"/>
      <c r="E73" s="238"/>
      <c r="F73" s="238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8"/>
      <c r="C74" s="238"/>
      <c r="D74" s="238"/>
      <c r="E74" s="238"/>
      <c r="F74" s="238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8"/>
      <c r="C75" s="238"/>
      <c r="D75" s="238"/>
      <c r="E75" s="238"/>
      <c r="F75" s="238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8"/>
      <c r="C76" s="238"/>
      <c r="D76" s="238"/>
      <c r="E76" s="238"/>
      <c r="F76" s="238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8"/>
      <c r="C77" s="238"/>
      <c r="D77" s="238"/>
      <c r="E77" s="238"/>
      <c r="F77" s="238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8"/>
      <c r="C78" s="238"/>
      <c r="D78" s="238"/>
      <c r="E78" s="238"/>
      <c r="F78" s="238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8"/>
      <c r="C79" s="238"/>
      <c r="D79" s="238"/>
      <c r="E79" s="238"/>
      <c r="F79" s="238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8"/>
      <c r="C80" s="238"/>
      <c r="D80" s="238"/>
      <c r="E80" s="238"/>
      <c r="F80" s="238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8"/>
      <c r="C81" s="238"/>
      <c r="D81" s="238"/>
      <c r="E81" s="238"/>
      <c r="F81" s="238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8"/>
      <c r="C82" s="238"/>
      <c r="D82" s="238"/>
      <c r="E82" s="238"/>
      <c r="F82" s="238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8"/>
      <c r="C83" s="238"/>
      <c r="D83" s="238"/>
      <c r="E83" s="238"/>
      <c r="F83" s="238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8"/>
      <c r="C84" s="238"/>
      <c r="D84" s="238"/>
      <c r="E84" s="238"/>
      <c r="F84" s="238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8"/>
      <c r="C85" s="238"/>
      <c r="D85" s="238"/>
      <c r="E85" s="238"/>
      <c r="F85" s="238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8"/>
      <c r="C86" s="238"/>
      <c r="D86" s="238"/>
      <c r="E86" s="238"/>
      <c r="F86" s="238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8"/>
      <c r="C87" s="238"/>
      <c r="D87" s="238"/>
      <c r="E87" s="238"/>
      <c r="F87" s="238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8"/>
      <c r="C88" s="238"/>
      <c r="D88" s="238"/>
      <c r="E88" s="238"/>
      <c r="F88" s="238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8"/>
      <c r="C89" s="238"/>
      <c r="D89" s="238"/>
      <c r="E89" s="238"/>
      <c r="F89" s="238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8"/>
      <c r="C90" s="238"/>
      <c r="D90" s="238"/>
      <c r="E90" s="238"/>
      <c r="F90" s="238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8"/>
      <c r="C91" s="238"/>
      <c r="D91" s="238"/>
      <c r="E91" s="238"/>
      <c r="F91" s="238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8"/>
      <c r="C92" s="238"/>
      <c r="D92" s="238"/>
      <c r="E92" s="238"/>
      <c r="F92" s="238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8"/>
      <c r="C93" s="238"/>
      <c r="D93" s="238"/>
      <c r="E93" s="238"/>
      <c r="F93" s="238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8"/>
      <c r="C94" s="238"/>
      <c r="D94" s="238"/>
      <c r="E94" s="238"/>
      <c r="F94" s="238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8"/>
      <c r="C95" s="238"/>
      <c r="D95" s="238"/>
      <c r="E95" s="238"/>
      <c r="F95" s="238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8"/>
      <c r="C96" s="238"/>
      <c r="D96" s="238"/>
      <c r="E96" s="238"/>
      <c r="F96" s="238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8"/>
      <c r="C97" s="238"/>
      <c r="D97" s="238"/>
      <c r="E97" s="238"/>
      <c r="F97" s="238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8"/>
      <c r="C98" s="238"/>
      <c r="D98" s="238"/>
      <c r="E98" s="238"/>
      <c r="F98" s="238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">
      <selection activeCell="D72" sqref="D7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Peninsula West Utilities</v>
      </c>
      <c r="O3" s="416" t="str">
        <f>REGINFO!E1</f>
        <v>Version 2009.1</v>
      </c>
    </row>
    <row r="4" spans="1:15" ht="12.75">
      <c r="A4" s="2" t="str">
        <f>REGINFO!A4</f>
        <v>Reporting period:  2003</v>
      </c>
      <c r="E4" s="417" t="s">
        <v>320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188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0" t="s">
        <v>396</v>
      </c>
      <c r="B12" s="65" t="s">
        <v>189</v>
      </c>
      <c r="C12" s="395"/>
      <c r="D12" s="391"/>
      <c r="E12" s="395"/>
      <c r="F12" s="94"/>
      <c r="G12" s="418">
        <f>C12+E12</f>
        <v>0</v>
      </c>
      <c r="H12" s="94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0" t="s">
        <v>438</v>
      </c>
      <c r="B13" s="65"/>
      <c r="C13" s="418"/>
      <c r="D13" s="391"/>
      <c r="E13" s="418"/>
      <c r="F13" s="94"/>
      <c r="G13" s="418"/>
      <c r="H13" s="94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0" t="s">
        <v>397</v>
      </c>
      <c r="B14" s="65" t="s">
        <v>189</v>
      </c>
      <c r="C14" s="395"/>
      <c r="D14" s="391"/>
      <c r="E14" s="395"/>
      <c r="F14" s="94"/>
      <c r="G14" s="395"/>
      <c r="H14" s="94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0" t="s">
        <v>398</v>
      </c>
      <c r="B15" s="65" t="s">
        <v>189</v>
      </c>
      <c r="C15" s="395"/>
      <c r="D15" s="391"/>
      <c r="E15" s="395"/>
      <c r="F15" s="94"/>
      <c r="G15" s="395"/>
      <c r="H15" s="94"/>
      <c r="I15" s="395"/>
      <c r="J15" s="391"/>
      <c r="K15" s="395"/>
      <c r="L15" s="391"/>
      <c r="M15" s="418">
        <f>TAXCALC!E132</f>
        <v>0</v>
      </c>
      <c r="N15" s="391"/>
      <c r="O15" s="396">
        <f t="shared" si="0"/>
        <v>0</v>
      </c>
    </row>
    <row r="16" spans="1:15" ht="27" customHeight="1">
      <c r="A16" s="80" t="s">
        <v>399</v>
      </c>
      <c r="B16" s="65"/>
      <c r="C16" s="395"/>
      <c r="D16" s="391"/>
      <c r="E16" s="395"/>
      <c r="F16" s="94"/>
      <c r="G16" s="395"/>
      <c r="H16" s="94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0" t="s">
        <v>400</v>
      </c>
      <c r="B17" s="65" t="s">
        <v>189</v>
      </c>
      <c r="C17" s="395"/>
      <c r="D17" s="391"/>
      <c r="E17" s="395"/>
      <c r="F17" s="94"/>
      <c r="G17" s="395"/>
      <c r="H17" s="94"/>
      <c r="I17" s="395"/>
      <c r="J17" s="391"/>
      <c r="K17" s="395"/>
      <c r="L17" s="391"/>
      <c r="M17" s="418">
        <f>TAXCALC!E181</f>
        <v>107911.73651162791</v>
      </c>
      <c r="N17" s="391"/>
      <c r="O17" s="396">
        <f t="shared" si="0"/>
        <v>107911.73651162791</v>
      </c>
    </row>
    <row r="18" spans="1:15" ht="25.5">
      <c r="A18" s="80" t="s">
        <v>401</v>
      </c>
      <c r="B18" s="65" t="s">
        <v>189</v>
      </c>
      <c r="C18" s="395"/>
      <c r="D18" s="391"/>
      <c r="E18" s="395"/>
      <c r="F18" s="94"/>
      <c r="G18" s="395"/>
      <c r="H18" s="94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402</v>
      </c>
      <c r="B19" s="65" t="s">
        <v>189</v>
      </c>
      <c r="C19" s="395"/>
      <c r="D19" s="391"/>
      <c r="E19" s="395"/>
      <c r="F19" s="94"/>
      <c r="G19" s="395"/>
      <c r="H19" s="94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0" t="s">
        <v>468</v>
      </c>
      <c r="B20" s="65" t="s">
        <v>187</v>
      </c>
      <c r="C20" s="418">
        <v>0</v>
      </c>
      <c r="D20" s="391"/>
      <c r="E20" s="395"/>
      <c r="F20" s="94"/>
      <c r="G20" s="395"/>
      <c r="H20" s="94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4"/>
      <c r="C21" s="391"/>
      <c r="D21" s="94"/>
      <c r="E21" s="391"/>
      <c r="F21" s="94"/>
      <c r="G21" s="391"/>
      <c r="H21" s="94"/>
      <c r="I21" s="391"/>
      <c r="J21" s="391"/>
      <c r="K21" s="391"/>
      <c r="L21" s="391"/>
      <c r="M21" s="391"/>
      <c r="N21" s="391"/>
      <c r="O21" s="419"/>
    </row>
    <row r="22" spans="1:15" ht="13.5" thickBot="1">
      <c r="A22" s="80" t="s">
        <v>372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107911.73651162791</v>
      </c>
      <c r="N22" s="390"/>
      <c r="O22" s="450">
        <f>SUM(O11:O20)</f>
        <v>107911.73651162791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6"/>
      <c r="M23" s="442"/>
      <c r="N23" s="186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403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6"/>
      <c r="M27" s="186"/>
      <c r="N27" s="186"/>
      <c r="O27" s="186"/>
    </row>
    <row r="28" spans="1:15" ht="12.75">
      <c r="A28" s="433" t="s">
        <v>404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6"/>
      <c r="M28" s="186"/>
      <c r="N28" s="186"/>
      <c r="O28" s="186"/>
    </row>
    <row r="29" spans="1:15" ht="12.75">
      <c r="A29" s="436" t="s">
        <v>405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6"/>
      <c r="M29" s="186"/>
      <c r="N29" s="186"/>
      <c r="O29" s="186"/>
    </row>
    <row r="30" spans="1:15" ht="9" customHeight="1">
      <c r="A30" s="186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6"/>
      <c r="M30" s="186"/>
      <c r="N30" s="186"/>
      <c r="O30" s="186"/>
    </row>
    <row r="31" spans="1:15" ht="12.75">
      <c r="A31" s="451" t="s">
        <v>406</v>
      </c>
      <c r="B31" s="79"/>
      <c r="C31" s="79"/>
      <c r="D31" s="79"/>
      <c r="E31" s="79"/>
      <c r="F31" s="79"/>
      <c r="G31" s="79"/>
      <c r="H31" s="79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2" t="s">
        <v>407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420"/>
      <c r="Q33" s="420"/>
      <c r="R33" s="420"/>
      <c r="S33" s="420"/>
    </row>
    <row r="34" spans="1:19" ht="12.75">
      <c r="A34" s="501" t="s">
        <v>408</v>
      </c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420"/>
      <c r="Q34" s="420"/>
      <c r="R34" s="420"/>
      <c r="S34" s="420"/>
    </row>
    <row r="35" spans="1:19" ht="12.75">
      <c r="A35" s="501" t="s">
        <v>429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420"/>
      <c r="Q35" s="420"/>
      <c r="R35" s="420"/>
      <c r="S35" s="420"/>
    </row>
    <row r="36" spans="1:19" ht="12.75">
      <c r="A36" s="501" t="s">
        <v>409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420"/>
      <c r="Q36" s="420"/>
      <c r="R36" s="420"/>
      <c r="S36" s="420"/>
    </row>
    <row r="37" spans="1:19" ht="12.75">
      <c r="A37" s="437" t="s">
        <v>369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370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410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411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412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6"/>
      <c r="M42" s="186"/>
      <c r="N42" s="186"/>
      <c r="O42" s="186"/>
    </row>
    <row r="43" spans="1:15" ht="12.75">
      <c r="A43" s="434" t="s">
        <v>413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6"/>
      <c r="M43" s="186"/>
      <c r="N43" s="186"/>
      <c r="O43" s="186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6"/>
      <c r="M44" s="186"/>
      <c r="N44" s="186"/>
      <c r="O44" s="186"/>
    </row>
    <row r="45" spans="1:15" ht="12.75">
      <c r="A45" s="439" t="s">
        <v>414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6"/>
      <c r="M45" s="186"/>
      <c r="N45" s="186"/>
      <c r="O45" s="186"/>
    </row>
    <row r="46" spans="1:15" ht="12.75">
      <c r="A46" s="434" t="s">
        <v>415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6"/>
      <c r="M46" s="186"/>
      <c r="N46" s="186"/>
      <c r="O46" s="186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6"/>
      <c r="M47" s="186"/>
      <c r="N47" s="186"/>
      <c r="O47" s="186"/>
    </row>
    <row r="48" spans="1:15" ht="12.75">
      <c r="A48" s="439" t="s">
        <v>416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6"/>
      <c r="M48" s="186"/>
      <c r="N48" s="186"/>
      <c r="O48" s="186"/>
    </row>
    <row r="49" spans="1:15" ht="12.75">
      <c r="A49" s="434" t="s">
        <v>417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6"/>
      <c r="M49" s="186"/>
      <c r="N49" s="186"/>
      <c r="O49" s="186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6"/>
      <c r="M50" s="186"/>
      <c r="N50" s="186"/>
      <c r="O50" s="186"/>
    </row>
    <row r="51" spans="1:15" ht="12.75">
      <c r="A51" s="439" t="s">
        <v>418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6"/>
      <c r="M51" s="186"/>
      <c r="N51" s="186"/>
      <c r="O51" s="186"/>
    </row>
    <row r="52" spans="1:15" ht="12.75">
      <c r="A52" s="434" t="s">
        <v>415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6"/>
      <c r="M52" s="186"/>
      <c r="N52" s="186"/>
      <c r="O52" s="186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6"/>
      <c r="M53" s="186"/>
      <c r="N53" s="186"/>
      <c r="O53" s="186"/>
    </row>
    <row r="54" spans="1:15" ht="12.75">
      <c r="A54" s="434" t="s">
        <v>419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6"/>
      <c r="M54" s="186"/>
      <c r="N54" s="186"/>
      <c r="O54" s="186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6"/>
      <c r="M55" s="186"/>
      <c r="N55" s="186"/>
      <c r="O55" s="186"/>
    </row>
    <row r="56" spans="1:15" ht="12.75" customHeight="1">
      <c r="A56" s="439" t="s">
        <v>420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6"/>
      <c r="M56" s="186"/>
      <c r="N56" s="186"/>
      <c r="O56" s="186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6"/>
      <c r="M57" s="186"/>
      <c r="N57" s="186"/>
      <c r="O57" s="186"/>
    </row>
    <row r="58" spans="1:15" ht="12.75">
      <c r="A58" s="434" t="s">
        <v>421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6"/>
      <c r="M58" s="186"/>
      <c r="N58" s="186"/>
      <c r="O58" s="186"/>
    </row>
    <row r="59" spans="1:15" ht="12.75">
      <c r="A59" s="434" t="s">
        <v>422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6"/>
      <c r="M59" s="186"/>
      <c r="N59" s="186"/>
      <c r="O59" s="186"/>
    </row>
    <row r="60" spans="1:15" ht="12.75">
      <c r="A60" s="434" t="s">
        <v>423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6"/>
      <c r="M60" s="186"/>
      <c r="N60" s="186"/>
      <c r="O60" s="186"/>
    </row>
    <row r="61" spans="1:15" ht="12.75">
      <c r="A61" s="434" t="s">
        <v>379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6"/>
      <c r="M61" s="186"/>
      <c r="N61" s="186"/>
      <c r="O61" s="186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6"/>
      <c r="M62" s="186"/>
      <c r="N62" s="186"/>
      <c r="O62" s="186"/>
    </row>
    <row r="63" spans="1:15" ht="12.75">
      <c r="A63" s="434" t="s">
        <v>424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6"/>
      <c r="M63" s="186"/>
      <c r="N63" s="186"/>
      <c r="O63" s="186"/>
    </row>
    <row r="64" spans="1:15" ht="12.75">
      <c r="A64" s="434" t="s">
        <v>425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6"/>
      <c r="M64" s="186"/>
      <c r="N64" s="186"/>
      <c r="O64" s="186"/>
    </row>
    <row r="65" spans="1:15" ht="12.75">
      <c r="A65" s="434" t="s">
        <v>381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6"/>
      <c r="M65" s="186"/>
      <c r="N65" s="186"/>
      <c r="O65" s="186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6"/>
      <c r="M66" s="186"/>
      <c r="N66" s="186"/>
      <c r="O66" s="186"/>
    </row>
    <row r="67" spans="1:15" ht="12.75">
      <c r="A67" s="434" t="s">
        <v>380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6"/>
      <c r="M67" s="186"/>
      <c r="N67" s="186"/>
      <c r="O67" s="186"/>
    </row>
    <row r="68" spans="1:15" ht="12.75">
      <c r="A68" s="434" t="s">
        <v>382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6"/>
      <c r="M68" s="186"/>
      <c r="N68" s="186"/>
      <c r="O68" s="186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6"/>
      <c r="M69" s="186"/>
      <c r="N69" s="186"/>
      <c r="O69" s="186"/>
    </row>
    <row r="70" spans="1:15" ht="12.75">
      <c r="A70" s="434" t="s">
        <v>426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6"/>
      <c r="M70" s="186"/>
      <c r="N70" s="186"/>
      <c r="O70" s="186"/>
    </row>
    <row r="71" spans="1:15" ht="12.75">
      <c r="A71" s="434" t="s">
        <v>427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6"/>
      <c r="M71" s="186"/>
      <c r="N71" s="186"/>
      <c r="O71" s="186"/>
    </row>
    <row r="72" spans="1:15" ht="12.75">
      <c r="A72" s="434" t="s">
        <v>428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6"/>
      <c r="M72" s="186"/>
      <c r="N72" s="186"/>
      <c r="O72" s="186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6"/>
      <c r="M73" s="186"/>
      <c r="N73" s="186"/>
      <c r="O73" s="186"/>
    </row>
    <row r="74" spans="1:15" ht="12.75" customHeight="1">
      <c r="A74" s="501" t="s">
        <v>458</v>
      </c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</row>
    <row r="75" spans="1:15" ht="12.75">
      <c r="A75" s="434" t="s">
        <v>371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6"/>
      <c r="M75" s="186"/>
      <c r="N75" s="186"/>
      <c r="O75" s="186"/>
    </row>
    <row r="76" spans="1:15" ht="12.75">
      <c r="A76" s="186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6"/>
      <c r="M76" s="186"/>
      <c r="N76" s="186"/>
      <c r="O76" s="186"/>
    </row>
    <row r="77" spans="1:15" ht="12.75">
      <c r="A77" s="186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6"/>
      <c r="M77" s="186"/>
      <c r="N77" s="186"/>
      <c r="O77" s="186"/>
    </row>
    <row r="78" spans="1:17" ht="12.75">
      <c r="A78" s="186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6"/>
      <c r="O78" s="186"/>
      <c r="P78" s="186"/>
      <c r="Q78" s="186"/>
    </row>
    <row r="79" spans="1:17" ht="12.75">
      <c r="A79" s="186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6"/>
      <c r="O79" s="186"/>
      <c r="P79" s="186"/>
      <c r="Q79" s="186"/>
    </row>
    <row r="80" spans="1:17" ht="12.75">
      <c r="A80" s="186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6"/>
      <c r="O80" s="186"/>
      <c r="P80" s="186"/>
      <c r="Q80" s="186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6"/>
      <c r="O81" s="186"/>
      <c r="P81" s="186"/>
      <c r="Q81" s="186"/>
    </row>
    <row r="82" spans="1:17" ht="12.75">
      <c r="A82" s="186"/>
      <c r="B82" s="186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6"/>
      <c r="O82" s="186"/>
      <c r="P82" s="186"/>
      <c r="Q82" s="186"/>
    </row>
    <row r="83" spans="1:17" ht="12.75">
      <c r="A83" s="186"/>
      <c r="B83" s="186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6"/>
      <c r="O83" s="186"/>
      <c r="P83" s="186"/>
      <c r="Q83" s="186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6"/>
      <c r="O84" s="186"/>
      <c r="P84" s="186"/>
      <c r="Q84" s="186"/>
    </row>
    <row r="85" spans="1:17" ht="12.75">
      <c r="A85" s="186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6"/>
      <c r="O85" s="186"/>
      <c r="P85" s="186"/>
      <c r="Q85" s="186"/>
    </row>
    <row r="86" spans="1:17" ht="12.75">
      <c r="A86" s="186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6"/>
      <c r="O86" s="186"/>
      <c r="P86" s="186"/>
      <c r="Q86" s="186"/>
    </row>
    <row r="87" spans="1:17" ht="12.75">
      <c r="A87" s="186"/>
      <c r="B87" s="186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6"/>
      <c r="O87" s="186"/>
      <c r="P87" s="186"/>
      <c r="Q87" s="186"/>
    </row>
    <row r="88" spans="1:17" ht="12.75">
      <c r="A88" s="186"/>
      <c r="B88" s="186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6"/>
      <c r="O88" s="186"/>
      <c r="P88" s="186"/>
      <c r="Q88" s="186"/>
    </row>
    <row r="89" spans="1:17" ht="12.75">
      <c r="A89" s="186"/>
      <c r="B89" s="186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6"/>
      <c r="O89" s="186"/>
      <c r="P89" s="186"/>
      <c r="Q89" s="186"/>
    </row>
    <row r="90" spans="1:17" ht="12.75">
      <c r="A90" s="186"/>
      <c r="B90" s="186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6"/>
      <c r="O90" s="186"/>
      <c r="P90" s="186"/>
      <c r="Q90" s="186"/>
    </row>
    <row r="91" spans="1:17" ht="12.75">
      <c r="A91" s="186"/>
      <c r="B91" s="186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6"/>
      <c r="O91" s="186"/>
      <c r="P91" s="186"/>
      <c r="Q91" s="186"/>
    </row>
    <row r="92" spans="1:17" ht="12.75">
      <c r="A92" s="186"/>
      <c r="B92" s="186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1"/>
      <c r="N92" s="501"/>
      <c r="O92" s="501"/>
      <c r="P92" s="501"/>
      <c r="Q92" s="501"/>
    </row>
    <row r="93" spans="1:17" ht="12.75">
      <c r="A93" s="186"/>
      <c r="B93" s="186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6"/>
      <c r="O93" s="186"/>
      <c r="P93" s="186"/>
      <c r="Q93" s="186"/>
    </row>
    <row r="94" spans="1:1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</row>
    <row r="95" spans="1:1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</row>
    <row r="96" spans="1:1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</row>
    <row r="97" spans="1:1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 t="s">
        <v>102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 t="s">
        <v>102</v>
      </c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 t="s">
        <v>102</v>
      </c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SUZANNEW</cp:lastModifiedBy>
  <cp:lastPrinted>2011-10-13T14:33:12Z</cp:lastPrinted>
  <dcterms:created xsi:type="dcterms:W3CDTF">2001-11-07T16:15:53Z</dcterms:created>
  <dcterms:modified xsi:type="dcterms:W3CDTF">2011-10-13T14:33:15Z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