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7340" windowHeight="483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<sst xmlns="http://schemas.openxmlformats.org/spreadsheetml/2006/main" count="880" uniqueCount="507">
  <si>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</si>
  <si>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</si>
  <si>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</si>
  <si>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</si>
  <si>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</si>
  <si>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</si>
  <si>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</si>
  <si>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</si>
  <si>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</si>
  <si>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</si>
  <si>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</si>
  <si>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</si>
  <si>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</si>
  <si>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</si>
  <si>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</si>
  <si>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</si>
  <si>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</si>
  <si>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</si>
  <si>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</si>
  <si>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</si>
  <si>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</si>
  <si>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</si>
  <si>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</si>
  <si>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</si>
  <si>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</si>
  <si>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</si>
  <si>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</si>
  <si>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</si>
  <si>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</si>
  <si>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</si>
  <si>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</si>
  <si>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</si>
  <si>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</si>
  <si>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</si>
  <si>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</si>
  <si>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</si>
  <si>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</si>
  <si>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</si>
  <si>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</si>
  <si>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</si>
  <si>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</si>
  <si>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</si>
  <si>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</si>
  <si>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</si>
  <si>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</si>
  <si>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</si>
  <si>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</si>
  <si>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</si>
  <si>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</si>
  <si>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</si>
  <si>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</si>
  <si>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</si>
  <si>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</si>
  <si>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</si>
  <si>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</si>
  <si>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</si>
  <si>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</si>
  <si>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</si>
  <si>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</si>
  <si>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</si>
  <si>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</si>
  <si>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</si>
  <si>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</si>
  <si>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</si>
  <si>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</si>
  <si>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</si>
  <si>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</si>
  <si>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</si>
  <si>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</si>
  <si>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</si>
  <si>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</si>
  <si>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</si>
  <si>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</si>
  <si>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</si>
  <si>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</si>
  <si>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</si>
  <si>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</si>
  <si>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</si>
  <si>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</si>
  <si>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</si>
  <si>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</si>
  <si>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</si>
  <si>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</si>
  <si>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</si>
  <si>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</si>
  <si>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</si>
  <si>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</si>
  <si>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</si>
  <si>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</si>
  <si>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</si>
  <si>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</si>
  <si>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</si>
  <si>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</si>
  <si>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</si>
  <si>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</si>
  <si>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</si>
  <si>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</si>
  <si>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</si>
  <si>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</si>
  <si>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</si>
  <si>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</si>
  <si>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</si>
  <si>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</si>
  <si>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</si>
  <si>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</si>
  <si>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</si>
  <si>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</si>
  <si>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</si>
  <si>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</si>
  <si>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</si>
  <si>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</si>
  <si>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</si>
  <si>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</si>
  <si>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</si>
  <si>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</si>
  <si>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</si>
  <si>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</si>
  <si>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</si>
  <si>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</si>
  <si>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</si>
  <si>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</si>
  <si>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</si>
  <si>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</si>
  <si>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</si>
  <si>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</si>
  <si>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</si>
  <si>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</si>
  <si>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</si>
  <si>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</si>
  <si>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</si>
  <si>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</si>
  <si>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</si>
  <si>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</si>
  <si>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</si>
  <si>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</si>
  <si>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</si>
  <si>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</si>
  <si>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</si>
  <si>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</si>
  <si>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</si>
  <si>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</si>
  <si>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</si>
  <si>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</si>
  <si>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</si>
  <si>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</si>
  <si>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</si>
  <si>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</si>
  <si>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</si>
  <si>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</si>
  <si>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</si>
  <si>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</si>
  <si>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</si>
  <si>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</si>
  <si>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</si>
  <si>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</si>
  <si>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</si>
  <si>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</si>
  <si>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</si>
  <si>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</si>
  <si>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</si>
  <si>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</si>
  <si>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</si>
  <si>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</si>
  <si>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</si>
  <si>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</si>
  <si>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</si>
  <si>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</si>
  <si>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</si>
  <si>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</si>
  <si>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</si>
  <si>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</si>
  <si>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</si>
  <si>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</si>
  <si>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</si>
  <si>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</si>
  <si>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</si>
  <si>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</si>
  <si>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</si>
  <si>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</si>
  <si>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</si>
  <si>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</si>
  <si>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</si>
  <si>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</si>
  <si>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</si>
  <si>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</si>
  <si>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</si>
  <si>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</si>
  <si>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</si>
  <si>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</si>
  <si>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</si>
  <si>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</si>
  <si>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</si>
  <si>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</si>
  <si>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</si>
  <si>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</si>
  <si>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</si>
  <si>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</si>
  <si>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</si>
  <si>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</si>
  <si>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</si>
  <si>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</si>
  <si>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</si>
  <si>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</si>
  <si>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</si>
  <si>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</si>
  <si>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</si>
  <si>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</si>
  <si>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</si>
  <si>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</si>
  <si>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</si>
  <si>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</si>
  <si>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</si>
  <si>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</si>
  <si>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</si>
  <si>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</si>
  <si>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</si>
  <si>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</si>
  <si>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</si>
  <si>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</si>
  <si>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</si>
  <si>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</si>
  <si>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</si>
  <si>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</si>
  <si>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</si>
  <si>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</si>
  <si>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</si>
  <si>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</si>
  <si>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</si>
  <si>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</si>
  <si>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</si>
  <si>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</si>
  <si>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</si>
  <si>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</si>
  <si>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</si>
  <si>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</si>
  <si>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</si>
  <si>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</si>
  <si>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</si>
  <si>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</si>
  <si>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</si>
  <si>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</si>
  <si>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</si>
  <si>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</si>
  <si>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</si>
  <si>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</si>
  <si>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</si>
  <si>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</si>
  <si>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</si>
  <si>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</si>
  <si>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</si>
  <si>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</si>
  <si>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</si>
  <si>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</si>
  <si>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</si>
  <si>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</si>
  <si>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</si>
  <si>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</si>
  <si>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</si>
  <si>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</si>
  <si>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</si>
  <si>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</si>
  <si>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</si>
  <si>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</si>
  <si>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</si>
  <si>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</si>
  <si>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</si>
  <si>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</si>
  <si>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</si>
  <si>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</si>
  <si>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</si>
  <si>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</si>
  <si>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</si>
  <si>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</si>
  <si>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</si>
  <si>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</si>
  <si>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</si>
  <si>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</si>
  <si>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</si>
  <si>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</si>
  <si>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</si>
  <si>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</si>
  <si>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</si>
  <si>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</si>
  <si>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</si>
  <si>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</si>
  <si>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</si>
  <si>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</si>
  <si>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</si>
  <si>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</si>
  <si>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</si>
  <si>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</si>
  <si>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</si>
  <si>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</si>
  <si>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</si>
  <si>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</si>
  <si>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</si>
  <si>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</si>
  <si>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</si>
  <si>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</si>
  <si>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</si>
  <si>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</si>
  <si>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</si>
  <si>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</si>
  <si>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</si>
  <si>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</si>
  <si>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</si>
  <si>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</si>
  <si>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</si>
  <si>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</si>
  <si>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</si>
  <si>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</si>
  <si>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</si>
  <si>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</si>
  <si>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</si>
  <si>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</si>
  <si>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</si>
  <si>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</si>
  <si>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</si>
  <si>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</si>
  <si>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</si>
  <si>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</si>
  <si>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</si>
  <si>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</si>
  <si>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</si>
  <si>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</si>
  <si>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</si>
  <si>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</si>
  <si>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</si>
  <si>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</si>
  <si>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</si>
  <si>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</si>
  <si>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</si>
  <si>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</si>
  <si>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</si>
  <si>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</si>
  <si>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</si>
  <si>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</si>
  <si>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</si>
  <si>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</si>
  <si>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</si>
  <si>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</si>
  <si>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</si>
  <si>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</si>
  <si>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</si>
  <si>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</si>
  <si>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</si>
  <si>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</si>
  <si>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</si>
  <si>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</si>
  <si>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</si>
  <si>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</si>
  <si>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</si>
  <si>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</si>
  <si>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</si>
  <si>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</si>
  <si>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</si>
  <si>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</si>
  <si>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</si>
  <si>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</si>
  <si>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</si>
  <si>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</si>
  <si>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</si>
  <si>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</si>
  <si>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</si>
  <si>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</si>
  <si>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</si>
  <si>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</si>
  <si>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</si>
  <si>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</si>
  <si>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</si>
  <si>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</si>
  <si>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</si>
  <si>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</si>
  <si>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</si>
  <si>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</si>
  <si>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</si>
  <si>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</si>
  <si>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</si>
  <si>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</si>
  <si>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</si>
  <si>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</si>
  <si>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</si>
  <si>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</si>
  <si>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</si>
  <si>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</si>
  <si>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</si>
  <si>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</si>
  <si>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</si>
  <si>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</si>
  <si>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</si>
  <si>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</si>
  <si>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</si>
  <si>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</si>
  <si>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</si>
  <si>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</si>
  <si>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</si>
  <si>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</si>
  <si>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</si>
  <si>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</si>
  <si>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</si>
  <si>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</si>
  <si>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</si>
  <si>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</si>
  <si>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</si>
  <si>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</si>
  <si>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</si>
  <si>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</si>
  <si>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</si>
  <si>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</si>
  <si>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</si>
  <si>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</si>
  <si>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</si>
  <si>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</si>
  <si>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</si>
  <si>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</si>
  <si>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</si>
  <si>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</si>
  <si>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</si>
  <si>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</si>
  <si>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</si>
  <si>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</si>
  <si>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</si>
  <si>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</si>
  <si>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</si>
  <si>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</si>
  <si>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</si>
  <si>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</si>
  <si>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</si>
  <si>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</si>
  <si>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</si>
  <si>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</si>
  <si>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</si>
  <si>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</si>
  <si>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</si>
  <si>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</si>
  <si>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</si>
  <si>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</si>
  <si>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</si>
  <si>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</si>
  <si>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</si>
  <si>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</si>
  <si>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</si>
  <si>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</si>
  <si>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</si>
  <si>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</si>
  <si>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</si>
  <si>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</si>
  <si>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</si>
  <si>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</si>
  <si>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</si>
  <si>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</si>
  <si>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</si>
  <si>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</si>
  <si>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</si>
  <si>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</si>
  <si>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</si>
  <si>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</si>
  <si>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</si>
  <si>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</si>
  <si>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</si>
  <si>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</si>
  <si>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</si>
  <si>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</si>
  <si>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</si>
  <si>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</si>
  <si>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</si>
  <si>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</si>
  <si>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</si>
  <si>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</si>
  <si>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</si>
  <si>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</si>
  <si>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</si>
  <si>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</si>
  <si>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</si>
  <si>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</si>
  <si>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</si>
  <si>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</si>
  <si>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</si>
  <si>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</si>
  <si>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</si>
  <si>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</si>
  <si>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</si>
  <si>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</si>
  <si>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</si>
  <si>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</si>
  <si>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</si>
  <si>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</si>
  <si>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</si>
  <si>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</si>
  <si>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</si>
  <si>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</si>
  <si>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</si>
  <si>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</si>
  <si>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</si>
  <si>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</si>
  <si>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</si>
  <si>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</si>
  <si>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</si>
  <si>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</si>
  <si>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</si>
  <si>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</si>
  <si>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</si>
  <si>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</si>
  <si>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Utility Name: Grand Valley Energy</t>
  </si>
  <si>
    <t>Y</t>
  </si>
  <si>
    <t>N</t>
  </si>
  <si>
    <t>Total deemed interest  (REGINFO CELL D62)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</si>
</sst>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0" borderId="14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8">
      <selection activeCell="G53" sqref="G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503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4" t="s">
        <v>442</v>
      </c>
      <c r="E4" s="428"/>
      <c r="H4" s="8"/>
    </row>
    <row r="5" spans="1:8" ht="12.75">
      <c r="A5" s="52"/>
      <c r="C5" s="8"/>
      <c r="D5" s="453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505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505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4" t="s">
        <v>316</v>
      </c>
      <c r="B19" s="8" t="s">
        <v>313</v>
      </c>
      <c r="C19" s="8" t="s">
        <v>64</v>
      </c>
      <c r="D19" s="389" t="s">
        <v>505</v>
      </c>
    </row>
    <row r="20" spans="1:4" ht="13.5" thickBot="1">
      <c r="A20" s="495"/>
      <c r="B20" s="8" t="s">
        <v>314</v>
      </c>
      <c r="C20" s="8" t="s">
        <v>64</v>
      </c>
      <c r="D20" s="258" t="s">
        <v>505</v>
      </c>
    </row>
    <row r="21" spans="1:4" ht="12.75">
      <c r="A21" s="494" t="s">
        <v>312</v>
      </c>
      <c r="B21" s="8" t="s">
        <v>313</v>
      </c>
      <c r="C21" s="8"/>
      <c r="D21" s="424">
        <v>1</v>
      </c>
    </row>
    <row r="22" spans="1:4" ht="12.75">
      <c r="A22" s="494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550846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47179.9599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47179.9599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15726.6533</v>
      </c>
      <c r="E47" s="388">
        <f aca="true" t="shared" si="0" ref="E47:E53">D47</f>
        <v>15726.6533</v>
      </c>
      <c r="H47" s="40"/>
      <c r="J47" s="5"/>
      <c r="K47" s="5"/>
    </row>
    <row r="48" spans="1:11" ht="12.75">
      <c r="A48" t="s">
        <v>290</v>
      </c>
      <c r="D48" s="427">
        <v>15726.6533</v>
      </c>
      <c r="E48" s="388">
        <f>D48</f>
        <v>15726.6533</v>
      </c>
      <c r="F48" s="22"/>
      <c r="H48" s="40"/>
      <c r="J48" s="5"/>
      <c r="K48" s="5"/>
    </row>
    <row r="49" spans="1:11" ht="12.75">
      <c r="A49" t="s">
        <v>291</v>
      </c>
      <c r="D49" s="427"/>
      <c r="E49" s="388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463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31453.3066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275423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27211.7924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275423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19968.1675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6656.055833333333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13312.111666666666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13312.111666666666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19968.1675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80" zoomScaleNormal="80" zoomScalePageLayoutView="0" workbookViewId="0" topLeftCell="A137">
      <selection activeCell="A132" sqref="A13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Grand Valley Energy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31453.3066</v>
      </c>
      <c r="D16" s="17"/>
      <c r="E16" s="267">
        <f>G16-C16</f>
        <v>-20581.116600000056</v>
      </c>
      <c r="F16" s="3"/>
      <c r="G16" s="267">
        <f>TAXREC!E50</f>
        <v>10872.189999999944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37149</v>
      </c>
      <c r="D20" s="18"/>
      <c r="E20" s="267">
        <f>G20-C20</f>
        <v>-1313</v>
      </c>
      <c r="F20" s="6"/>
      <c r="G20" s="267">
        <f>TAXREC!E61</f>
        <v>35836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1333</v>
      </c>
      <c r="D24" s="18"/>
      <c r="E24" s="267">
        <f>G24-C24</f>
        <v>-1333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2" t="s">
        <v>395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17983</v>
      </c>
      <c r="D33" s="132"/>
      <c r="E33" s="267">
        <f aca="true" t="shared" si="0" ref="E33:E42">G33-C33</f>
        <v>3458</v>
      </c>
      <c r="F33" s="6"/>
      <c r="G33" s="267">
        <f>TAXREC!E97+TAXREC!E98</f>
        <v>21441</v>
      </c>
      <c r="H33" s="151"/>
    </row>
    <row r="34" spans="1:8" ht="12.75">
      <c r="A34" s="158" t="s">
        <v>57</v>
      </c>
      <c r="B34" s="127">
        <v>8</v>
      </c>
      <c r="C34" s="261">
        <v>0</v>
      </c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>
        <v>4000</v>
      </c>
      <c r="D36" s="132"/>
      <c r="E36" s="267">
        <f t="shared" si="0"/>
        <v>-4000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13312.111666666666</v>
      </c>
      <c r="D37" s="132"/>
      <c r="E37" s="267">
        <f t="shared" si="0"/>
        <v>-11865.921666666665</v>
      </c>
      <c r="F37" s="6"/>
      <c r="G37" s="267">
        <f>TAXREC!E51</f>
        <v>1446.19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34640.19493333333</v>
      </c>
      <c r="D50" s="102"/>
      <c r="E50" s="263">
        <f>E16+SUM(E20:E30)-SUM(E33:E48)</f>
        <v>-10819.19493333339</v>
      </c>
      <c r="F50" s="431" t="s">
        <v>367</v>
      </c>
      <c r="G50" s="263">
        <f>G16+SUM(G20:G30)-SUM(G33:G48)</f>
        <v>23820.999999999945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0</v>
      </c>
      <c r="F53" s="114"/>
      <c r="G53" s="473">
        <f>TAXREC!E151</f>
        <v>0.1912</v>
      </c>
      <c r="H53" s="151"/>
      <c r="I53" s="470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6623.205271253333</v>
      </c>
      <c r="D55" s="102"/>
      <c r="E55" s="267">
        <f>G55-C55</f>
        <v>-2186.205271253333</v>
      </c>
      <c r="F55" s="431" t="s">
        <v>368</v>
      </c>
      <c r="G55" s="264">
        <f>TAXREC!E144</f>
        <v>4437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6623.205271253333</v>
      </c>
      <c r="D60" s="133"/>
      <c r="E60" s="269">
        <f>+E55-E58</f>
        <v>-2186.205271253333</v>
      </c>
      <c r="F60" s="431" t="s">
        <v>368</v>
      </c>
      <c r="G60" s="269">
        <f>+G55-G58</f>
        <v>4437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550846</v>
      </c>
      <c r="D66" s="102"/>
      <c r="E66" s="267">
        <f>G66-C66</f>
        <v>211428</v>
      </c>
      <c r="F66" s="6"/>
      <c r="G66" s="475">
        <v>762274</v>
      </c>
      <c r="H66" s="151"/>
      <c r="I66" s="476" t="s">
        <v>477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6" t="s">
        <v>477</v>
      </c>
      <c r="J67" s="477" t="s">
        <v>478</v>
      </c>
    </row>
    <row r="68" spans="1:8" ht="12.75">
      <c r="A68" s="152" t="s">
        <v>42</v>
      </c>
      <c r="B68" s="125"/>
      <c r="C68" s="264">
        <f>IF((C66-C67)&gt;0,C66-C67,0)</f>
        <v>0</v>
      </c>
      <c r="D68" s="102"/>
      <c r="E68" s="267">
        <f>SUM(E66:E67)</f>
        <v>211428</v>
      </c>
      <c r="F68" s="114"/>
      <c r="G68" s="264">
        <v>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0</v>
      </c>
      <c r="D72" s="101"/>
      <c r="E72" s="267">
        <f>+G72-C72</f>
        <v>0</v>
      </c>
      <c r="F72" s="478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550846</v>
      </c>
      <c r="D75" s="102"/>
      <c r="E75" s="267">
        <f>+G75-C75</f>
        <v>211428</v>
      </c>
      <c r="F75" s="6"/>
      <c r="G75" s="475">
        <v>762274</v>
      </c>
      <c r="H75" s="151"/>
      <c r="I75" s="476" t="s">
        <v>477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1"/>
      <c r="I76" s="476" t="s">
        <v>477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211428</v>
      </c>
      <c r="F77" s="114"/>
      <c r="G77" s="264"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8188.928376920541</v>
      </c>
      <c r="D90" s="20"/>
      <c r="E90" s="139"/>
      <c r="F90" s="430" t="s">
        <v>484</v>
      </c>
      <c r="G90" s="270">
        <f>TAXREC!E156</f>
        <v>4437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0" t="s">
        <v>484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0</v>
      </c>
      <c r="D92" s="20"/>
      <c r="E92" s="139"/>
      <c r="F92" s="430" t="s">
        <v>484</v>
      </c>
      <c r="G92" s="270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69">
        <f>SUM(C90:C93)</f>
        <v>8188.928376920541</v>
      </c>
      <c r="D95" s="6"/>
      <c r="E95" s="139"/>
      <c r="F95" s="430" t="s">
        <v>484</v>
      </c>
      <c r="G95" s="414">
        <f>SUM(G90:G94)</f>
        <v>4437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-1333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-4000</v>
      </c>
      <c r="F111" s="37"/>
      <c r="G111" s="201"/>
      <c r="H111" s="164"/>
    </row>
    <row r="112" spans="1:8" ht="12.75">
      <c r="A112" s="155" t="s">
        <v>494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2667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69">
        <v>0.1912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509.9304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509.9304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621.8663414634146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34640.19493333333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6623.205271253333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6623.205271253333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6623.205271253333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550846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v>0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0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0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550846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v>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v>0.18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5">
        <f>E132</f>
        <v>621.8663414634146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621.8663414634146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19968.1675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13312.111666666666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6656.055833333334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1446.19</v>
      </c>
      <c r="F201" s="3"/>
      <c r="G201" s="488"/>
      <c r="H201" s="164"/>
    </row>
    <row r="202" spans="1:8" ht="12.75">
      <c r="A202" s="493" t="s">
        <v>506</v>
      </c>
      <c r="B202" s="127"/>
      <c r="C202" s="112"/>
      <c r="D202" s="120"/>
      <c r="E202" s="492">
        <f>REGINFO!D62</f>
        <v>19968.1675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6656.055833333334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22">
      <selection activeCell="C31" sqref="C3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Grand Valley Energy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1">
        <v>689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f>818651-C32</f>
        <v>642482</v>
      </c>
      <c r="D31" s="286"/>
      <c r="E31" s="284">
        <f>C31-D31</f>
        <v>642482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f>818651-C39</f>
        <v>176169</v>
      </c>
      <c r="D32" s="286"/>
      <c r="E32" s="284">
        <f>C32-D32</f>
        <v>176169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28424</v>
      </c>
      <c r="D34" s="286"/>
      <c r="E34" s="284">
        <f>C34-D34</f>
        <v>28424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642482</v>
      </c>
      <c r="D39" s="286"/>
      <c r="E39" s="284">
        <f>C39-D39</f>
        <v>642482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100947-C51</f>
        <v>99500.81</v>
      </c>
      <c r="D40" s="286"/>
      <c r="E40" s="284">
        <f aca="true" t="shared" si="0" ref="E40:E48">C40-D40</f>
        <v>99500.81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35994</v>
      </c>
      <c r="D41" s="286"/>
      <c r="E41" s="284">
        <f t="shared" si="0"/>
        <v>35994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22390</v>
      </c>
      <c r="D42" s="286"/>
      <c r="E42" s="284">
        <f t="shared" si="0"/>
        <v>22390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35836</v>
      </c>
      <c r="D43" s="286"/>
      <c r="E43" s="284">
        <f t="shared" si="0"/>
        <v>35836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16" t="s">
        <v>499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10872.189999999944</v>
      </c>
      <c r="D50" s="281">
        <f>SUM(D31:D36)-SUM(D39:D49)</f>
        <v>0</v>
      </c>
      <c r="E50" s="281">
        <f>SUM(E31:E35)-SUM(E39:E48)</f>
        <v>10872.189999999944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1446.19</v>
      </c>
      <c r="D51" s="285"/>
      <c r="E51" s="282">
        <f>+C51-D51</f>
        <v>1446.19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4441</v>
      </c>
      <c r="D52" s="285"/>
      <c r="E52" s="283">
        <f>+C52-D52</f>
        <v>4441</v>
      </c>
      <c r="F52" s="8"/>
      <c r="G52" s="416" t="s">
        <v>497</v>
      </c>
    </row>
    <row r="53" spans="1:6" ht="12.75">
      <c r="A53" s="2" t="s">
        <v>131</v>
      </c>
      <c r="B53" s="8" t="s">
        <v>189</v>
      </c>
      <c r="C53" s="281">
        <f>C50-C51-C52</f>
        <v>4984.999999999944</v>
      </c>
      <c r="D53" s="281">
        <f>D50-D51-D52</f>
        <v>0</v>
      </c>
      <c r="E53" s="281">
        <f>E50-E51-E52</f>
        <v>4984.999999999944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4441</v>
      </c>
      <c r="D59" s="287">
        <f>D52</f>
        <v>0</v>
      </c>
      <c r="E59" s="272">
        <f>+C59-D59</f>
        <v>4441</v>
      </c>
      <c r="F59" s="8"/>
      <c r="G59" s="416" t="s">
        <v>498</v>
      </c>
    </row>
    <row r="60" spans="1:7" ht="12.75">
      <c r="A60" s="4" t="s">
        <v>327</v>
      </c>
      <c r="B60" s="8" t="s">
        <v>187</v>
      </c>
      <c r="C60" s="318"/>
      <c r="D60" s="318"/>
      <c r="E60" s="272">
        <f>+C60-D60</f>
        <v>0</v>
      </c>
      <c r="F60" s="8"/>
      <c r="G60" t="s">
        <v>502</v>
      </c>
    </row>
    <row r="61" spans="1:7" ht="12.75">
      <c r="A61" t="s">
        <v>4</v>
      </c>
      <c r="B61" s="8" t="s">
        <v>187</v>
      </c>
      <c r="C61" s="287">
        <f>C43</f>
        <v>35836</v>
      </c>
      <c r="D61" s="287">
        <f>D43</f>
        <v>0</v>
      </c>
      <c r="E61" s="272">
        <f>+C61-D61</f>
        <v>35836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395</v>
      </c>
      <c r="B66" s="8"/>
      <c r="C66" s="446">
        <f>'TAXREC 3 No True-up'!C47</f>
        <v>0</v>
      </c>
      <c r="D66" s="446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40277</v>
      </c>
      <c r="D70" s="272">
        <f>SUM(D59:D68)</f>
        <v>0</v>
      </c>
      <c r="E70" s="272">
        <f>SUM(E59:E68)</f>
        <v>40277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40277</v>
      </c>
      <c r="D82" s="251">
        <f>D70+D80</f>
        <v>0</v>
      </c>
      <c r="E82" s="251">
        <f>E70+E80</f>
        <v>40277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21441</v>
      </c>
      <c r="D97" s="294"/>
      <c r="E97" s="272">
        <f>+C97-D97</f>
        <v>21441</v>
      </c>
      <c r="F97" s="8"/>
      <c r="G97" s="45" t="s">
        <v>501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21441</v>
      </c>
      <c r="D113" s="251">
        <f>SUM(D97:D111)</f>
        <v>0</v>
      </c>
      <c r="E113" s="251">
        <f>SUM(E97:E111)</f>
        <v>21441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21441</v>
      </c>
      <c r="D122" s="251">
        <f>D113+D120</f>
        <v>0</v>
      </c>
      <c r="E122" s="251">
        <f>+E113+E120</f>
        <v>21441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23820.99999999994</v>
      </c>
      <c r="D134" s="251">
        <f>D53+D82-D122</f>
        <v>0</v>
      </c>
      <c r="E134" s="251">
        <f>E53+E82-E122</f>
        <v>23820.99999999994</v>
      </c>
      <c r="F134" s="8"/>
      <c r="G134" s="45"/>
      <c r="H134" s="45"/>
      <c r="I134" s="30">
        <f>C134</f>
        <v>23820.99999999994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87">
        <f>I134-I135</f>
        <v>-2292685</v>
      </c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23820.99999999994</v>
      </c>
      <c r="D139" s="252">
        <f>D134-D136-D137-D138</f>
        <v>0</v>
      </c>
      <c r="E139" s="252">
        <f>E134-E136-E137-E138</f>
        <v>23820.99999999994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3126</v>
      </c>
      <c r="D142" s="298"/>
      <c r="E142" s="252">
        <f>C142-D142</f>
        <v>3126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1311</v>
      </c>
      <c r="D143" s="298"/>
      <c r="E143" s="292">
        <f>C143-D143</f>
        <v>1311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4437</v>
      </c>
      <c r="D144" s="252">
        <f>D142+D143</f>
        <v>0</v>
      </c>
      <c r="E144" s="252">
        <f>E142+E143</f>
        <v>4437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/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4437</v>
      </c>
      <c r="D146" s="252">
        <f>D144-D145</f>
        <v>0</v>
      </c>
      <c r="E146" s="252">
        <f>E144-E145</f>
        <v>4437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'Tax Rates'!C50</f>
        <v>0.1312</v>
      </c>
      <c r="D149" s="490">
        <f>C142/C139</f>
        <v>0.13122874774358792</v>
      </c>
      <c r="E149" s="406">
        <f>C149</f>
        <v>0.1312</v>
      </c>
      <c r="F149" s="8"/>
      <c r="G149" s="484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'Tax Rates'!C51</f>
        <v>0.06</v>
      </c>
      <c r="D150" s="490">
        <f>C143/C139</f>
        <v>0.055035472902061344</v>
      </c>
      <c r="E150" s="406">
        <f>C150</f>
        <v>0.06</v>
      </c>
      <c r="F150" s="8"/>
      <c r="G150" s="484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0.1912</v>
      </c>
      <c r="D151" s="5"/>
      <c r="E151" s="406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4437</v>
      </c>
      <c r="D156" s="251">
        <f>D146</f>
        <v>0</v>
      </c>
      <c r="E156" s="251">
        <f>E146</f>
        <v>4437</v>
      </c>
    </row>
    <row r="157" spans="1:5" ht="12.75">
      <c r="A157" t="s">
        <v>20</v>
      </c>
      <c r="B157" s="86" t="s">
        <v>187</v>
      </c>
      <c r="C157" s="480">
        <v>0</v>
      </c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4437</v>
      </c>
      <c r="D160" s="251">
        <f>D156+D157+D158</f>
        <v>0</v>
      </c>
      <c r="E160" s="251">
        <f>E156+E157+E158</f>
        <v>4437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37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Grand Valley Energy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0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96" sqref="C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Grand Valley Energy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689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479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4" sqref="C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Grand Valley Energy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/>
      <c r="D35" s="295"/>
      <c r="E35" s="313">
        <f t="shared" si="0"/>
        <v>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67" t="s">
        <v>458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393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81" t="s">
        <v>387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500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394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387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1">
      <selection activeCell="C51" sqref="C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Grand Valley Energy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2" t="s">
        <v>487</v>
      </c>
      <c r="B8" s="503"/>
      <c r="C8" s="503"/>
      <c r="D8" s="50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474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475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6" t="s">
        <v>496</v>
      </c>
      <c r="B23" s="497"/>
      <c r="C23" s="497"/>
      <c r="D23" s="497"/>
      <c r="E23" s="497"/>
      <c r="F23" s="497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4" t="s">
        <v>488</v>
      </c>
      <c r="B26" s="505"/>
      <c r="C26" s="505"/>
      <c r="D26" s="505"/>
      <c r="E26" s="505"/>
      <c r="F26" s="50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/>
      <c r="E28" s="370" t="s">
        <v>111</v>
      </c>
      <c r="F28" s="371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2003</v>
      </c>
      <c r="C32" s="328">
        <v>0.1312</v>
      </c>
      <c r="D32" s="328"/>
      <c r="E32" s="329"/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474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475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8" t="s">
        <v>335</v>
      </c>
      <c r="B41" s="497"/>
      <c r="C41" s="497"/>
      <c r="D41" s="497"/>
      <c r="E41" s="497"/>
      <c r="F41" s="49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9"/>
      <c r="B42" s="499"/>
      <c r="C42" s="499"/>
      <c r="D42" s="499"/>
      <c r="E42" s="499"/>
      <c r="F42" s="49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491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>
        <v>0</v>
      </c>
      <c r="F50" s="353">
        <v>0.2412</v>
      </c>
      <c r="G50" s="194"/>
      <c r="H50" s="489">
        <v>0.2412</v>
      </c>
      <c r="I50" s="489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</v>
      </c>
      <c r="F51" s="355">
        <v>0.125</v>
      </c>
      <c r="G51" s="194"/>
      <c r="H51" s="489">
        <v>0.125</v>
      </c>
      <c r="I51" s="489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</v>
      </c>
      <c r="F52" s="333">
        <f>SUM(F50:F51)</f>
        <v>0.36619999999999997</v>
      </c>
      <c r="G52" s="194"/>
      <c r="H52" s="489">
        <f>+H51+H50</f>
        <v>0.36619999999999997</v>
      </c>
      <c r="I52" s="489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474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475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6" t="s">
        <v>351</v>
      </c>
      <c r="B59" s="500"/>
      <c r="C59" s="500"/>
      <c r="D59" s="500"/>
      <c r="E59" s="500"/>
      <c r="F59" s="50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1"/>
      <c r="B60" s="501"/>
      <c r="C60" s="501"/>
      <c r="D60" s="501"/>
      <c r="E60" s="501"/>
      <c r="F60" s="50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zoomScale="80" zoomScalePageLayoutView="80" workbookViewId="0" topLeftCell="A28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Grand Valley Energy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621.8663414634146</v>
      </c>
      <c r="N15" s="392"/>
      <c r="O15" s="397">
        <f t="shared" si="0"/>
        <v>621.8663414634146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621.8663414634146</v>
      </c>
      <c r="N22" s="391"/>
      <c r="O22" s="450">
        <f>SUM(O11:O20)</f>
        <v>621.8663414634146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405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7" t="s">
        <v>409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1"/>
      <c r="Q33" s="421"/>
      <c r="R33" s="421"/>
      <c r="S33" s="421"/>
    </row>
    <row r="34" spans="1:19" ht="12.75">
      <c r="A34" s="506" t="s">
        <v>410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1"/>
      <c r="Q34" s="421"/>
      <c r="R34" s="421"/>
      <c r="S34" s="421"/>
    </row>
    <row r="35" spans="1:19" ht="12.75">
      <c r="A35" s="506" t="s">
        <v>431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1"/>
      <c r="Q35" s="421"/>
      <c r="R35" s="421"/>
      <c r="S35" s="421"/>
    </row>
    <row r="36" spans="1:19" ht="12.75">
      <c r="A36" s="506" t="s">
        <v>411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1"/>
      <c r="Q36" s="421"/>
      <c r="R36" s="421"/>
      <c r="S36" s="421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6" t="s">
        <v>460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Amy Long</cp:lastModifiedBy>
  <cp:lastPrinted>2011-07-07T17:50:16Z</cp:lastPrinted>
  <dcterms:created xsi:type="dcterms:W3CDTF">2001-11-07T16:15:53Z</dcterms:created>
  <dcterms:modified xsi:type="dcterms:W3CDTF">2011-10-14T15:46:09Z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