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<sst xmlns="http://schemas.openxmlformats.org/spreadsheetml/2006/main" count="875" uniqueCount="504">
  <si>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</si>
  <si>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</si>
  <si>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</si>
  <si>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</si>
  <si>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</si>
  <si>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</si>
  <si>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</si>
  <si>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</si>
  <si>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</si>
  <si>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</si>
  <si>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</si>
  <si>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</si>
  <si>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</si>
  <si>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</si>
  <si>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</si>
  <si>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</si>
  <si>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</si>
  <si>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</si>
  <si>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</si>
  <si>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</si>
  <si>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</si>
  <si>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</si>
  <si>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</si>
  <si>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</si>
  <si>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</si>
  <si>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</si>
  <si>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</si>
  <si>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</si>
  <si>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</si>
  <si>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</si>
  <si>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</si>
  <si>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</si>
  <si>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</si>
  <si>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</si>
  <si>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</si>
  <si>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</si>
  <si>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</si>
  <si>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</si>
  <si>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</si>
  <si>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</si>
  <si>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</si>
  <si>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</si>
  <si>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</si>
  <si>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</si>
  <si>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</si>
  <si>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</si>
  <si>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</si>
  <si>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</si>
  <si>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</si>
  <si>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</si>
  <si>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</si>
  <si>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</si>
  <si>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</si>
  <si>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</si>
  <si>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</si>
  <si>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</si>
  <si>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</si>
  <si>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</si>
  <si>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</si>
  <si>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</si>
  <si>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</si>
  <si>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</si>
  <si>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</si>
  <si>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</si>
  <si>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</si>
  <si>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</si>
  <si>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</si>
  <si>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</si>
  <si>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</si>
  <si>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</si>
  <si>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</si>
  <si>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</si>
  <si>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</si>
  <si>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</si>
  <si>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</si>
  <si>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</si>
  <si>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</si>
  <si>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</si>
  <si>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</si>
  <si>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</si>
  <si>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</si>
  <si>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</si>
  <si>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</si>
  <si>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</si>
  <si>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</si>
  <si>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</si>
  <si>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</si>
  <si>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</si>
  <si>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</si>
  <si>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</si>
  <si>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</si>
  <si>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</si>
  <si>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</si>
  <si>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</si>
  <si>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</si>
  <si>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</si>
  <si>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</si>
  <si>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</si>
  <si>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</si>
  <si>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</si>
  <si>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</si>
  <si>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</si>
  <si>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</si>
  <si>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</si>
  <si>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</si>
  <si>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</si>
  <si>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</si>
  <si>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</si>
  <si>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</si>
  <si>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</si>
  <si>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</si>
  <si>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</si>
  <si>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</si>
  <si>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</si>
  <si>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</si>
  <si>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</si>
  <si>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</si>
  <si>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</si>
  <si>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</si>
  <si>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</si>
  <si>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</si>
  <si>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</si>
  <si>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</si>
  <si>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</si>
  <si>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</si>
  <si>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</si>
  <si>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</si>
  <si>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</si>
  <si>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</si>
  <si>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</si>
  <si>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</si>
  <si>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</si>
  <si>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</si>
  <si>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</si>
  <si>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</si>
  <si>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</si>
  <si>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</si>
  <si>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</si>
  <si>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</si>
  <si>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</si>
  <si>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</si>
  <si>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</si>
  <si>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</si>
  <si>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</si>
  <si>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</si>
  <si>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</si>
  <si>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</si>
  <si>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</si>
  <si>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</si>
  <si>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</si>
  <si>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</si>
  <si>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</si>
  <si>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</si>
  <si>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</si>
  <si>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</si>
  <si>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</si>
  <si>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</si>
  <si>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</si>
  <si>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</si>
  <si>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</si>
  <si>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</si>
  <si>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</si>
  <si>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</si>
  <si>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</si>
  <si>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</si>
  <si>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</si>
  <si>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</si>
  <si>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</si>
  <si>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</si>
  <si>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</si>
  <si>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</si>
  <si>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</si>
  <si>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</si>
  <si>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</si>
  <si>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</si>
  <si>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</si>
  <si>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</si>
  <si>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</si>
  <si>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</si>
  <si>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</si>
  <si>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</si>
  <si>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</si>
  <si>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</si>
  <si>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</si>
  <si>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</si>
  <si>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</si>
  <si>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</si>
  <si>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</si>
  <si>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</si>
  <si>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</si>
  <si>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</si>
  <si>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</si>
  <si>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</si>
  <si>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</si>
  <si>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</si>
  <si>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</si>
  <si>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</si>
  <si>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</si>
  <si>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</si>
  <si>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</si>
  <si>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</si>
  <si>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</si>
  <si>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</si>
  <si>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</si>
  <si>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</si>
  <si>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</si>
  <si>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</si>
  <si>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</si>
  <si>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</si>
  <si>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</si>
  <si>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</si>
  <si>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</si>
  <si>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</si>
  <si>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</si>
  <si>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</si>
  <si>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</si>
  <si>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</si>
  <si>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</si>
  <si>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</si>
  <si>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</si>
  <si>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</si>
  <si>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</si>
  <si>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</si>
  <si>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</si>
  <si>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</si>
  <si>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</si>
  <si>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</si>
  <si>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</si>
  <si>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</si>
  <si>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</si>
  <si>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</si>
  <si>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</si>
  <si>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</si>
  <si>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</si>
  <si>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</si>
  <si>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</si>
  <si>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</si>
  <si>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</si>
  <si>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</si>
  <si>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</si>
  <si>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</si>
  <si>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</si>
  <si>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</si>
  <si>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</si>
  <si>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</si>
  <si>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</si>
  <si>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</si>
  <si>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</si>
  <si>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</si>
  <si>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</si>
  <si>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</si>
  <si>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</si>
  <si>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</si>
  <si>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</si>
  <si>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</si>
  <si>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</si>
  <si>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</si>
  <si>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</si>
  <si>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</si>
  <si>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</si>
  <si>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</si>
  <si>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</si>
  <si>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</si>
  <si>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</si>
  <si>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</si>
  <si>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</si>
  <si>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</si>
  <si>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</si>
  <si>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</si>
  <si>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</si>
  <si>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</si>
  <si>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</si>
  <si>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</si>
  <si>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</si>
  <si>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</si>
  <si>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</si>
  <si>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</si>
  <si>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</si>
  <si>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</si>
  <si>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</si>
  <si>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</si>
  <si>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</si>
  <si>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</si>
  <si>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</si>
  <si>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</si>
  <si>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</si>
  <si>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</si>
  <si>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</si>
  <si>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</si>
  <si>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</si>
  <si>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</si>
  <si>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</si>
  <si>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</si>
  <si>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</si>
  <si>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</si>
  <si>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</si>
  <si>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</si>
  <si>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</si>
  <si>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</si>
  <si>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</si>
  <si>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</si>
  <si>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</si>
  <si>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</si>
  <si>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</si>
  <si>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</si>
  <si>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</si>
  <si>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</si>
  <si>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</si>
  <si>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</si>
  <si>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</si>
  <si>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</si>
  <si>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</si>
  <si>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</si>
  <si>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</si>
  <si>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</si>
  <si>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</si>
  <si>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</si>
  <si>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</si>
  <si>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</si>
  <si>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</si>
  <si>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</si>
  <si>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</si>
  <si>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</si>
  <si>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</si>
  <si>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</si>
  <si>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</si>
  <si>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</si>
  <si>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</si>
  <si>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</si>
  <si>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</si>
  <si>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</si>
  <si>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</si>
  <si>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</si>
  <si>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</si>
  <si>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</si>
  <si>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</si>
  <si>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</si>
  <si>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</si>
  <si>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</si>
  <si>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</si>
  <si>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</si>
  <si>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</si>
  <si>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</si>
  <si>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</si>
  <si>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</si>
  <si>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</si>
  <si>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</si>
  <si>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</si>
  <si>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</si>
  <si>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</si>
  <si>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</si>
  <si>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</si>
  <si>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</si>
  <si>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</si>
  <si>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</si>
  <si>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</si>
  <si>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</si>
  <si>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</si>
  <si>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</si>
  <si>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</si>
  <si>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</si>
  <si>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</si>
  <si>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</si>
  <si>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</si>
  <si>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</si>
  <si>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</si>
  <si>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</si>
  <si>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</si>
  <si>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</si>
  <si>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</si>
  <si>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</si>
  <si>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</si>
  <si>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</si>
  <si>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</si>
  <si>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</si>
  <si>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</si>
  <si>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</si>
  <si>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</si>
  <si>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</si>
  <si>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</si>
  <si>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</si>
  <si>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</si>
  <si>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</si>
  <si>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</si>
  <si>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</si>
  <si>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</si>
  <si>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</si>
  <si>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</si>
  <si>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</si>
  <si>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</si>
  <si>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</si>
  <si>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</si>
  <si>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</si>
  <si>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</si>
  <si>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</si>
  <si>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</si>
  <si>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</si>
  <si>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</si>
  <si>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</si>
  <si>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</si>
  <si>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</si>
  <si>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</si>
  <si>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</si>
  <si>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</si>
  <si>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</si>
  <si>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</si>
  <si>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</si>
  <si>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</si>
  <si>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</si>
  <si>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</si>
  <si>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</si>
  <si>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</si>
  <si>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</si>
  <si>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</si>
  <si>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</si>
  <si>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</si>
  <si>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</si>
  <si>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</si>
  <si>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</si>
  <si>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</si>
  <si>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</si>
  <si>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</si>
  <si>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</si>
  <si>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</si>
  <si>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</si>
  <si>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</si>
  <si>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</si>
  <si>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</si>
  <si>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</si>
  <si>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</si>
  <si>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</si>
  <si>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</si>
  <si>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</si>
  <si>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</si>
  <si>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</si>
  <si>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</si>
  <si>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</si>
  <si>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</si>
  <si>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</si>
  <si>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</si>
  <si>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</si>
  <si>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</si>
  <si>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</si>
  <si>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</si>
  <si>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</si>
  <si>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</si>
  <si>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</si>
  <si>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</si>
  <si>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</si>
  <si>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</si>
  <si>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</si>
  <si>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</si>
  <si>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</si>
  <si>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</si>
  <si>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</si>
  <si>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</si>
  <si>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</si>
  <si>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</si>
  <si>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</si>
  <si>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</si>
  <si>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</si>
  <si>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</si>
  <si>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</si>
  <si>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</si>
  <si>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</si>
  <si>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</si>
  <si>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</si>
  <si>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</si>
  <si>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</si>
  <si>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</si>
  <si>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</si>
  <si>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</si>
  <si>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</si>
  <si>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</si>
  <si>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</si>
  <si>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</si>
  <si>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</si>
  <si>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</si>
  <si>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</si>
  <si>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</si>
  <si>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</si>
  <si>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</si>
  <si>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</si>
  <si>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</si>
  <si>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</si>
  <si>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</si>
  <si>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</si>
  <si>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</si>
  <si>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</si>
  <si>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</si>
  <si>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</si>
  <si>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</si>
  <si>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</si>
  <si>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</si>
  <si>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</si>
  <si>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</si>
  <si>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</si>
  <si>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</si>
  <si>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</si>
  <si>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Orangeville Hydro Limited</t>
  </si>
  <si>
    <t>Organizational Costs Amortization and depreciation expense differemce</t>
  </si>
  <si>
    <t>Total deemed interest  (REGINFO CELL D62)</t>
  </si>
  <si>
    <t>PILs TAXES - EB-2011-0190</t>
  </si>
  <si>
    <t>Assessment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</si>
</sst>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3" fontId="0" fillId="40" borderId="14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3" fontId="0" fillId="0" borderId="14" xfId="0" applyNumberFormat="1" applyFill="1" applyBorder="1" applyAlignment="1" applyProtection="1">
      <alignment/>
      <protection/>
    </xf>
    <xf numFmtId="10" fontId="0" fillId="0" borderId="0" xfId="63" applyFont="1" applyAlignment="1" applyProtection="1">
      <alignment vertical="top"/>
      <protection locked="0"/>
    </xf>
    <xf numFmtId="10" fontId="0" fillId="44" borderId="14" xfId="0" applyNumberFormat="1" applyFill="1" applyBorder="1" applyAlignment="1" applyProtection="1" quotePrefix="1">
      <alignment horizontal="right" vertical="top"/>
      <protection/>
    </xf>
    <xf numFmtId="10" fontId="0" fillId="0" borderId="0" xfId="63" applyFont="1" applyFill="1" applyBorder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0" borderId="0" xfId="42" applyNumberFormat="1" applyFont="1" applyAlignment="1" applyProtection="1">
      <alignment horizontal="center"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502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499</v>
      </c>
      <c r="C3" s="8"/>
      <c r="D3" s="455" t="s">
        <v>447</v>
      </c>
      <c r="E3" s="8"/>
      <c r="F3" s="8"/>
      <c r="G3" s="8"/>
      <c r="H3" s="8"/>
    </row>
    <row r="4" spans="1:8" ht="12.75">
      <c r="A4" s="2" t="s">
        <v>486</v>
      </c>
      <c r="C4" s="8"/>
      <c r="D4" s="454" t="s">
        <v>442</v>
      </c>
      <c r="E4" s="428"/>
      <c r="H4" s="8"/>
    </row>
    <row r="5" spans="1:8" ht="12.75">
      <c r="A5" s="52"/>
      <c r="C5" s="8"/>
      <c r="D5" s="453" t="s">
        <v>443</v>
      </c>
      <c r="E5" s="398"/>
      <c r="H5" s="8"/>
    </row>
    <row r="6" spans="1:8" ht="12.75">
      <c r="A6" s="2" t="s">
        <v>126</v>
      </c>
      <c r="B6" s="388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89" t="s">
        <v>315</v>
      </c>
      <c r="C18" s="8"/>
      <c r="D18" s="8"/>
    </row>
    <row r="19" spans="1:4" ht="15" customHeight="1">
      <c r="A19" s="500" t="s">
        <v>316</v>
      </c>
      <c r="B19" s="8" t="s">
        <v>313</v>
      </c>
      <c r="C19" s="8" t="s">
        <v>64</v>
      </c>
      <c r="D19" s="388"/>
    </row>
    <row r="20" spans="1:4" ht="13.5" thickBot="1">
      <c r="A20" s="501"/>
      <c r="B20" s="8" t="s">
        <v>314</v>
      </c>
      <c r="C20" s="8" t="s">
        <v>64</v>
      </c>
      <c r="D20" s="258"/>
    </row>
    <row r="21" spans="1:4" ht="12.75">
      <c r="A21" s="500" t="s">
        <v>312</v>
      </c>
      <c r="B21" s="8" t="s">
        <v>313</v>
      </c>
      <c r="C21" s="8"/>
      <c r="D21" s="423">
        <v>1</v>
      </c>
    </row>
    <row r="22" spans="1:4" ht="12.75">
      <c r="A22" s="500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487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14146928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1211684.3832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343021</v>
      </c>
      <c r="E43" s="387">
        <f>D43</f>
        <v>343021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868663.3832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289554</v>
      </c>
      <c r="E47" s="387">
        <f aca="true" t="shared" si="0" ref="E47:E53">D47</f>
        <v>289554</v>
      </c>
      <c r="H47" s="40"/>
      <c r="J47" s="5"/>
      <c r="K47" s="5"/>
    </row>
    <row r="48" spans="1:11" ht="12.75">
      <c r="A48" t="s">
        <v>290</v>
      </c>
      <c r="D48" s="426">
        <v>289554</v>
      </c>
      <c r="E48" s="387">
        <f>D48</f>
        <v>289554</v>
      </c>
      <c r="F48" s="22"/>
      <c r="H48" s="40"/>
      <c r="J48" s="5"/>
      <c r="K48" s="5"/>
    </row>
    <row r="49" spans="1:11" ht="12.75">
      <c r="A49" t="s">
        <v>291</v>
      </c>
      <c r="D49" s="427">
        <v>289554</v>
      </c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439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461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922129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7073464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698858.2432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7073464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512826.13999999996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267727.3058960887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390276.4302393461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390276.4302393461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512826.13999999996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zoomScalePageLayoutView="0" workbookViewId="0" topLeftCell="A150">
      <selection activeCell="E181" sqref="E181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EB-2011-0190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463</v>
      </c>
      <c r="H1" s="210"/>
    </row>
    <row r="2" spans="1:8" ht="12.75">
      <c r="A2" s="211" t="s">
        <v>462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464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Orangeville Hydro Limited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922129</v>
      </c>
      <c r="D16" s="17"/>
      <c r="E16" s="267">
        <f>G16-C16</f>
        <v>564086</v>
      </c>
      <c r="F16" s="3"/>
      <c r="G16" s="267">
        <f>TAXREC!E50</f>
        <v>1486215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666532</v>
      </c>
      <c r="D20" s="18"/>
      <c r="E20" s="267">
        <f>G20-C20</f>
        <v>203101</v>
      </c>
      <c r="F20" s="6"/>
      <c r="G20" s="267">
        <f>TAXREC!E61</f>
        <v>869633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26765</v>
      </c>
      <c r="F21" s="6"/>
      <c r="G21" s="267">
        <f>TAXREC!E62</f>
        <v>26765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2" t="s">
        <v>395</v>
      </c>
      <c r="B30" s="127"/>
      <c r="C30" s="259"/>
      <c r="D30" s="18"/>
      <c r="E30" s="267">
        <f>G30-C30</f>
        <v>158294</v>
      </c>
      <c r="F30" s="6"/>
      <c r="G30" s="267">
        <f>TAXREC!E66</f>
        <v>158294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532223</v>
      </c>
      <c r="D33" s="132"/>
      <c r="E33" s="267">
        <f aca="true" t="shared" si="0" ref="E33:E42">G33-C33</f>
        <v>134239</v>
      </c>
      <c r="F33" s="6"/>
      <c r="G33" s="267">
        <f>TAXREC!E97+TAXREC!E98</f>
        <v>666462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390276.4302393461</v>
      </c>
      <c r="D37" s="132"/>
      <c r="E37" s="267">
        <f t="shared" si="0"/>
        <v>70081.56976065389</v>
      </c>
      <c r="F37" s="6"/>
      <c r="G37" s="267">
        <f>TAXREC!E51</f>
        <v>460358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395</v>
      </c>
      <c r="B48" s="127"/>
      <c r="C48" s="259"/>
      <c r="D48" s="132"/>
      <c r="E48" s="267">
        <f>G48-C48</f>
        <v>10275</v>
      </c>
      <c r="F48" s="6"/>
      <c r="G48" s="251">
        <f>TAXREC!E108</f>
        <v>10275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666161.5697606539</v>
      </c>
      <c r="D50" s="102"/>
      <c r="E50" s="263">
        <f>E16+SUM(E20:E30)-SUM(E33:E48)</f>
        <v>737650.4302393461</v>
      </c>
      <c r="F50" s="431" t="s">
        <v>367</v>
      </c>
      <c r="G50" s="263">
        <f>G16+SUM(G20:G30)-SUM(G33:G48)</f>
        <v>1403812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0.3412</v>
      </c>
      <c r="D53" s="102"/>
      <c r="E53" s="268">
        <f>+G53-C53</f>
        <v>0.019920715062075878</v>
      </c>
      <c r="F53" s="114"/>
      <c r="G53" s="473">
        <f>TAXREC!E151</f>
        <v>0.3611207150620759</v>
      </c>
      <c r="H53" s="151"/>
      <c r="I53" s="470" t="s">
        <v>473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227294.3276023351</v>
      </c>
      <c r="D55" s="102"/>
      <c r="E55" s="267">
        <f>G55-C55</f>
        <v>279651.26565038774</v>
      </c>
      <c r="F55" s="431" t="s">
        <v>368</v>
      </c>
      <c r="G55" s="264">
        <f>TAXREC!E144</f>
        <v>506945.5932527228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1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227294.3276023351</v>
      </c>
      <c r="D60" s="133"/>
      <c r="E60" s="269">
        <f>+E55-E58</f>
        <v>279651.26565038774</v>
      </c>
      <c r="F60" s="431" t="s">
        <v>368</v>
      </c>
      <c r="G60" s="269">
        <f>+G55-G58</f>
        <v>506945.5932527228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14146928</v>
      </c>
      <c r="D66" s="102"/>
      <c r="E66" s="267">
        <f>G66-C66</f>
        <v>4907685</v>
      </c>
      <c r="F66" s="6"/>
      <c r="G66" s="475">
        <v>19054613</v>
      </c>
      <c r="H66" s="151"/>
      <c r="I66" s="476" t="s">
        <v>474</v>
      </c>
    </row>
    <row r="67" spans="1:10" ht="12.75">
      <c r="A67" s="152" t="s">
        <v>360</v>
      </c>
      <c r="B67" s="125">
        <v>16</v>
      </c>
      <c r="C67" s="260">
        <f>IF(C66&gt;0,'Tax Rates'!C21,0)</f>
        <v>5000000</v>
      </c>
      <c r="D67" s="102"/>
      <c r="E67" s="267">
        <f>G67-C67</f>
        <v>-820995</v>
      </c>
      <c r="F67" s="6"/>
      <c r="G67" s="267">
        <v>4179005</v>
      </c>
      <c r="H67" s="151"/>
      <c r="I67" s="476" t="s">
        <v>474</v>
      </c>
      <c r="J67" s="477" t="s">
        <v>475</v>
      </c>
    </row>
    <row r="68" spans="1:8" ht="12.75">
      <c r="A68" s="152" t="s">
        <v>42</v>
      </c>
      <c r="B68" s="125"/>
      <c r="C68" s="264">
        <f>IF((C66-C67)&gt;0,C66-C67,0)</f>
        <v>9146928</v>
      </c>
      <c r="D68" s="102"/>
      <c r="E68" s="267">
        <f>SUM(E66:E67)</f>
        <v>4086690</v>
      </c>
      <c r="F68" s="114"/>
      <c r="G68" s="264">
        <f>G66-G67</f>
        <v>14875608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27440.784</v>
      </c>
      <c r="D72" s="101"/>
      <c r="E72" s="267">
        <f>+G72-C72</f>
        <v>17186.04</v>
      </c>
      <c r="F72" s="478"/>
      <c r="G72" s="264">
        <f>IF(G68&gt;0,G68*G70,0)*REGINFO!$B$6/REGINFO!$B$7</f>
        <v>44626.824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14146928</v>
      </c>
      <c r="D75" s="102"/>
      <c r="E75" s="267"/>
      <c r="F75" s="6"/>
      <c r="G75" s="475">
        <v>19054613</v>
      </c>
      <c r="H75" s="151"/>
      <c r="I75" s="476" t="s">
        <v>474</v>
      </c>
    </row>
    <row r="76" spans="1:9" ht="12.75">
      <c r="A76" s="152" t="s">
        <v>360</v>
      </c>
      <c r="B76" s="125">
        <v>19</v>
      </c>
      <c r="C76" s="260">
        <f>IF(C75&gt;0,'Tax Rates'!C22,0)</f>
        <v>10000000</v>
      </c>
      <c r="D76" s="18"/>
      <c r="E76" s="267"/>
      <c r="F76" s="6"/>
      <c r="G76" s="267">
        <v>50000000</v>
      </c>
      <c r="H76" s="151"/>
      <c r="I76" s="476" t="s">
        <v>474</v>
      </c>
    </row>
    <row r="77" spans="1:8" ht="12.75">
      <c r="A77" s="152" t="s">
        <v>42</v>
      </c>
      <c r="B77" s="125"/>
      <c r="C77" s="264">
        <f>IF((C75-C76)&gt;0,C75-C76,0)</f>
        <v>4146928</v>
      </c>
      <c r="D77" s="19"/>
      <c r="E77" s="267">
        <v>0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9330.588</v>
      </c>
      <c r="D81" s="102"/>
      <c r="E81" s="267">
        <f>+G81-C81</f>
        <v>-9330.588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7461.009581319324</v>
      </c>
      <c r="D82" s="102"/>
      <c r="E82" s="267">
        <f>+G82-C82</f>
        <v>-7461.009581319324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1869.578418680676</v>
      </c>
      <c r="D84" s="16"/>
      <c r="E84" s="267">
        <f>E81-E82</f>
        <v>-1869.578418680676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4">
        <f>C60/(1-C88)</f>
        <v>339245.26507811213</v>
      </c>
      <c r="D90" s="20"/>
      <c r="E90" s="139"/>
      <c r="F90" s="430" t="s">
        <v>489</v>
      </c>
      <c r="G90" s="270">
        <f>TAXREC!E156</f>
        <v>506945.5932527228</v>
      </c>
      <c r="H90" s="151"/>
    </row>
    <row r="91" spans="1:8" ht="12.75">
      <c r="A91" s="158" t="s">
        <v>370</v>
      </c>
      <c r="B91" s="127">
        <v>23</v>
      </c>
      <c r="C91" s="264">
        <f>C84/(1-C88)</f>
        <v>2790.415550269666</v>
      </c>
      <c r="D91" s="20"/>
      <c r="E91" s="139"/>
      <c r="F91" s="430" t="s">
        <v>489</v>
      </c>
      <c r="G91" s="270">
        <f>TAXREC!E158</f>
        <v>0</v>
      </c>
      <c r="H91" s="151"/>
    </row>
    <row r="92" spans="1:8" ht="12.75">
      <c r="A92" s="158" t="s">
        <v>348</v>
      </c>
      <c r="B92" s="127">
        <v>24</v>
      </c>
      <c r="C92" s="264">
        <f>C72</f>
        <v>27440.784</v>
      </c>
      <c r="D92" s="20"/>
      <c r="E92" s="139"/>
      <c r="F92" s="430" t="s">
        <v>489</v>
      </c>
      <c r="G92" s="270">
        <f>TAXREC!E157</f>
        <v>44627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479</v>
      </c>
      <c r="B95" s="125">
        <v>25</v>
      </c>
      <c r="C95" s="269">
        <f>SUM(C90:C93)</f>
        <v>369476.4646283818</v>
      </c>
      <c r="D95" s="6"/>
      <c r="E95" s="139"/>
      <c r="F95" s="430" t="s">
        <v>489</v>
      </c>
      <c r="G95" s="413">
        <f>SUM(G90:G94)</f>
        <v>551572.5932527229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26765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484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26765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488</v>
      </c>
      <c r="B122" s="127"/>
      <c r="C122" s="112"/>
      <c r="D122" s="3" t="s">
        <v>231</v>
      </c>
      <c r="E122" s="469">
        <f>+'Tax Rates'!F52</f>
        <v>0.3612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9667.518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9667.518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96">
        <v>0.35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6">
        <f>E128/(1-E130)</f>
        <v>14873.104615384615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666161.5697606539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96"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240617.55899754819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240617.55899754819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227294.3276023351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13323.231395213079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14146928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9146928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27440.784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27440.784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14146928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v>0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347</v>
      </c>
      <c r="B172" s="130"/>
      <c r="C172" s="112"/>
      <c r="D172" s="118" t="s">
        <v>188</v>
      </c>
      <c r="E172" s="305">
        <f>C84</f>
        <v>1869.578418680676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-1869.578418680676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0.35000000000000003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20497.279069558586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-2790.415550269666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5">
        <f>SUM(E177:E179)</f>
        <v>17706.86351928892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483</v>
      </c>
      <c r="B183" s="130"/>
      <c r="C183" s="112"/>
      <c r="D183" s="119" t="s">
        <v>187</v>
      </c>
      <c r="E183" s="485">
        <f>E132</f>
        <v>14873.104615384615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5">
        <f>E181+E183</f>
        <v>32579.968134673534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512826.13999999996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390276.4302393461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122549.70976065384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0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460358</v>
      </c>
      <c r="F201" s="3"/>
      <c r="G201" s="490"/>
      <c r="H201" s="164"/>
    </row>
    <row r="202" spans="1:8" ht="12.75">
      <c r="A202" s="498" t="s">
        <v>501</v>
      </c>
      <c r="B202" s="127"/>
      <c r="C202" s="112"/>
      <c r="D202" s="120"/>
      <c r="E202" s="494">
        <v>512826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485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122549.70976065384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09">
      <selection activeCell="C165" sqref="C16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EB-2011-0190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Orangeville Hydro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8">
        <f>Ratebase*REGINFO!D33*0.25%</f>
        <v>17683.66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15254056</v>
      </c>
      <c r="D31" s="286"/>
      <c r="E31" s="284">
        <f>C31-D31</f>
        <v>15254056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3808448</v>
      </c>
      <c r="D32" s="286"/>
      <c r="E32" s="284">
        <f>C32-D32</f>
        <v>3808448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/>
      <c r="D33" s="286"/>
      <c r="E33" s="284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338807</v>
      </c>
      <c r="D34" s="286">
        <v>85737</v>
      </c>
      <c r="E34" s="284">
        <f>C34-D34</f>
        <v>253070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15254056</v>
      </c>
      <c r="D39" s="286"/>
      <c r="E39" s="284">
        <f>C39-D39</f>
        <v>15254056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f>694286-C44</f>
        <v>649659</v>
      </c>
      <c r="D40" s="286"/>
      <c r="E40" s="284">
        <f aca="true" t="shared" si="0" ref="E40:E48">C40-D40</f>
        <v>649659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420186</v>
      </c>
      <c r="D41" s="286"/>
      <c r="E41" s="284">
        <f t="shared" si="0"/>
        <v>420186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591198</v>
      </c>
      <c r="D42" s="286"/>
      <c r="E42" s="284">
        <f t="shared" si="0"/>
        <v>591198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869633</v>
      </c>
      <c r="D43" s="286"/>
      <c r="E43" s="284">
        <f t="shared" si="0"/>
        <v>869633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44627</v>
      </c>
      <c r="D44" s="286"/>
      <c r="E44" s="284">
        <f t="shared" si="0"/>
        <v>44627</v>
      </c>
      <c r="F44" s="11"/>
      <c r="G44" s="11"/>
      <c r="H44" s="6"/>
      <c r="I44" s="6"/>
    </row>
    <row r="45" spans="1:11" ht="12.75">
      <c r="A45" s="4" t="s">
        <v>497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1571952</v>
      </c>
      <c r="D50" s="281">
        <f>SUM(D31:D36)-SUM(D39:D49)</f>
        <v>85737</v>
      </c>
      <c r="E50" s="281">
        <f>SUM(E31:E35)-SUM(E39:E48)</f>
        <v>1486215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460358</v>
      </c>
      <c r="D51" s="285"/>
      <c r="E51" s="282">
        <f>+C51-D51</f>
        <v>460358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540276</v>
      </c>
      <c r="D52" s="285"/>
      <c r="E52" s="283">
        <f>+C52-D52</f>
        <v>540276</v>
      </c>
      <c r="F52" s="8"/>
      <c r="G52" s="415" t="s">
        <v>481</v>
      </c>
    </row>
    <row r="53" spans="1:6" ht="12.75">
      <c r="A53" s="2" t="s">
        <v>131</v>
      </c>
      <c r="B53" s="8" t="s">
        <v>189</v>
      </c>
      <c r="C53" s="281">
        <f>C50-C51-C52</f>
        <v>571318</v>
      </c>
      <c r="D53" s="281">
        <f>D50-D51-D52</f>
        <v>85737</v>
      </c>
      <c r="E53" s="281">
        <f>E50-E51-E52</f>
        <v>485581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540276</v>
      </c>
      <c r="D59" s="287">
        <f>D52</f>
        <v>0</v>
      </c>
      <c r="E59" s="272">
        <f>+C59-D59</f>
        <v>540276</v>
      </c>
      <c r="F59" s="8"/>
      <c r="G59" s="415"/>
    </row>
    <row r="60" spans="1:6" ht="12.75">
      <c r="A60" s="4" t="s">
        <v>327</v>
      </c>
      <c r="B60" s="8" t="s">
        <v>187</v>
      </c>
      <c r="C60" s="317">
        <v>0</v>
      </c>
      <c r="D60" s="317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869633</v>
      </c>
      <c r="D61" s="287">
        <f>D43</f>
        <v>0</v>
      </c>
      <c r="E61" s="272">
        <f>+C61-D61</f>
        <v>869633</v>
      </c>
      <c r="F61" s="8"/>
      <c r="G61" s="415"/>
    </row>
    <row r="62" spans="1:6" ht="12.75">
      <c r="A62" t="s">
        <v>6</v>
      </c>
      <c r="B62" s="8" t="s">
        <v>187</v>
      </c>
      <c r="C62" s="317">
        <v>26765</v>
      </c>
      <c r="D62" s="287">
        <v>0</v>
      </c>
      <c r="E62" s="272">
        <f>+C62-D62</f>
        <v>26765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395</v>
      </c>
      <c r="B66" s="8"/>
      <c r="C66" s="446">
        <f>'TAXREC 3 No True-up'!C47</f>
        <v>158294</v>
      </c>
      <c r="D66" s="446">
        <f>'TAXREC 3 No True-up'!D47</f>
        <v>0</v>
      </c>
      <c r="E66" s="272">
        <f>+C66-D66</f>
        <v>158294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1594968</v>
      </c>
      <c r="D70" s="272">
        <f>SUM(D59:D68)</f>
        <v>0</v>
      </c>
      <c r="E70" s="272">
        <f>SUM(E59:E68)</f>
        <v>1594968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3">
        <v>0</v>
      </c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1594968</v>
      </c>
      <c r="D82" s="251">
        <f>D70+D80</f>
        <v>0</v>
      </c>
      <c r="E82" s="251">
        <f>E70+E80</f>
        <v>1594968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f>653571</f>
        <v>653571</v>
      </c>
      <c r="D97" s="294"/>
      <c r="E97" s="272">
        <f>+C97-D97</f>
        <v>653571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12891</v>
      </c>
      <c r="D98" s="294"/>
      <c r="E98" s="272">
        <f>+C98-D98</f>
        <v>12891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395</v>
      </c>
      <c r="B108" s="8"/>
      <c r="C108" s="254">
        <f>'TAXREC 3 No True-up'!C73</f>
        <v>10275</v>
      </c>
      <c r="D108" s="254">
        <f>'TAXREC 3 No True-up'!D73</f>
        <v>0</v>
      </c>
      <c r="E108" s="272">
        <f t="shared" si="5"/>
        <v>10275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676737</v>
      </c>
      <c r="D113" s="251">
        <f>SUM(D97:D111)</f>
        <v>0</v>
      </c>
      <c r="E113" s="251">
        <f>SUM(E97:E111)</f>
        <v>676737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676737</v>
      </c>
      <c r="D122" s="251">
        <f>D113+D120</f>
        <v>0</v>
      </c>
      <c r="E122" s="251">
        <f>+E113+E120</f>
        <v>676737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1489549</v>
      </c>
      <c r="D134" s="251">
        <f>D53+D82-D122</f>
        <v>85737</v>
      </c>
      <c r="E134" s="251">
        <f>E53+E82-E122</f>
        <v>1403812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1489549</v>
      </c>
      <c r="D139" s="252">
        <f>D134-D136-D137-D138</f>
        <v>85737</v>
      </c>
      <c r="E139" s="252">
        <f>E134-E136-E137-E138</f>
        <v>1403812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329489</v>
      </c>
      <c r="D142" s="487">
        <f>D139*C149</f>
        <v>18965.068213935898</v>
      </c>
      <c r="E142" s="252">
        <f>C142-D142</f>
        <v>310523.9317860641</v>
      </c>
      <c r="F142" s="8"/>
      <c r="G142" s="497">
        <f>E142/E139</f>
        <v>0.22120051102716326</v>
      </c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208418</v>
      </c>
      <c r="D143" s="487">
        <f>D139*C150</f>
        <v>11996.3385333413</v>
      </c>
      <c r="E143" s="292">
        <f>C143-D143</f>
        <v>196421.6614666587</v>
      </c>
      <c r="F143" s="8"/>
      <c r="G143" s="497">
        <f>E143/E139</f>
        <v>0.13992020403491257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537907</v>
      </c>
      <c r="D144" s="252">
        <f>D142+D143</f>
        <v>30961.4067472772</v>
      </c>
      <c r="E144" s="252">
        <f>E142+E143</f>
        <v>506945.5932527228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487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537907</v>
      </c>
      <c r="D146" s="252">
        <f>D144-D145</f>
        <v>30961.4067472772</v>
      </c>
      <c r="E146" s="252">
        <f>E144-E145</f>
        <v>506945.5932527228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C142/C139</f>
        <v>0.22120051102716326</v>
      </c>
      <c r="D149" s="495"/>
      <c r="E149" s="405">
        <f>C149</f>
        <v>0.22120051102716326</v>
      </c>
      <c r="F149" s="8"/>
      <c r="G149" s="484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f>C143/C139</f>
        <v>0.1399202040349126</v>
      </c>
      <c r="D150" s="495"/>
      <c r="E150" s="405">
        <f>C150</f>
        <v>0.1399202040349126</v>
      </c>
      <c r="F150" s="8"/>
      <c r="G150" s="484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0.3611207150620759</v>
      </c>
      <c r="D151" s="5"/>
      <c r="E151" s="405">
        <f>SUM(E149:E150)</f>
        <v>0.3611207150620759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478</v>
      </c>
      <c r="B155" s="8"/>
    </row>
    <row r="156" spans="1:5" ht="12.75">
      <c r="A156" t="s">
        <v>219</v>
      </c>
      <c r="B156" s="86" t="s">
        <v>187</v>
      </c>
      <c r="C156" s="251">
        <f>C146</f>
        <v>537907</v>
      </c>
      <c r="D156" s="251">
        <f>D146</f>
        <v>30961.4067472772</v>
      </c>
      <c r="E156" s="251">
        <f>E146</f>
        <v>506945.5932527228</v>
      </c>
    </row>
    <row r="157" spans="1:5" ht="12.75">
      <c r="A157" t="s">
        <v>20</v>
      </c>
      <c r="B157" s="86" t="s">
        <v>187</v>
      </c>
      <c r="C157" s="492">
        <v>44627</v>
      </c>
      <c r="D157" s="251"/>
      <c r="E157" s="251">
        <f>C157+D157</f>
        <v>44627</v>
      </c>
    </row>
    <row r="158" spans="1:5" ht="12.75">
      <c r="A158" t="s">
        <v>218</v>
      </c>
      <c r="B158" s="86" t="s">
        <v>187</v>
      </c>
      <c r="C158" s="480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582534</v>
      </c>
      <c r="D160" s="251">
        <f>D156+D157+D158</f>
        <v>30961.4067472772</v>
      </c>
      <c r="E160" s="251">
        <f>E156+E157+E158</f>
        <v>551572.5932527229</v>
      </c>
    </row>
    <row r="161" ht="12.75">
      <c r="C161" s="85"/>
    </row>
    <row r="162" spans="3:4" ht="12.75">
      <c r="C162" s="499">
        <v>582534</v>
      </c>
      <c r="D162" s="493" t="s">
        <v>503</v>
      </c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4">
      <selection activeCell="A12" sqref="A1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EB-2011-0190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Orangeville Hydro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449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449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19" sqref="C1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EB-2011-0190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465</v>
      </c>
      <c r="B5" s="8"/>
      <c r="C5" s="8" t="s">
        <v>2</v>
      </c>
      <c r="D5" s="8"/>
      <c r="E5" s="8"/>
      <c r="F5" s="8"/>
    </row>
    <row r="6" spans="1:6" ht="12.75">
      <c r="A6" s="415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Orangeville Hydro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9">
        <f>TAXREC!C13</f>
        <v>17683.66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450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476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477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2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51" sqref="C5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EB-2011-0190</v>
      </c>
    </row>
    <row r="3" spans="1:5" ht="12.75">
      <c r="A3" s="2" t="s">
        <v>385</v>
      </c>
      <c r="E3" s="92"/>
    </row>
    <row r="4" spans="1:6" ht="15.75">
      <c r="A4" s="464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Orangeville Hydro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>
        <v>30600</v>
      </c>
      <c r="D19" s="295"/>
      <c r="E19" s="312">
        <f aca="true" t="shared" si="0" ref="E19:E45">C19-D19</f>
        <v>30600</v>
      </c>
    </row>
    <row r="20" spans="1:5" ht="12.75">
      <c r="A20" t="s">
        <v>388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391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455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438</v>
      </c>
      <c r="B27" t="s">
        <v>187</v>
      </c>
      <c r="C27" s="295">
        <v>2342</v>
      </c>
      <c r="D27" s="295"/>
      <c r="E27" s="312">
        <f t="shared" si="0"/>
        <v>2342</v>
      </c>
    </row>
    <row r="28" spans="1:5" ht="12.75">
      <c r="A28" s="67" t="s">
        <v>390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433</v>
      </c>
      <c r="B32" t="s">
        <v>187</v>
      </c>
      <c r="C32" s="295">
        <v>2747</v>
      </c>
      <c r="D32" s="295"/>
      <c r="E32" s="312">
        <f t="shared" si="0"/>
        <v>2747</v>
      </c>
    </row>
    <row r="33" spans="1:5" ht="12.75">
      <c r="A33" s="67" t="s">
        <v>434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452</v>
      </c>
      <c r="C35" s="295"/>
      <c r="D35" s="295"/>
      <c r="E35" s="312">
        <f t="shared" si="0"/>
        <v>0</v>
      </c>
    </row>
    <row r="36" spans="1:5" ht="12.75">
      <c r="A36" s="67" t="s">
        <v>435</v>
      </c>
      <c r="C36" s="295"/>
      <c r="D36" s="295"/>
      <c r="E36" s="312">
        <f t="shared" si="0"/>
        <v>0</v>
      </c>
    </row>
    <row r="37" spans="1:5" ht="12.75">
      <c r="A37" s="67" t="s">
        <v>436</v>
      </c>
      <c r="C37" s="295"/>
      <c r="D37" s="295"/>
      <c r="E37" s="312">
        <f t="shared" si="0"/>
        <v>0</v>
      </c>
    </row>
    <row r="38" spans="1:5" ht="12.75">
      <c r="A38" s="81" t="s">
        <v>393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387</v>
      </c>
      <c r="B40" t="s">
        <v>187</v>
      </c>
      <c r="C40" s="295">
        <v>62060</v>
      </c>
      <c r="D40" s="295"/>
      <c r="E40" s="312">
        <f t="shared" si="0"/>
        <v>62060</v>
      </c>
    </row>
    <row r="41" spans="1:5" ht="12.75">
      <c r="A41" s="67"/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1:5" ht="12.75">
      <c r="A44" s="493" t="s">
        <v>500</v>
      </c>
      <c r="B44" t="s">
        <v>187</v>
      </c>
      <c r="C44" s="295">
        <f>54095+6450</f>
        <v>60545</v>
      </c>
      <c r="D44" s="294"/>
      <c r="E44" s="251">
        <f t="shared" si="0"/>
        <v>60545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9" t="s">
        <v>397</v>
      </c>
      <c r="B47" t="s">
        <v>189</v>
      </c>
      <c r="C47" s="251">
        <f>SUM(C19:C46)</f>
        <v>158294</v>
      </c>
      <c r="D47" s="251">
        <f>SUM(D19:D46)</f>
        <v>0</v>
      </c>
      <c r="E47" s="251">
        <f>SUM(E19:E46)</f>
        <v>158294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>
        <v>10275</v>
      </c>
      <c r="D54" s="294"/>
      <c r="E54" s="251">
        <f t="shared" si="1"/>
        <v>10275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8" t="s">
        <v>394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8" t="s">
        <v>387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498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396</v>
      </c>
      <c r="B73" s="8" t="s">
        <v>189</v>
      </c>
      <c r="C73" s="251">
        <f>SUM(C51:C72)</f>
        <v>10275</v>
      </c>
      <c r="D73" s="251">
        <f>SUM(D51:D72)</f>
        <v>0</v>
      </c>
      <c r="E73" s="251">
        <f>SUM(E51:E72)</f>
        <v>10275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0">
      <selection activeCell="E50" sqref="E5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EB-2011-0190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Orangeville Hydro Limited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8" t="s">
        <v>480</v>
      </c>
      <c r="B8" s="509"/>
      <c r="C8" s="509"/>
      <c r="D8" s="509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467</v>
      </c>
      <c r="B10" s="326"/>
      <c r="C10" s="375" t="s">
        <v>111</v>
      </c>
      <c r="D10" s="375"/>
      <c r="E10" s="375" t="s">
        <v>111</v>
      </c>
      <c r="F10" s="376" t="s">
        <v>482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471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472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2" t="s">
        <v>496</v>
      </c>
      <c r="B23" s="503"/>
      <c r="C23" s="503"/>
      <c r="D23" s="503"/>
      <c r="E23" s="503"/>
      <c r="F23" s="503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8" t="s">
        <v>492</v>
      </c>
      <c r="B26" s="509"/>
      <c r="C26" s="509"/>
      <c r="D26" s="509"/>
      <c r="E26" s="509"/>
      <c r="F26" s="509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441</v>
      </c>
      <c r="B28" s="326"/>
      <c r="C28" s="369" t="s">
        <v>111</v>
      </c>
      <c r="D28" s="369" t="s">
        <v>111</v>
      </c>
      <c r="E28" s="369" t="s">
        <v>111</v>
      </c>
      <c r="F28" s="370" t="s">
        <v>495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2004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2004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2004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2004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2004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2004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493</v>
      </c>
      <c r="B39" s="406" t="s">
        <v>471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494</v>
      </c>
      <c r="B40" s="407" t="s">
        <v>491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4" t="s">
        <v>335</v>
      </c>
      <c r="B41" s="503"/>
      <c r="C41" s="503"/>
      <c r="D41" s="503"/>
      <c r="E41" s="503"/>
      <c r="F41" s="50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5"/>
      <c r="B42" s="505"/>
      <c r="C42" s="505"/>
      <c r="D42" s="505"/>
      <c r="E42" s="505"/>
      <c r="F42" s="50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490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495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>
        <v>0.2212</v>
      </c>
      <c r="E50" s="352">
        <v>0.2229</v>
      </c>
      <c r="F50" s="352">
        <v>0.2212</v>
      </c>
      <c r="G50" s="194"/>
      <c r="H50" s="491">
        <v>0.2212</v>
      </c>
      <c r="I50" s="491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0.055</v>
      </c>
      <c r="D51" s="353">
        <v>0.055</v>
      </c>
      <c r="E51" s="354">
        <v>0.1377</v>
      </c>
      <c r="F51" s="354">
        <v>0.14</v>
      </c>
      <c r="G51" s="194"/>
      <c r="H51" s="491">
        <v>0.14</v>
      </c>
      <c r="I51" s="491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0.1862</v>
      </c>
      <c r="D52" s="331">
        <f>SUM(D50:D51)</f>
        <v>0.2762</v>
      </c>
      <c r="E52" s="332">
        <f>SUM(E50:E51)</f>
        <v>0.3606</v>
      </c>
      <c r="F52" s="332">
        <f>SUM(F50:F51)</f>
        <v>0.3612</v>
      </c>
      <c r="G52" s="194"/>
      <c r="H52" s="491">
        <f>+H50+H51</f>
        <v>0.3612</v>
      </c>
      <c r="I52" s="491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349</v>
      </c>
      <c r="B57" s="406" t="s">
        <v>471</v>
      </c>
      <c r="C57" s="361">
        <v>4684843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350</v>
      </c>
      <c r="B58" s="407" t="s">
        <v>491</v>
      </c>
      <c r="C58" s="362">
        <v>45995000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2" t="s">
        <v>351</v>
      </c>
      <c r="B59" s="506"/>
      <c r="C59" s="506"/>
      <c r="D59" s="506"/>
      <c r="E59" s="506"/>
      <c r="F59" s="50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7"/>
      <c r="B60" s="507"/>
      <c r="C60" s="507"/>
      <c r="D60" s="507"/>
      <c r="E60" s="507"/>
      <c r="F60" s="50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0">
      <selection activeCell="M17" sqref="M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EB-2011-0190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Orangeville Hydro Limited</v>
      </c>
      <c r="O3" s="416" t="str">
        <f>REGINFO!E1</f>
        <v>Version 2009.1</v>
      </c>
    </row>
    <row r="4" spans="1:15" ht="12.75">
      <c r="A4" s="2" t="str">
        <f>REGINFO!A4</f>
        <v>Reporting period:  2004</v>
      </c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398</v>
      </c>
      <c r="B12" s="66" t="s">
        <v>190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440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399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400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14873.104615384615</v>
      </c>
      <c r="N15" s="391"/>
      <c r="O15" s="396">
        <f t="shared" si="0"/>
        <v>14873.104615384615</v>
      </c>
    </row>
    <row r="16" spans="1:15" ht="27" customHeight="1">
      <c r="A16" s="81" t="s">
        <v>401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402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17706.86351928892</v>
      </c>
      <c r="N17" s="391"/>
      <c r="O17" s="396">
        <f t="shared" si="0"/>
        <v>17706.86351928892</v>
      </c>
    </row>
    <row r="18" spans="1:15" ht="25.5">
      <c r="A18" s="81" t="s">
        <v>403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404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470</v>
      </c>
      <c r="B20" s="66" t="s">
        <v>188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374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32579.968134673534</v>
      </c>
      <c r="N22" s="390"/>
      <c r="O22" s="450">
        <f>SUM(O11:O20)</f>
        <v>32579.968134673534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405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406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407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408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11" t="s">
        <v>409</v>
      </c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420"/>
      <c r="Q33" s="420"/>
      <c r="R33" s="420"/>
      <c r="S33" s="420"/>
    </row>
    <row r="34" spans="1:19" ht="12.75">
      <c r="A34" s="510" t="s">
        <v>410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420"/>
      <c r="Q34" s="420"/>
      <c r="R34" s="420"/>
      <c r="S34" s="420"/>
    </row>
    <row r="35" spans="1:19" ht="12.75">
      <c r="A35" s="510" t="s">
        <v>431</v>
      </c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420"/>
      <c r="Q35" s="420"/>
      <c r="R35" s="420"/>
      <c r="S35" s="420"/>
    </row>
    <row r="36" spans="1:19" ht="12.75">
      <c r="A36" s="510" t="s">
        <v>411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420"/>
      <c r="Q36" s="420"/>
      <c r="R36" s="420"/>
      <c r="S36" s="420"/>
    </row>
    <row r="37" spans="1:19" ht="12.75">
      <c r="A37" s="437" t="s">
        <v>371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372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412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413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414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415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416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417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418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419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420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422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423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424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425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381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426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427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383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382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384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428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429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430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10" t="s">
        <v>459</v>
      </c>
      <c r="B74" s="510"/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</row>
    <row r="75" spans="1:15" ht="12.75">
      <c r="A75" s="434" t="s">
        <v>373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10"/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9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Amy Long</cp:lastModifiedBy>
  <cp:lastPrinted>2011-07-07T18:02:45Z</cp:lastPrinted>
  <dcterms:created xsi:type="dcterms:W3CDTF">2001-11-07T16:15:53Z</dcterms:created>
  <dcterms:modified xsi:type="dcterms:W3CDTF">2011-10-14T16:55:15Z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