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<sst xmlns="http://schemas.openxmlformats.org/spreadsheetml/2006/main" count="853" uniqueCount="502">
  <si>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</si>
  <si>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</si>
  <si>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</si>
  <si>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</si>
  <si>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</si>
  <si>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</si>
  <si>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</si>
  <si>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</si>
  <si>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</si>
  <si>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</si>
  <si>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</si>
  <si>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</si>
  <si>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</si>
  <si>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</si>
  <si>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</si>
  <si>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</si>
  <si>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</si>
  <si>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</si>
  <si>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</si>
  <si>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</si>
  <si>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</si>
  <si>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</si>
  <si>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</si>
  <si>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</si>
  <si>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</si>
  <si>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</si>
  <si>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</si>
  <si>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</si>
  <si>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</si>
  <si>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</si>
  <si>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</si>
  <si>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</si>
  <si>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</si>
  <si>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</si>
  <si>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</si>
  <si>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</si>
  <si>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</si>
  <si>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</si>
  <si>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</si>
  <si>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</si>
  <si>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</si>
  <si>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</si>
  <si>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</si>
  <si>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</si>
  <si>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</si>
  <si>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</si>
  <si>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</si>
  <si>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</si>
  <si>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</si>
  <si>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</si>
  <si>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</si>
  <si>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</si>
  <si>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</si>
  <si>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</si>
  <si>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</si>
  <si>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</si>
  <si>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</si>
  <si>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</si>
  <si>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</si>
  <si>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</si>
  <si>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</si>
  <si>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</si>
  <si>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</si>
  <si>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</si>
  <si>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</si>
  <si>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</si>
  <si>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</si>
  <si>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</si>
  <si>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</si>
  <si>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</si>
  <si>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</si>
  <si>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</si>
  <si>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</si>
  <si>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</si>
  <si>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</si>
  <si>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</si>
  <si>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</si>
  <si>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</si>
  <si>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</si>
  <si>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</si>
  <si>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</si>
  <si>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</si>
  <si>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</si>
  <si>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</si>
  <si>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</si>
  <si>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</si>
  <si>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</si>
  <si>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</si>
  <si>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</si>
  <si>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</si>
  <si>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</si>
  <si>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</si>
  <si>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</si>
  <si>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</si>
  <si>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</si>
  <si>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</si>
  <si>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</si>
  <si>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</si>
  <si>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</si>
  <si>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</si>
  <si>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</si>
  <si>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</si>
  <si>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</si>
  <si>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</si>
  <si>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</si>
  <si>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</si>
  <si>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</si>
  <si>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</si>
  <si>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</si>
  <si>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</si>
  <si>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</si>
  <si>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</si>
  <si>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</si>
  <si>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</si>
  <si>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</si>
  <si>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</si>
  <si>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</si>
  <si>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</si>
  <si>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</si>
  <si>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</si>
  <si>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</si>
  <si>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</si>
  <si>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</si>
  <si>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</si>
  <si>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</si>
  <si>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</si>
  <si>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</si>
  <si>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</si>
  <si>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</si>
  <si>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</si>
  <si>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</si>
  <si>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</si>
  <si>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</si>
  <si>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</si>
  <si>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</si>
  <si>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</si>
  <si>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</si>
  <si>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</si>
  <si>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</si>
  <si>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</si>
  <si>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</si>
  <si>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</si>
  <si>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</si>
  <si>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</si>
  <si>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</si>
  <si>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</si>
  <si>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</si>
  <si>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</si>
  <si>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</si>
  <si>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</si>
  <si>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</si>
  <si>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</si>
  <si>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</si>
  <si>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</si>
  <si>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</si>
  <si>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</si>
  <si>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</si>
  <si>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</si>
  <si>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</si>
  <si>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</si>
  <si>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</si>
  <si>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</si>
  <si>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</si>
  <si>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</si>
  <si>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</si>
  <si>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</si>
  <si>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</si>
  <si>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</si>
  <si>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</si>
  <si>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</si>
  <si>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</si>
  <si>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</si>
  <si>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</si>
  <si>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</si>
  <si>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</si>
  <si>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</si>
  <si>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</si>
  <si>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</si>
  <si>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</si>
  <si>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</si>
  <si>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</si>
  <si>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</si>
  <si>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</si>
  <si>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</si>
  <si>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</si>
  <si>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</si>
  <si>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</si>
  <si>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</si>
  <si>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</si>
  <si>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</si>
  <si>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</si>
  <si>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</si>
  <si>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</si>
  <si>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</si>
  <si>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</si>
  <si>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</si>
  <si>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</si>
  <si>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</si>
  <si>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</si>
  <si>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</si>
  <si>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</si>
  <si>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</si>
  <si>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</si>
  <si>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</si>
  <si>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</si>
  <si>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</si>
  <si>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</si>
  <si>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</si>
  <si>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</si>
  <si>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</si>
  <si>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</si>
  <si>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</si>
  <si>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</si>
  <si>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</si>
  <si>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</si>
  <si>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</si>
  <si>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</si>
  <si>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</si>
  <si>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</si>
  <si>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</si>
  <si>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</si>
  <si>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</si>
  <si>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</si>
  <si>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</si>
  <si>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</si>
  <si>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</si>
  <si>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</si>
  <si>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</si>
  <si>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</si>
  <si>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</si>
  <si>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</si>
  <si>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</si>
  <si>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</si>
  <si>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</si>
  <si>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</si>
  <si>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</si>
  <si>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</si>
  <si>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</si>
  <si>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</si>
  <si>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</si>
  <si>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</si>
  <si>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</si>
  <si>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</si>
  <si>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</si>
  <si>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</si>
  <si>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</si>
  <si>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</si>
  <si>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</si>
  <si>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</si>
  <si>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</si>
  <si>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</si>
  <si>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</si>
  <si>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</si>
  <si>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</si>
  <si>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</si>
  <si>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</si>
  <si>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</si>
  <si>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</si>
  <si>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</si>
  <si>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</si>
  <si>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</si>
  <si>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</si>
  <si>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</si>
  <si>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</si>
  <si>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</si>
  <si>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</si>
  <si>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</si>
  <si>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</si>
  <si>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</si>
  <si>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</si>
  <si>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</si>
  <si>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</si>
  <si>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</si>
  <si>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</si>
  <si>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</si>
  <si>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</si>
  <si>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</si>
  <si>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</si>
  <si>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</si>
  <si>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</si>
  <si>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</si>
  <si>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</si>
  <si>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</si>
  <si>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</si>
  <si>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</si>
  <si>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</si>
  <si>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</si>
  <si>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</si>
  <si>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</si>
  <si>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</si>
  <si>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</si>
  <si>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</si>
  <si>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</si>
  <si>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</si>
  <si>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</si>
  <si>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</si>
  <si>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</si>
  <si>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</si>
  <si>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</si>
  <si>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</si>
  <si>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</si>
  <si>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</si>
  <si>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</si>
  <si>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</si>
  <si>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</si>
  <si>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</si>
  <si>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</si>
  <si>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</si>
  <si>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</si>
  <si>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</si>
  <si>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</si>
  <si>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</si>
  <si>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</si>
  <si>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</si>
  <si>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</si>
  <si>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</si>
  <si>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</si>
  <si>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</si>
  <si>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</si>
  <si>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</si>
  <si>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</si>
  <si>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</si>
  <si>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</si>
  <si>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</si>
  <si>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</si>
  <si>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</si>
  <si>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</si>
  <si>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</si>
  <si>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</si>
  <si>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</si>
  <si>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</si>
  <si>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</si>
  <si>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</si>
  <si>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</si>
  <si>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</si>
  <si>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</si>
  <si>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</si>
  <si>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</si>
  <si>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</si>
  <si>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</si>
  <si>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</si>
  <si>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</si>
  <si>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</si>
  <si>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</si>
  <si>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</si>
  <si>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</si>
  <si>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</si>
  <si>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</si>
  <si>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</si>
  <si>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</si>
  <si>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</si>
  <si>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</si>
  <si>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</si>
  <si>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</si>
  <si>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</si>
  <si>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</si>
  <si>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</si>
  <si>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</si>
  <si>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</si>
  <si>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</si>
  <si>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</si>
  <si>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</si>
  <si>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</si>
  <si>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</si>
  <si>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</si>
  <si>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</si>
  <si>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</si>
  <si>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</si>
  <si>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</si>
  <si>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</si>
  <si>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</si>
  <si>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</si>
  <si>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</si>
  <si>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</si>
  <si>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</si>
  <si>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</si>
  <si>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</si>
  <si>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</si>
  <si>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</si>
  <si>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</si>
  <si>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</si>
  <si>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</si>
  <si>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</si>
  <si>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</si>
  <si>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</si>
  <si>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</si>
  <si>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</si>
  <si>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</si>
  <si>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</si>
  <si>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</si>
  <si>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</si>
  <si>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</si>
  <si>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</si>
  <si>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</si>
  <si>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</si>
  <si>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</si>
  <si>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</si>
  <si>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</si>
  <si>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</si>
  <si>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</si>
  <si>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</si>
  <si>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</si>
  <si>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</si>
  <si>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</si>
  <si>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</si>
  <si>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</si>
  <si>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</si>
  <si>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</si>
  <si>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</si>
  <si>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</si>
  <si>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</si>
  <si>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</si>
  <si>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</si>
  <si>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</si>
  <si>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</si>
  <si>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</si>
  <si>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</si>
  <si>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</si>
  <si>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</si>
  <si>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</si>
  <si>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</si>
  <si>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</si>
  <si>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</si>
  <si>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</si>
  <si>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</si>
  <si>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</si>
  <si>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</si>
  <si>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</si>
  <si>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</si>
  <si>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</si>
  <si>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</si>
  <si>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</si>
  <si>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</si>
  <si>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</si>
  <si>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</si>
  <si>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</si>
  <si>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</si>
  <si>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</si>
  <si>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</si>
  <si>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</si>
  <si>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</si>
  <si>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</si>
  <si>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</si>
  <si>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</si>
  <si>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</si>
  <si>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</si>
  <si>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</si>
  <si>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</si>
  <si>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</si>
  <si>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</si>
  <si>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</si>
  <si>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</si>
  <si>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</si>
  <si>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</si>
  <si>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</si>
  <si>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</si>
  <si>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</si>
  <si>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</si>
  <si>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</si>
  <si>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</si>
  <si>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</si>
  <si>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</si>
  <si>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</si>
  <si>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</si>
  <si>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</si>
  <si>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</si>
  <si>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</si>
  <si>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</si>
  <si>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</si>
  <si>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</si>
  <si>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</si>
  <si>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</si>
  <si>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</si>
  <si>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</si>
  <si>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</si>
  <si>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</si>
  <si>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</si>
  <si>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</si>
  <si>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</si>
  <si>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</si>
  <si>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</si>
  <si>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New Category</t>
  </si>
  <si>
    <t>Ontario capital tax contained in tax provision</t>
  </si>
  <si>
    <t>Tax Rate dropped from 38.62 to 36.12</t>
  </si>
  <si>
    <t>Rate (as a result of legislative changes) tab 'Tax Rates' cell C36</t>
  </si>
  <si>
    <t>Rate - Tab Tax Rates cell C36</t>
  </si>
  <si>
    <t>Use new legislated rate for Taxable Income &gt; $1,128k less surtax</t>
  </si>
  <si>
    <t>(36.12 - 1.12)</t>
  </si>
  <si>
    <t>Grossed up regulatory income tax reduction true-up</t>
  </si>
  <si>
    <t>Total deemed Interest (REGINFO D62)</t>
  </si>
  <si>
    <t>Utility Name: Oshawa PUC Networks Inc.</t>
  </si>
  <si>
    <t xml:space="preserve">Income Tax Rate </t>
  </si>
  <si>
    <t xml:space="preserve">OM&amp;A Expenses per Financial Statements </t>
  </si>
  <si>
    <t>Ontario Specified Tax Cdedits</t>
  </si>
  <si>
    <t xml:space="preserve">tax/taxable income </t>
  </si>
  <si>
    <t>Incremental taxable income due to Financial Statement reserve differences</t>
  </si>
  <si>
    <t>true-up on Schedule 1 financial statement reserve adjustments</t>
  </si>
  <si>
    <t>No tax rate or exemption changes - no true-up</t>
  </si>
  <si>
    <t xml:space="preserve">Removes entire grossed up LCT included in rates </t>
  </si>
  <si>
    <t xml:space="preserve">Exemption increased from $10M to $50M resulting in zero payable </t>
  </si>
  <si>
    <t>Employee Future Benefits</t>
  </si>
  <si>
    <t xml:space="preserve">Sick Leave Vesting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</si>
</sst>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49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4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1" fillId="0" borderId="0" xfId="0" applyNumberFormat="1" applyFont="1" applyBorder="1" applyAlignment="1">
      <alignment horizontal="center" vertical="top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24" xfId="0" applyFont="1" applyFill="1" applyBorder="1" applyAlignment="1" applyProtection="1">
      <alignment vertical="top"/>
      <protection/>
    </xf>
    <xf numFmtId="0" fontId="64" fillId="0" borderId="24" xfId="0" applyFont="1" applyBorder="1" applyAlignment="1" applyProtection="1">
      <alignment vertical="top"/>
      <protection/>
    </xf>
    <xf numFmtId="0" fontId="65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2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451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490</v>
      </c>
      <c r="C3" s="8"/>
      <c r="D3" s="438" t="s">
        <v>437</v>
      </c>
      <c r="E3" s="8"/>
      <c r="F3" s="8"/>
      <c r="G3" s="8"/>
      <c r="H3" s="8"/>
    </row>
    <row r="4" spans="1:8" ht="12.75">
      <c r="A4" s="2" t="s">
        <v>471</v>
      </c>
      <c r="C4" s="8"/>
      <c r="D4" s="437" t="s">
        <v>432</v>
      </c>
      <c r="E4" s="411"/>
      <c r="H4" s="8"/>
    </row>
    <row r="5" spans="1:8" ht="12.75">
      <c r="A5" s="52"/>
      <c r="C5" s="8"/>
      <c r="D5" s="436" t="s">
        <v>433</v>
      </c>
      <c r="E5" s="382"/>
      <c r="H5" s="8"/>
    </row>
    <row r="6" spans="1:8" ht="12.75">
      <c r="A6" s="2" t="s">
        <v>125</v>
      </c>
      <c r="B6" s="372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3" t="s">
        <v>311</v>
      </c>
      <c r="C18" s="8"/>
      <c r="D18" s="8"/>
    </row>
    <row r="19" spans="1:4" ht="15" customHeight="1">
      <c r="A19" s="486" t="s">
        <v>312</v>
      </c>
      <c r="B19" s="8" t="s">
        <v>309</v>
      </c>
      <c r="C19" s="8" t="s">
        <v>63</v>
      </c>
      <c r="D19" s="372"/>
    </row>
    <row r="20" spans="1:4" ht="13.5" thickBot="1">
      <c r="A20" s="487"/>
      <c r="B20" s="8" t="s">
        <v>310</v>
      </c>
      <c r="C20" s="8" t="s">
        <v>63</v>
      </c>
      <c r="D20" s="257"/>
    </row>
    <row r="21" spans="1:4" ht="12.75">
      <c r="A21" s="486" t="s">
        <v>308</v>
      </c>
      <c r="B21" s="8" t="s">
        <v>309</v>
      </c>
      <c r="C21" s="8"/>
      <c r="D21" s="406">
        <v>1</v>
      </c>
    </row>
    <row r="22" spans="1:4" ht="12.75">
      <c r="A22" s="486"/>
      <c r="B22" s="8" t="s">
        <v>310</v>
      </c>
      <c r="C22" s="8"/>
      <c r="D22" s="406">
        <v>1</v>
      </c>
    </row>
    <row r="23" spans="1:4" ht="7.5" customHeight="1">
      <c r="A23" s="45"/>
      <c r="C23" s="8"/>
      <c r="D23" s="372"/>
    </row>
    <row r="24" spans="1:4" ht="12.75">
      <c r="A24" s="45" t="s">
        <v>211</v>
      </c>
      <c r="C24" s="8" t="s">
        <v>212</v>
      </c>
      <c r="D24" s="407" t="s">
        <v>472</v>
      </c>
    </row>
    <row r="25" ht="6.75" customHeight="1" thickBot="1">
      <c r="A25" s="12"/>
    </row>
    <row r="26" spans="1:5" ht="12.75">
      <c r="A26" s="254" t="s">
        <v>66</v>
      </c>
      <c r="C26" s="8"/>
      <c r="E26" s="426" t="s">
        <v>296</v>
      </c>
    </row>
    <row r="27" spans="1:5" ht="12.75">
      <c r="A27" s="255" t="s">
        <v>67</v>
      </c>
      <c r="C27" s="8"/>
      <c r="E27" s="427" t="s">
        <v>297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286</v>
      </c>
      <c r="D31" s="404">
        <v>52062025</v>
      </c>
      <c r="H31" s="5"/>
    </row>
    <row r="32" ht="6" customHeight="1"/>
    <row r="33" spans="1:8" ht="12.75">
      <c r="A33" t="s">
        <v>70</v>
      </c>
      <c r="D33" s="405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5">
        <v>0.0988</v>
      </c>
      <c r="H37" s="41"/>
    </row>
    <row r="38" ht="4.5" customHeight="1">
      <c r="H38" s="34"/>
    </row>
    <row r="39" spans="1:8" ht="12.75">
      <c r="A39" t="s">
        <v>73</v>
      </c>
      <c r="D39" s="405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4459112.44125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8">
        <v>28902</v>
      </c>
      <c r="E43" s="371">
        <f>D43</f>
        <v>28902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4430210.44125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9">
        <v>1476737</v>
      </c>
      <c r="E47" s="371">
        <f aca="true" t="shared" si="0" ref="E47:E53">D47</f>
        <v>1476737</v>
      </c>
      <c r="H47" s="40"/>
      <c r="J47" s="5"/>
      <c r="K47" s="5"/>
    </row>
    <row r="48" spans="1:11" ht="12.75">
      <c r="A48" t="s">
        <v>289</v>
      </c>
      <c r="D48" s="409">
        <v>1476737</v>
      </c>
      <c r="E48" s="371">
        <f>D48</f>
        <v>1476737</v>
      </c>
      <c r="F48" s="22"/>
      <c r="H48" s="40"/>
      <c r="J48" s="5"/>
      <c r="K48" s="5"/>
    </row>
    <row r="49" spans="1:11" ht="12.75">
      <c r="A49" t="s">
        <v>290</v>
      </c>
      <c r="D49" s="410"/>
      <c r="E49" s="371">
        <v>0</v>
      </c>
      <c r="F49" s="22"/>
      <c r="H49" s="40"/>
      <c r="J49" s="5"/>
      <c r="K49" s="5"/>
    </row>
    <row r="50" spans="1:11" ht="12.75">
      <c r="A50" t="s">
        <v>291</v>
      </c>
      <c r="D50" s="411"/>
      <c r="E50" s="371">
        <f t="shared" si="0"/>
        <v>0</v>
      </c>
      <c r="H50" s="40"/>
      <c r="J50" s="5"/>
      <c r="K50" s="5"/>
    </row>
    <row r="51" spans="1:11" ht="12.75">
      <c r="A51" t="s">
        <v>429</v>
      </c>
      <c r="D51" s="411"/>
      <c r="E51" s="371">
        <f t="shared" si="0"/>
        <v>0</v>
      </c>
      <c r="H51" s="40"/>
      <c r="J51" s="5"/>
      <c r="K51" s="5"/>
    </row>
    <row r="52" spans="1:11" ht="12.75">
      <c r="A52" t="s">
        <v>453</v>
      </c>
      <c r="D52" s="411"/>
      <c r="E52" s="371">
        <f t="shared" si="0"/>
        <v>0</v>
      </c>
      <c r="H52" s="40"/>
      <c r="J52" s="5"/>
      <c r="K52" s="5"/>
    </row>
    <row r="53" spans="4:11" ht="12.75">
      <c r="D53" s="411"/>
      <c r="E53" s="371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2982376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26031012.5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2571864.035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26031012.5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1887248.4062499998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637237.7553998831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1262243.199065966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1262243.199065966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438</v>
      </c>
      <c r="B70" s="5"/>
      <c r="C70" s="5"/>
      <c r="D70" s="252">
        <f>D62</f>
        <v>1887248.4062499998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PageLayoutView="0" workbookViewId="0" topLeftCell="A166">
      <selection activeCell="F182" sqref="F182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456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Oshawa PUC Networks Inc.</v>
      </c>
      <c r="B6" s="115"/>
      <c r="D6" s="137"/>
      <c r="E6" s="115"/>
      <c r="G6" s="115"/>
      <c r="H6" s="448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8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2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255</v>
      </c>
      <c r="B10" s="412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336</v>
      </c>
      <c r="B16" s="125">
        <v>1</v>
      </c>
      <c r="C16" s="258">
        <f>REGINFO!E54</f>
        <v>2982376</v>
      </c>
      <c r="D16" s="17"/>
      <c r="E16" s="266">
        <f>G16-C16</f>
        <v>3570624</v>
      </c>
      <c r="F16" s="3"/>
      <c r="G16" s="266">
        <f>TAXREC!E50</f>
        <v>6553000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3299926</v>
      </c>
      <c r="D20" s="18"/>
      <c r="E20" s="266">
        <f>G20-C20</f>
        <v>39074</v>
      </c>
      <c r="F20" s="6"/>
      <c r="G20" s="266">
        <f>TAXREC!E61</f>
        <v>3339000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7819342</v>
      </c>
      <c r="F23" s="6"/>
      <c r="G23" s="266">
        <f>TAXREC!E64</f>
        <v>7819342</v>
      </c>
      <c r="H23" s="151"/>
    </row>
    <row r="24" spans="1:8" ht="12.75">
      <c r="A24" s="158" t="s">
        <v>264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1000</v>
      </c>
      <c r="F29" s="6"/>
      <c r="G29" s="266">
        <f>TAXREC!E68</f>
        <v>1000</v>
      </c>
      <c r="H29" s="151"/>
    </row>
    <row r="30" spans="1:8" ht="15.75">
      <c r="A30" s="464" t="s">
        <v>385</v>
      </c>
      <c r="B30" s="127"/>
      <c r="C30" s="258"/>
      <c r="D30" s="18"/>
      <c r="E30" s="266">
        <f>G30-C30</f>
        <v>4634</v>
      </c>
      <c r="F30" s="6"/>
      <c r="G30" s="266">
        <f>TAXREC!E66</f>
        <v>4634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1968153</v>
      </c>
      <c r="D33" s="132"/>
      <c r="E33" s="266">
        <f aca="true" t="shared" si="0" ref="E33:E42">G33-C33</f>
        <v>861167</v>
      </c>
      <c r="F33" s="6"/>
      <c r="G33" s="266">
        <f>TAXREC!E97+TAXREC!E98</f>
        <v>2829320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1262243.199065966</v>
      </c>
      <c r="D37" s="132"/>
      <c r="E37" s="266">
        <f t="shared" si="0"/>
        <v>222756.80093403393</v>
      </c>
      <c r="F37" s="6"/>
      <c r="G37" s="266">
        <f>TAXREC!E51</f>
        <v>1485000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7685345</v>
      </c>
      <c r="F39" s="6"/>
      <c r="G39" s="266">
        <f>TAXREC!E105</f>
        <v>7685345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186772</v>
      </c>
      <c r="F42" s="6"/>
      <c r="G42" s="266">
        <f>TAXREC!E109</f>
        <v>186772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4" t="s">
        <v>385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3051905.800934034</v>
      </c>
      <c r="D50" s="102"/>
      <c r="E50" s="262">
        <f>E16+SUM(E20:E30)-SUM(E33:E48)</f>
        <v>2478633.1990659665</v>
      </c>
      <c r="F50" s="414" t="s">
        <v>358</v>
      </c>
      <c r="G50" s="262">
        <f>G16+SUM(G20:G30)-SUM(G33:G48)</f>
        <v>5530539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1">
        <f>IF($C$50&gt;'Tax Rates'!$E$11,'Tax Rates'!$F$16,IF($C$50&gt;'Tax Rates'!$C$11,'Tax Rates'!$E$16,'Tax Rates'!$C$16))</f>
        <v>0.3862</v>
      </c>
      <c r="D53" s="102"/>
      <c r="E53" s="267">
        <f>+G53-C53</f>
        <v>-0.02518093838593305</v>
      </c>
      <c r="F53" s="114"/>
      <c r="G53" s="456">
        <f>TAXREC!E151</f>
        <v>0.36101906161406694</v>
      </c>
      <c r="H53" s="151"/>
      <c r="I53" s="453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1178646.0203207238</v>
      </c>
      <c r="D55" s="102"/>
      <c r="E55" s="266">
        <f>G55-C55</f>
        <v>817983.9796792762</v>
      </c>
      <c r="F55" s="414" t="s">
        <v>359</v>
      </c>
      <c r="G55" s="263">
        <f>TAXREC!E144</f>
        <v>1996630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4" t="s">
        <v>359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1178646.0203207238</v>
      </c>
      <c r="D60" s="133"/>
      <c r="E60" s="268">
        <f>+E55-E58</f>
        <v>817983.9796792762</v>
      </c>
      <c r="F60" s="414" t="s">
        <v>359</v>
      </c>
      <c r="G60" s="268">
        <f>+G55-G58</f>
        <v>1996630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52062025</v>
      </c>
      <c r="D66" s="102"/>
      <c r="E66" s="266">
        <f>G66-C66</f>
        <v>30895323</v>
      </c>
      <c r="F66" s="6"/>
      <c r="G66" s="458">
        <v>82957348</v>
      </c>
      <c r="H66" s="151"/>
      <c r="I66" s="459"/>
    </row>
    <row r="67" spans="1:10" ht="12.75">
      <c r="A67" s="152" t="s">
        <v>351</v>
      </c>
      <c r="B67" s="125">
        <v>16</v>
      </c>
      <c r="C67" s="259">
        <f>IF(C66&gt;0,'Tax Rates'!C21,0)</f>
        <v>5000000</v>
      </c>
      <c r="D67" s="102"/>
      <c r="E67" s="266">
        <f>G67-C67</f>
        <v>-787667</v>
      </c>
      <c r="F67" s="6"/>
      <c r="G67" s="266">
        <v>4212333</v>
      </c>
      <c r="H67" s="151"/>
      <c r="I67" s="459"/>
      <c r="J67" s="473"/>
    </row>
    <row r="68" spans="1:8" ht="12.75">
      <c r="A68" s="152" t="s">
        <v>42</v>
      </c>
      <c r="B68" s="125"/>
      <c r="C68" s="263">
        <f>IF((C66-C67)&gt;0,C66-C67,0)</f>
        <v>47062025</v>
      </c>
      <c r="D68" s="102"/>
      <c r="E68" s="266">
        <f>SUM(E66:E67)</f>
        <v>30107656</v>
      </c>
      <c r="F68" s="114"/>
      <c r="G68" s="263">
        <f>G66-G67</f>
        <v>78745015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352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313</v>
      </c>
      <c r="B72" s="125"/>
      <c r="C72" s="263">
        <f>IF(C68&gt;0,C68*C70,0)*REGINFO!$B$6/REGINFO!$B$7</f>
        <v>141186.075</v>
      </c>
      <c r="D72" s="101"/>
      <c r="E72" s="266">
        <f>+G72-C72</f>
        <v>95048.96999999997</v>
      </c>
      <c r="F72" s="460"/>
      <c r="G72" s="263">
        <f>IF(G68&gt;0,G68*G70,0)*REGINFO!$B$6/REGINFO!$B$7</f>
        <v>236235.04499999998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52062025</v>
      </c>
      <c r="D75" s="102"/>
      <c r="E75" s="266">
        <f>+G75-C75</f>
        <v>13027833</v>
      </c>
      <c r="F75" s="6"/>
      <c r="G75" s="458">
        <v>65089858</v>
      </c>
      <c r="H75" s="151"/>
      <c r="I75" s="459"/>
    </row>
    <row r="76" spans="1:9" ht="12.75">
      <c r="A76" s="152" t="s">
        <v>351</v>
      </c>
      <c r="B76" s="125">
        <v>19</v>
      </c>
      <c r="C76" s="259">
        <f>IF(C75&gt;0,'Tax Rates'!C22,0)</f>
        <v>10000000</v>
      </c>
      <c r="D76" s="18"/>
      <c r="E76" s="266">
        <f>+G76-C76</f>
        <v>39270000</v>
      </c>
      <c r="F76" s="6"/>
      <c r="G76" s="266">
        <v>49270000</v>
      </c>
      <c r="H76" s="151"/>
      <c r="I76" s="459"/>
    </row>
    <row r="77" spans="1:8" ht="12.75">
      <c r="A77" s="152" t="s">
        <v>42</v>
      </c>
      <c r="B77" s="125"/>
      <c r="C77" s="263">
        <f>IF((C75-C76)&gt;0,C75-C76,0)</f>
        <v>42062025</v>
      </c>
      <c r="D77" s="19"/>
      <c r="E77" s="266">
        <f>SUM(E75:E76)</f>
        <v>52297833</v>
      </c>
      <c r="F77" s="114"/>
      <c r="G77" s="263">
        <f>IF(G76&gt;G75,0,G75-G76)</f>
        <v>15819858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352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94639.55625</v>
      </c>
      <c r="D81" s="102"/>
      <c r="E81" s="266">
        <f>+G81-C81</f>
        <v>-62999.840249999994</v>
      </c>
      <c r="F81" s="6"/>
      <c r="G81" s="263">
        <f>G77*G79*B9/B10</f>
        <v>31639.716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34181.34497046118</v>
      </c>
      <c r="D82" s="102"/>
      <c r="E82" s="266">
        <f>+G82-C82</f>
        <v>27760.691829538824</v>
      </c>
      <c r="F82" s="6"/>
      <c r="G82" s="299">
        <f>'Tax Rates'!C38*TAXREC!C134</f>
        <v>61942.0368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60458.21127953882</v>
      </c>
      <c r="D84" s="16"/>
      <c r="E84" s="266">
        <f>E81-E82</f>
        <v>-90760.53207953883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360</v>
      </c>
      <c r="B90" s="127">
        <v>22</v>
      </c>
      <c r="C90" s="263">
        <f>C60/(1-C88)</f>
        <v>1885833.632513158</v>
      </c>
      <c r="D90" s="20"/>
      <c r="E90" s="139"/>
      <c r="F90" s="413" t="s">
        <v>473</v>
      </c>
      <c r="G90" s="269">
        <f>TAXREC!E156</f>
        <v>1996630</v>
      </c>
      <c r="H90" s="151"/>
    </row>
    <row r="91" spans="1:8" ht="12.75">
      <c r="A91" s="158" t="s">
        <v>361</v>
      </c>
      <c r="B91" s="127">
        <v>23</v>
      </c>
      <c r="C91" s="263">
        <f>C84/(1-C88)</f>
        <v>96733.13804726211</v>
      </c>
      <c r="D91" s="20"/>
      <c r="E91" s="139"/>
      <c r="F91" s="413" t="s">
        <v>473</v>
      </c>
      <c r="G91" s="269">
        <f>TAXREC!E158</f>
        <v>0</v>
      </c>
      <c r="H91" s="151"/>
    </row>
    <row r="92" spans="1:8" ht="12.75">
      <c r="A92" s="158" t="s">
        <v>343</v>
      </c>
      <c r="B92" s="127">
        <v>24</v>
      </c>
      <c r="C92" s="263">
        <f>C72</f>
        <v>141186.075</v>
      </c>
      <c r="D92" s="20"/>
      <c r="E92" s="139"/>
      <c r="F92" s="413" t="s">
        <v>473</v>
      </c>
      <c r="G92" s="269">
        <f>TAXREC!E157</f>
        <v>236235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465</v>
      </c>
      <c r="B95" s="125">
        <v>25</v>
      </c>
      <c r="C95" s="268">
        <f>SUM(C90:C93)</f>
        <v>2123752.8455604203</v>
      </c>
      <c r="D95" s="6"/>
      <c r="E95" s="139"/>
      <c r="F95" s="413" t="s">
        <v>473</v>
      </c>
      <c r="G95" s="396">
        <f>SUM(G90:G94)</f>
        <v>2232865</v>
      </c>
      <c r="H95" s="164"/>
    </row>
    <row r="96" spans="1:8" ht="12.75">
      <c r="A96" s="387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7819342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354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355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353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469</v>
      </c>
      <c r="B112" s="127">
        <v>11</v>
      </c>
      <c r="C112" s="112"/>
      <c r="D112" s="3"/>
      <c r="E112" s="455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7685345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356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357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133997</v>
      </c>
      <c r="F120" s="37"/>
      <c r="G120" s="200"/>
      <c r="H120" s="164"/>
      <c r="I120" s="484" t="s">
        <v>495</v>
      </c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8" t="s">
        <v>491</v>
      </c>
      <c r="B122" s="127"/>
      <c r="C122" s="112"/>
      <c r="D122" s="3" t="s">
        <v>230</v>
      </c>
      <c r="E122" s="452">
        <f>'Tax Rates'!F34</f>
        <v>0.3612</v>
      </c>
      <c r="F122" s="453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48399.716400000005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48399.716400000005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311">
        <f>'Tax Rates'!F34-'Tax Rates'!C38</f>
        <v>0.35000000000000003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344</v>
      </c>
      <c r="B132" s="130"/>
      <c r="C132" s="112"/>
      <c r="D132" s="3"/>
      <c r="E132" s="467">
        <f>E128/(1-E130)</f>
        <v>74461.10215384616</v>
      </c>
      <c r="F132" s="37"/>
      <c r="G132" s="200"/>
      <c r="H132" s="164"/>
      <c r="I132" s="484" t="s">
        <v>496</v>
      </c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347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234</v>
      </c>
      <c r="B136" s="130"/>
      <c r="C136" s="112"/>
      <c r="D136" s="118" t="s">
        <v>188</v>
      </c>
      <c r="E136" s="301">
        <f>C50</f>
        <v>3051905.800934034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f>'Tax Rates'!F34</f>
        <v>0.3612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1102348.3752973732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1102348.3752973732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238</v>
      </c>
      <c r="B146" s="130"/>
      <c r="C146" s="112"/>
      <c r="D146" s="118" t="s">
        <v>187</v>
      </c>
      <c r="E146" s="301">
        <f>C60</f>
        <v>1178646.0203207238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E144-E146</f>
        <v>-76297.6450233506</v>
      </c>
      <c r="F148" s="37"/>
      <c r="G148" s="200"/>
      <c r="H148" s="164"/>
      <c r="I148" s="476" t="s">
        <v>483</v>
      </c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70" t="s">
        <v>20</v>
      </c>
      <c r="B150" s="130"/>
      <c r="C150" s="112"/>
      <c r="D150" s="119"/>
      <c r="E150" s="463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52062025</v>
      </c>
      <c r="F151" s="37"/>
      <c r="G151" s="200"/>
      <c r="H151" s="164"/>
    </row>
    <row r="152" spans="1:8" ht="12.75">
      <c r="A152" s="171" t="s">
        <v>350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47062025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7" t="s">
        <v>485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141186.075</v>
      </c>
      <c r="F157" s="37"/>
      <c r="G157" s="200"/>
      <c r="H157" s="164"/>
    </row>
    <row r="158" spans="1:8" ht="25.5">
      <c r="A158" s="171" t="s">
        <v>306</v>
      </c>
      <c r="B158" s="130"/>
      <c r="C158" s="112"/>
      <c r="D158" s="118" t="s">
        <v>187</v>
      </c>
      <c r="E158" s="304">
        <f>C72</f>
        <v>141186.075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7">
        <f>E157-E158</f>
        <v>0</v>
      </c>
      <c r="F159" s="37"/>
      <c r="G159" s="200"/>
      <c r="H159" s="164"/>
      <c r="I159" s="484" t="s">
        <v>497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0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52062025</v>
      </c>
      <c r="F162" s="37"/>
      <c r="G162" s="200"/>
      <c r="H162" s="164"/>
    </row>
    <row r="163" spans="1:9" ht="12.75">
      <c r="A163" s="171" t="s">
        <v>349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4" t="s">
        <v>499</v>
      </c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2062025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7" t="s">
        <v>484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6186.074999999999</v>
      </c>
      <c r="F168" s="37"/>
      <c r="G168" s="200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6">
        <f>'Tax Rates'!C38*TAXREC!C134</f>
        <v>61942.0368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7" t="s">
        <v>342</v>
      </c>
      <c r="B172" s="130"/>
      <c r="C172" s="112"/>
      <c r="D172" s="118" t="s">
        <v>187</v>
      </c>
      <c r="E172" s="304">
        <f>C84</f>
        <v>60458.21127953882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7">
        <f>E170-E172</f>
        <v>-60458.21127953882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340</v>
      </c>
      <c r="B175" s="130"/>
      <c r="C175" s="112"/>
      <c r="D175" s="119"/>
      <c r="E175" s="452">
        <f>'Tax Rates'!F34-'Tax Rates'!C38</f>
        <v>0.35000000000000003</v>
      </c>
      <c r="F175" s="453"/>
      <c r="G175" s="200"/>
      <c r="H175" s="164"/>
      <c r="I175" s="476" t="s">
        <v>486</v>
      </c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 t="s">
        <v>487</v>
      </c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-117380.99234361632</v>
      </c>
      <c r="F177" s="37"/>
      <c r="G177" s="200"/>
      <c r="H177" s="164"/>
      <c r="I177" s="476" t="s">
        <v>488</v>
      </c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-96733.13804726211</v>
      </c>
      <c r="F178" s="37"/>
      <c r="G178" s="200"/>
      <c r="H178" s="164"/>
      <c r="I178" s="476" t="s">
        <v>498</v>
      </c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345</v>
      </c>
      <c r="B181" s="130"/>
      <c r="C181" s="112"/>
      <c r="D181" s="119" t="s">
        <v>188</v>
      </c>
      <c r="E181" s="466">
        <f>SUM(E177:E179)</f>
        <v>-214114.13039087842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468</v>
      </c>
      <c r="B183" s="130"/>
      <c r="C183" s="112"/>
      <c r="D183" s="119" t="s">
        <v>186</v>
      </c>
      <c r="E183" s="466">
        <f>E132</f>
        <v>74461.10215384616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9" t="s">
        <v>346</v>
      </c>
      <c r="B185" s="130"/>
      <c r="C185" s="112"/>
      <c r="D185" s="119" t="s">
        <v>188</v>
      </c>
      <c r="E185" s="485">
        <f>E181+E183</f>
        <v>-139653.02823703224</v>
      </c>
      <c r="F185" s="37"/>
      <c r="G185" s="200"/>
      <c r="H185" s="164"/>
    </row>
    <row r="186" spans="1:8" ht="12.75">
      <c r="A186" s="480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1887248.4062499998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1262243.199065966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7">
        <f>E193-E194</f>
        <v>625005.2071840337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71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1671772</v>
      </c>
      <c r="F201" s="3"/>
      <c r="G201" s="471"/>
      <c r="H201" s="164"/>
    </row>
    <row r="202" spans="1:8" ht="12.75">
      <c r="A202" s="478" t="s">
        <v>489</v>
      </c>
      <c r="B202" s="127"/>
      <c r="C202" s="112"/>
      <c r="D202" s="120"/>
      <c r="E202" s="472">
        <f>REGINFO!D62</f>
        <v>1887248.4062499998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470</v>
      </c>
      <c r="B206" s="127"/>
      <c r="C206" s="112"/>
      <c r="D206" s="120"/>
      <c r="E206" s="454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625005.2071840337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3" horizontalDpi="600" verticalDpi="600" orientation="portrait" scale="47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view="pageBreakPreview" zoomScale="60" zoomScaleNormal="90" zoomScalePageLayoutView="0" workbookViewId="0" topLeftCell="A55">
      <selection activeCell="C154" sqref="C15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Oshawa PUC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8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9">
        <f>Ratebase*REGINFO!D33*0.0025</f>
        <v>65077.53125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3" t="s">
        <v>322</v>
      </c>
      <c r="B23" s="384"/>
      <c r="C23" s="385"/>
      <c r="D23" s="386"/>
      <c r="E23" s="28"/>
      <c r="F23" s="11"/>
      <c r="G23" s="11"/>
      <c r="H23" s="6"/>
      <c r="I23" s="6"/>
    </row>
    <row r="24" spans="1:9" ht="12.75">
      <c r="A24" s="383" t="s">
        <v>258</v>
      </c>
      <c r="B24" s="384"/>
      <c r="C24" s="385"/>
      <c r="D24" s="386"/>
      <c r="E24" s="28"/>
      <c r="F24" s="11"/>
      <c r="G24" s="11"/>
      <c r="H24" s="6"/>
      <c r="I24" s="6"/>
    </row>
    <row r="25" spans="1:9" ht="12.75">
      <c r="A25" s="383" t="s">
        <v>222</v>
      </c>
      <c r="B25" s="384"/>
      <c r="C25" s="385"/>
      <c r="D25" s="386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3" t="s">
        <v>320</v>
      </c>
      <c r="B27" s="384"/>
      <c r="C27" s="385"/>
      <c r="D27" s="386"/>
      <c r="E27" s="28"/>
      <c r="F27" s="11"/>
      <c r="G27" s="11"/>
      <c r="H27" s="6"/>
      <c r="I27" s="6"/>
    </row>
    <row r="28" spans="1:9" ht="12.75">
      <c r="A28" s="383" t="s">
        <v>321</v>
      </c>
      <c r="B28" s="384"/>
      <c r="C28" s="385"/>
      <c r="D28" s="38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>
        <v>81987000</v>
      </c>
      <c r="D31" s="285"/>
      <c r="E31" s="283">
        <f>C31-D31</f>
        <v>81987000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16321000</v>
      </c>
      <c r="D32" s="285"/>
      <c r="E32" s="283">
        <f>C32-D32</f>
        <v>16321000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1288000</v>
      </c>
      <c r="D33" s="285"/>
      <c r="E33" s="283">
        <f>C33-D33</f>
        <v>1288000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>
        <f>329000+393000</f>
        <v>722000</v>
      </c>
      <c r="D34" s="285"/>
      <c r="E34" s="283">
        <f>C34-D34</f>
        <v>722000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81987000</v>
      </c>
      <c r="D39" s="285"/>
      <c r="E39" s="283">
        <f>C39-D39</f>
        <v>81987000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/>
      <c r="D40" s="285"/>
      <c r="E40" s="283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/>
      <c r="D42" s="285"/>
      <c r="E42" s="283">
        <f t="shared" si="0"/>
        <v>0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v>3339000</v>
      </c>
      <c r="D43" s="285"/>
      <c r="E43" s="283">
        <f t="shared" si="0"/>
        <v>3339000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492</v>
      </c>
      <c r="B45" s="23" t="s">
        <v>187</v>
      </c>
      <c r="C45" s="284">
        <v>8439000</v>
      </c>
      <c r="D45" s="285"/>
      <c r="E45" s="283">
        <f t="shared" si="0"/>
        <v>8439000</v>
      </c>
      <c r="F45" s="11"/>
      <c r="G45" s="474" t="s">
        <v>481</v>
      </c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6553000</v>
      </c>
      <c r="D50" s="280">
        <f>SUM(D31:D36)-SUM(D39:D49)</f>
        <v>0</v>
      </c>
      <c r="E50" s="280">
        <f>SUM(E31:E35)-SUM(E39:E48)</f>
        <v>6553000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v>1485000</v>
      </c>
      <c r="D51" s="284"/>
      <c r="E51" s="281">
        <f>+C51-D51</f>
        <v>1485000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1999000</v>
      </c>
      <c r="D52" s="284"/>
      <c r="E52" s="282">
        <f>+C52-D52</f>
        <v>1999000</v>
      </c>
      <c r="F52" s="8"/>
      <c r="G52" s="398"/>
    </row>
    <row r="53" spans="1:6" ht="12.75">
      <c r="A53" s="2" t="s">
        <v>130</v>
      </c>
      <c r="B53" s="8" t="s">
        <v>188</v>
      </c>
      <c r="C53" s="280">
        <f>C50-C51-C52</f>
        <v>3069000</v>
      </c>
      <c r="D53" s="280">
        <f>D50-D51-D52</f>
        <v>0</v>
      </c>
      <c r="E53" s="280">
        <f>E50-E51-E52</f>
        <v>3069000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1999000</v>
      </c>
      <c r="D59" s="286">
        <f>D52</f>
        <v>0</v>
      </c>
      <c r="E59" s="271">
        <f>+C59-D59</f>
        <v>1999000</v>
      </c>
      <c r="F59" s="8"/>
      <c r="G59" s="398"/>
    </row>
    <row r="60" spans="1:6" ht="12.75">
      <c r="A60" s="4" t="s">
        <v>323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3339000</v>
      </c>
      <c r="D61" s="286">
        <f>D43</f>
        <v>0</v>
      </c>
      <c r="E61" s="271">
        <f>+C61-D61</f>
        <v>3339000</v>
      </c>
      <c r="F61" s="8"/>
      <c r="G61" s="398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7819342</v>
      </c>
      <c r="D64" s="316">
        <f>'Tax Reserves'!D63</f>
        <v>0</v>
      </c>
      <c r="E64" s="271">
        <f>+C64-D64</f>
        <v>7819342</v>
      </c>
      <c r="F64" s="8"/>
    </row>
    <row r="65" spans="1:6" ht="12.75">
      <c r="A65" t="s">
        <v>434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50" t="s">
        <v>385</v>
      </c>
      <c r="B66" s="8"/>
      <c r="C66" s="429">
        <f>'TAXREC 3 No True-up'!C47</f>
        <v>4634</v>
      </c>
      <c r="D66" s="429">
        <f>'TAXREC 3 No True-up'!D47</f>
        <v>0</v>
      </c>
      <c r="E66" s="271">
        <f>+C66-D66</f>
        <v>4634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1000</v>
      </c>
      <c r="D68" s="250">
        <f>'TAXREC 2'!D78</f>
        <v>0</v>
      </c>
      <c r="E68" s="271">
        <f>+C68-D68</f>
        <v>1000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13162976</v>
      </c>
      <c r="D70" s="271">
        <f>SUM(D59:D68)</f>
        <v>0</v>
      </c>
      <c r="E70" s="271">
        <f>SUM(E59:E68)</f>
        <v>13162976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5">
        <v>0</v>
      </c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13162976</v>
      </c>
      <c r="D82" s="250">
        <f>D70+D80</f>
        <v>0</v>
      </c>
      <c r="E82" s="250">
        <f>E70+E80</f>
        <v>13162976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422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2829320</v>
      </c>
      <c r="D97" s="293"/>
      <c r="E97" s="271">
        <f>+C97-D97</f>
        <v>2829320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8">
        <f>'Tax Reserves'!C50</f>
        <v>7685345</v>
      </c>
      <c r="D105" s="318">
        <f>'Tax Reserves'!D50</f>
        <v>0</v>
      </c>
      <c r="E105" s="281">
        <f t="shared" si="5"/>
        <v>7685345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0" t="s">
        <v>385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>
        <v>186772</v>
      </c>
      <c r="D109" s="293"/>
      <c r="E109" s="282">
        <f t="shared" si="5"/>
        <v>186772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10701437</v>
      </c>
      <c r="D113" s="250">
        <f>SUM(D97:D111)</f>
        <v>0</v>
      </c>
      <c r="E113" s="250">
        <f>SUM(E97:E111)</f>
        <v>10701437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5"/>
      <c r="B117" s="8" t="s">
        <v>187</v>
      </c>
      <c r="C117" s="293"/>
      <c r="D117" s="293"/>
      <c r="E117" s="271">
        <f>+C117-D117</f>
        <v>0</v>
      </c>
      <c r="F117" s="8"/>
      <c r="G117" s="481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10701437</v>
      </c>
      <c r="D122" s="250">
        <f>D113+D120</f>
        <v>0</v>
      </c>
      <c r="E122" s="250">
        <f>+E113+E120</f>
        <v>10701437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5530539</v>
      </c>
      <c r="D134" s="250">
        <f>D53+D82-D122</f>
        <v>0</v>
      </c>
      <c r="E134" s="250">
        <f>E53+E82-E122</f>
        <v>5530539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9"/>
      <c r="D137" s="309"/>
      <c r="E137" s="37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5530539</v>
      </c>
      <c r="D139" s="251">
        <f>D134-D136-D137-D138</f>
        <v>0</v>
      </c>
      <c r="E139" s="251">
        <f>E134-E136-E137-E138</f>
        <v>5530539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97">
        <v>1223355</v>
      </c>
      <c r="D142" s="468"/>
      <c r="E142" s="251">
        <f>C142-D142</f>
        <v>1223355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97">
        <v>773275</v>
      </c>
      <c r="D143" s="468"/>
      <c r="E143" s="291">
        <f>C143-D143</f>
        <v>773275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1996630</v>
      </c>
      <c r="D144" s="251"/>
      <c r="E144" s="251">
        <f>E142+E143</f>
        <v>1996630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7">
        <v>0</v>
      </c>
      <c r="D145" s="468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1">
        <f>C144-C145</f>
        <v>1996630</v>
      </c>
      <c r="D146" s="251">
        <f>D144-D145</f>
        <v>0</v>
      </c>
      <c r="E146" s="251">
        <f>E144-E145</f>
        <v>1996630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8">
        <f>C142/C134</f>
        <v>0.22119995899133882</v>
      </c>
      <c r="D149" s="5"/>
      <c r="E149" s="389">
        <f>C149</f>
        <v>0.22119995899133882</v>
      </c>
      <c r="F149" s="8"/>
      <c r="G149" s="483" t="s">
        <v>494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8">
        <f>C143/C139</f>
        <v>0.1398191026227281</v>
      </c>
      <c r="D150" s="5"/>
      <c r="E150" s="389">
        <f>C150</f>
        <v>0.1398191026227281</v>
      </c>
      <c r="F150" s="8"/>
      <c r="G150" s="483" t="s">
        <v>494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9">
        <f>SUM(C149:C150)</f>
        <v>0.36101906161406694</v>
      </c>
      <c r="D151" s="5"/>
      <c r="E151" s="389">
        <f>SUM(E149:E150)</f>
        <v>0.36101906161406694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6" t="s">
        <v>186</v>
      </c>
      <c r="C156" s="250">
        <f>C146</f>
        <v>1996630</v>
      </c>
      <c r="D156" s="250">
        <f>D146</f>
        <v>0</v>
      </c>
      <c r="E156" s="250">
        <f>E146</f>
        <v>1996630</v>
      </c>
    </row>
    <row r="157" spans="1:5" ht="12.75">
      <c r="A157" t="s">
        <v>20</v>
      </c>
      <c r="B157" s="86" t="s">
        <v>186</v>
      </c>
      <c r="C157" s="462">
        <v>236235</v>
      </c>
      <c r="D157" s="250"/>
      <c r="E157" s="250">
        <f>C157+D157</f>
        <v>236235</v>
      </c>
    </row>
    <row r="158" spans="1:5" ht="12.75">
      <c r="A158" t="s">
        <v>217</v>
      </c>
      <c r="B158" s="86" t="s">
        <v>186</v>
      </c>
      <c r="C158" s="462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0">
        <f>C156+C157+C158</f>
        <v>2232865</v>
      </c>
      <c r="D160" s="250">
        <f>D156+D157+D158</f>
        <v>0</v>
      </c>
      <c r="E160" s="250">
        <f>E156+E157+E158</f>
        <v>2232865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267716535433072" bottom="0.3937007874015748" header="0.2755905511811024" footer="0"/>
  <pageSetup fitToHeight="2" horizontalDpi="600" verticalDpi="600" orientation="portrait" scale="65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">
      <selection activeCell="I41" sqref="I4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Oshawa PUC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280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0">
        <f t="shared" si="0"/>
        <v>0</v>
      </c>
    </row>
    <row r="16" spans="1:5" ht="12.75">
      <c r="A16" s="61" t="s">
        <v>282</v>
      </c>
      <c r="B16" s="61"/>
      <c r="C16" s="293"/>
      <c r="D16" s="293"/>
      <c r="E16" s="250">
        <f t="shared" si="0"/>
        <v>0</v>
      </c>
    </row>
    <row r="17" spans="1:5" ht="12.75">
      <c r="A17" s="61" t="s">
        <v>283</v>
      </c>
      <c r="B17" s="61"/>
      <c r="C17" s="293"/>
      <c r="D17" s="293"/>
      <c r="E17" s="250">
        <f t="shared" si="0"/>
        <v>0</v>
      </c>
    </row>
    <row r="18" spans="1:5" ht="12.75">
      <c r="A18" s="61" t="s">
        <v>439</v>
      </c>
      <c r="B18" s="61"/>
      <c r="C18" s="293"/>
      <c r="D18" s="293"/>
      <c r="E18" s="250">
        <f t="shared" si="0"/>
        <v>0</v>
      </c>
    </row>
    <row r="19" spans="1:5" ht="12.75">
      <c r="A19" s="61" t="s">
        <v>439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280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0">
        <f t="shared" si="1"/>
        <v>0</v>
      </c>
    </row>
    <row r="28" spans="1:5" ht="12.75">
      <c r="A28" s="61" t="s">
        <v>282</v>
      </c>
      <c r="B28" s="61"/>
      <c r="C28" s="293"/>
      <c r="D28" s="293"/>
      <c r="E28" s="250">
        <f t="shared" si="1"/>
        <v>0</v>
      </c>
    </row>
    <row r="29" spans="1:5" ht="12.75">
      <c r="A29" s="61" t="s">
        <v>283</v>
      </c>
      <c r="B29" s="61"/>
      <c r="C29" s="293"/>
      <c r="D29" s="293"/>
      <c r="E29" s="250">
        <f t="shared" si="1"/>
        <v>0</v>
      </c>
    </row>
    <row r="30" spans="1:5" ht="12.75">
      <c r="A30" s="61" t="s">
        <v>439</v>
      </c>
      <c r="B30" s="61"/>
      <c r="C30" s="293"/>
      <c r="D30" s="293"/>
      <c r="E30" s="250">
        <f t="shared" si="1"/>
        <v>0</v>
      </c>
    </row>
    <row r="31" spans="1:5" ht="12.75">
      <c r="A31" s="61" t="s">
        <v>439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266</v>
      </c>
      <c r="B43" s="61"/>
      <c r="C43" s="293">
        <v>100000</v>
      </c>
      <c r="D43" s="293"/>
      <c r="E43" s="250">
        <f t="shared" si="2"/>
        <v>100000</v>
      </c>
    </row>
    <row r="44" spans="1:5" ht="12.75">
      <c r="A44" s="61" t="s">
        <v>267</v>
      </c>
      <c r="B44" s="61"/>
      <c r="C44" s="293"/>
      <c r="D44" s="293"/>
      <c r="E44" s="250">
        <f t="shared" si="2"/>
        <v>0</v>
      </c>
    </row>
    <row r="45" spans="1:5" ht="12.75">
      <c r="A45" s="61" t="s">
        <v>268</v>
      </c>
      <c r="B45" s="61"/>
      <c r="C45" s="293"/>
      <c r="D45" s="293"/>
      <c r="E45" s="250">
        <f t="shared" si="2"/>
        <v>0</v>
      </c>
    </row>
    <row r="46" spans="1:5" ht="12.75">
      <c r="A46" s="61" t="s">
        <v>269</v>
      </c>
      <c r="B46" s="61"/>
      <c r="C46" s="293"/>
      <c r="D46" s="293"/>
      <c r="E46" s="250">
        <f t="shared" si="2"/>
        <v>0</v>
      </c>
    </row>
    <row r="47" spans="1:5" ht="12.75">
      <c r="A47" s="61" t="s">
        <v>500</v>
      </c>
      <c r="B47" s="61"/>
      <c r="C47" s="293">
        <v>7215569</v>
      </c>
      <c r="D47" s="293"/>
      <c r="E47" s="250">
        <f t="shared" si="2"/>
        <v>7215569</v>
      </c>
    </row>
    <row r="48" spans="1:5" ht="12.75">
      <c r="A48" s="61" t="s">
        <v>501</v>
      </c>
      <c r="B48" s="61"/>
      <c r="C48" s="293">
        <v>369776</v>
      </c>
      <c r="D48" s="293"/>
      <c r="E48" s="250">
        <f t="shared" si="2"/>
        <v>369776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7685345</v>
      </c>
      <c r="D50" s="250">
        <f>SUM(D41:D49)</f>
        <v>0</v>
      </c>
      <c r="E50" s="250">
        <f>SUM(E41:E49)</f>
        <v>7685345</v>
      </c>
    </row>
    <row r="51" spans="3:5" ht="12.75">
      <c r="C51" s="22"/>
      <c r="D51" s="22"/>
      <c r="E51" s="22"/>
    </row>
    <row r="52" spans="1:5" ht="12.75">
      <c r="A52" s="246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1"/>
      <c r="C55" s="293">
        <v>100000</v>
      </c>
      <c r="D55" s="293"/>
      <c r="E55" s="250">
        <f t="shared" si="3"/>
        <v>100000</v>
      </c>
    </row>
    <row r="56" spans="1:5" ht="12.75">
      <c r="A56" s="245" t="s">
        <v>267</v>
      </c>
      <c r="B56" s="61"/>
      <c r="C56" s="293"/>
      <c r="D56" s="293"/>
      <c r="E56" s="250">
        <f t="shared" si="3"/>
        <v>0</v>
      </c>
    </row>
    <row r="57" spans="1:5" ht="12.75">
      <c r="A57" s="245" t="s">
        <v>268</v>
      </c>
      <c r="B57" s="61"/>
      <c r="C57" s="293"/>
      <c r="D57" s="293"/>
      <c r="E57" s="250">
        <f t="shared" si="3"/>
        <v>0</v>
      </c>
    </row>
    <row r="58" spans="1:5" ht="12.75">
      <c r="A58" s="245" t="s">
        <v>269</v>
      </c>
      <c r="B58" s="61"/>
      <c r="C58" s="293"/>
      <c r="D58" s="293"/>
      <c r="E58" s="250">
        <f t="shared" si="3"/>
        <v>0</v>
      </c>
    </row>
    <row r="59" spans="1:5" ht="12.75">
      <c r="A59" s="61" t="s">
        <v>500</v>
      </c>
      <c r="B59" s="61"/>
      <c r="C59" s="293">
        <v>7444370</v>
      </c>
      <c r="D59" s="293"/>
      <c r="E59" s="250">
        <f t="shared" si="3"/>
        <v>7444370</v>
      </c>
    </row>
    <row r="60" spans="1:5" ht="12.75">
      <c r="A60" s="61" t="s">
        <v>501</v>
      </c>
      <c r="B60" s="61"/>
      <c r="C60" s="293">
        <v>274972</v>
      </c>
      <c r="D60" s="293"/>
      <c r="E60" s="250">
        <f t="shared" si="3"/>
        <v>274972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7819342</v>
      </c>
      <c r="D63" s="250">
        <f>SUM(D53:D61)</f>
        <v>0</v>
      </c>
      <c r="E63" s="250">
        <f>SUM(E53:E61)</f>
        <v>7819342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28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C42" sqref="C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8" t="s">
        <v>457</v>
      </c>
      <c r="B5" s="8"/>
      <c r="C5" s="8" t="s">
        <v>2</v>
      </c>
      <c r="D5" s="8"/>
      <c r="E5" s="8"/>
      <c r="F5" s="8"/>
    </row>
    <row r="6" spans="1:6" ht="12.75">
      <c r="A6" s="398" t="s">
        <v>436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Oshawa PUC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70">
        <f>TAXREC!C13</f>
        <v>65077.53125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440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462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2" t="s">
        <v>493</v>
      </c>
      <c r="B41" t="s">
        <v>186</v>
      </c>
      <c r="C41" s="293">
        <v>1000</v>
      </c>
      <c r="D41" s="293"/>
      <c r="E41" s="250">
        <f t="shared" si="0"/>
        <v>1000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1000</v>
      </c>
      <c r="D46" s="250">
        <f>SUM(D17:D45)</f>
        <v>0</v>
      </c>
      <c r="E46" s="250">
        <f>SUM(E17:E45)</f>
        <v>1000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4">
        <f>C46-C77</f>
        <v>1000</v>
      </c>
      <c r="D78" s="314">
        <f>D46-D77</f>
        <v>0</v>
      </c>
      <c r="E78" s="314">
        <f>E46-E77</f>
        <v>1000</v>
      </c>
    </row>
    <row r="79" spans="1:5" ht="12.75">
      <c r="A79" s="275" t="s">
        <v>169</v>
      </c>
      <c r="B79" s="276"/>
      <c r="C79" s="314">
        <f>C77+C78</f>
        <v>1000</v>
      </c>
      <c r="D79" s="314">
        <f>D77+D78</f>
        <v>0</v>
      </c>
      <c r="E79" s="314">
        <f>E77+E78</f>
        <v>1000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7" t="s">
        <v>368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7" t="s">
        <v>463</v>
      </c>
      <c r="B96" s="8" t="s">
        <v>187</v>
      </c>
      <c r="C96" s="293">
        <v>0</v>
      </c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C33" sqref="C3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/>
      <c r="E3" s="92"/>
    </row>
    <row r="4" spans="1:6" ht="15.75">
      <c r="A4" s="447" t="s">
        <v>436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9" t="s">
        <v>376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Oshawa PUC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378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444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381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7" t="s">
        <v>382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445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428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380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379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423</v>
      </c>
      <c r="B32" t="s">
        <v>186</v>
      </c>
      <c r="C32" s="294">
        <v>4634</v>
      </c>
      <c r="D32" s="294"/>
      <c r="E32" s="312">
        <f t="shared" si="0"/>
        <v>4634</v>
      </c>
    </row>
    <row r="33" spans="1:5" ht="12.75">
      <c r="A33" s="67" t="s">
        <v>424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441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1" t="s">
        <v>442</v>
      </c>
      <c r="C35" s="294"/>
      <c r="D35" s="294"/>
      <c r="E35" s="312">
        <f t="shared" si="0"/>
        <v>0</v>
      </c>
    </row>
    <row r="36" spans="1:5" ht="12.75">
      <c r="A36" s="67" t="s">
        <v>425</v>
      </c>
      <c r="C36" s="294"/>
      <c r="D36" s="294"/>
      <c r="E36" s="312">
        <f t="shared" si="0"/>
        <v>0</v>
      </c>
    </row>
    <row r="37" spans="1:5" ht="12.75">
      <c r="A37" s="67" t="s">
        <v>426</v>
      </c>
      <c r="C37" s="294"/>
      <c r="D37" s="294"/>
      <c r="E37" s="312">
        <f t="shared" si="0"/>
        <v>0</v>
      </c>
    </row>
    <row r="38" spans="1:5" ht="12.75">
      <c r="A38" s="81" t="s">
        <v>383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81" t="s">
        <v>377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67" t="s">
        <v>448</v>
      </c>
      <c r="B41" t="s">
        <v>186</v>
      </c>
      <c r="C41" s="294"/>
      <c r="D41" s="294"/>
      <c r="E41" s="312">
        <f t="shared" si="0"/>
        <v>0</v>
      </c>
    </row>
    <row r="42" spans="2:5" ht="12.75">
      <c r="B42" t="s">
        <v>186</v>
      </c>
      <c r="C42" s="294"/>
      <c r="D42" s="294"/>
      <c r="E42" s="312">
        <f t="shared" si="0"/>
        <v>0</v>
      </c>
    </row>
    <row r="43" spans="1:5" ht="12.75">
      <c r="A43" s="68" t="s">
        <v>203</v>
      </c>
      <c r="B43" t="s">
        <v>186</v>
      </c>
      <c r="C43" s="294"/>
      <c r="D43" s="294"/>
      <c r="E43" s="312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2:5" ht="12.75">
      <c r="B45" t="s">
        <v>186</v>
      </c>
      <c r="C45" s="293"/>
      <c r="D45" s="293"/>
      <c r="E45" s="250">
        <f t="shared" si="0"/>
        <v>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2" t="s">
        <v>387</v>
      </c>
      <c r="B47" t="s">
        <v>188</v>
      </c>
      <c r="C47" s="250">
        <f>SUM(C19:C46)</f>
        <v>4634</v>
      </c>
      <c r="D47" s="250">
        <f>SUM(D19:D46)</f>
        <v>0</v>
      </c>
      <c r="E47" s="250">
        <f>SUM(E19:E46)</f>
        <v>4634</v>
      </c>
    </row>
    <row r="48" ht="12.75">
      <c r="A48" s="67"/>
    </row>
    <row r="49" ht="12.75">
      <c r="A49" s="81" t="s">
        <v>144</v>
      </c>
    </row>
    <row r="51" spans="1:5" ht="12.75">
      <c r="A51" s="71" t="s">
        <v>378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444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379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427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7" t="s">
        <v>435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447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443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446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5" t="s">
        <v>482</v>
      </c>
      <c r="B59" s="8" t="s">
        <v>187</v>
      </c>
      <c r="C59" s="293"/>
      <c r="D59" s="293"/>
      <c r="E59" s="250">
        <f t="shared" si="1"/>
        <v>0</v>
      </c>
    </row>
    <row r="60" spans="1:5" ht="12.75">
      <c r="A60" s="451" t="s">
        <v>384</v>
      </c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1:5" ht="12.75">
      <c r="A62" s="451" t="s">
        <v>377</v>
      </c>
      <c r="B62" s="8" t="s">
        <v>187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50">
        <f t="shared" si="2"/>
        <v>0</v>
      </c>
    </row>
    <row r="64" spans="1:5" ht="12.75">
      <c r="A64" t="s">
        <v>480</v>
      </c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 t="s">
        <v>204</v>
      </c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31" t="s">
        <v>386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8" t="str">
        <f>REGINFO!A1</f>
        <v>PILs TAXES - EB-2008-381</v>
      </c>
      <c r="B1" s="369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Oshawa PUC Networks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3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2" t="s">
        <v>466</v>
      </c>
      <c r="B8" s="493"/>
      <c r="C8" s="493"/>
      <c r="D8" s="493"/>
      <c r="E8" s="341"/>
      <c r="F8" s="366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8">
        <v>0</v>
      </c>
      <c r="D9" s="358"/>
      <c r="E9" s="358">
        <v>200001</v>
      </c>
      <c r="F9" s="359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458</v>
      </c>
      <c r="B10" s="326"/>
      <c r="C10" s="360" t="s">
        <v>110</v>
      </c>
      <c r="D10" s="360"/>
      <c r="E10" s="360" t="s">
        <v>110</v>
      </c>
      <c r="F10" s="361" t="s">
        <v>467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2">
        <v>200000</v>
      </c>
      <c r="D11" s="362"/>
      <c r="E11" s="362">
        <v>700000</v>
      </c>
      <c r="F11" s="363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299</v>
      </c>
      <c r="B13" s="392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298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302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259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328</v>
      </c>
      <c r="B21" s="390" t="s">
        <v>460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329</v>
      </c>
      <c r="B22" s="391" t="s">
        <v>461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88" t="s">
        <v>479</v>
      </c>
      <c r="B23" s="489"/>
      <c r="C23" s="489"/>
      <c r="D23" s="489"/>
      <c r="E23" s="489"/>
      <c r="F23" s="489"/>
      <c r="G23" s="421"/>
      <c r="H23" s="403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4"/>
      <c r="B24" s="395"/>
      <c r="C24" s="395"/>
      <c r="D24" s="395"/>
      <c r="E24" s="395"/>
      <c r="F24" s="395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4"/>
      <c r="B25" s="365"/>
      <c r="C25" s="367"/>
      <c r="D25" s="341"/>
      <c r="E25" s="341"/>
      <c r="F25" s="393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2" t="s">
        <v>475</v>
      </c>
      <c r="B26" s="493"/>
      <c r="C26" s="493"/>
      <c r="D26" s="493"/>
      <c r="E26" s="493"/>
      <c r="F26" s="493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>
        <v>0</v>
      </c>
      <c r="D27" s="352">
        <v>250001</v>
      </c>
      <c r="E27" s="352">
        <v>400001</v>
      </c>
      <c r="F27" s="353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431</v>
      </c>
      <c r="B28" s="326"/>
      <c r="C28" s="354" t="s">
        <v>110</v>
      </c>
      <c r="D28" s="354" t="s">
        <v>110</v>
      </c>
      <c r="E28" s="354" t="s">
        <v>110</v>
      </c>
      <c r="F28" s="355" t="s">
        <v>478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6">
        <v>250000</v>
      </c>
      <c r="D29" s="356">
        <v>400000</v>
      </c>
      <c r="E29" s="356">
        <v>1128000</v>
      </c>
      <c r="F29" s="357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2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298</v>
      </c>
      <c r="B32" s="392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2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259</v>
      </c>
      <c r="B34" s="392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2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2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2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476</v>
      </c>
      <c r="B39" s="390" t="s">
        <v>460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477</v>
      </c>
      <c r="B40" s="391" t="s">
        <v>474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0" t="s">
        <v>331</v>
      </c>
      <c r="B41" s="489"/>
      <c r="C41" s="489"/>
      <c r="D41" s="489"/>
      <c r="E41" s="489"/>
      <c r="F41" s="489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1"/>
      <c r="B42" s="491"/>
      <c r="C42" s="491"/>
      <c r="D42" s="491"/>
      <c r="E42" s="491"/>
      <c r="F42" s="491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V19" sqref="V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449</v>
      </c>
      <c r="B2" s="2"/>
    </row>
    <row r="3" spans="1:15" ht="12.75">
      <c r="A3" s="2" t="s">
        <v>490</v>
      </c>
      <c r="O3" s="399" t="str">
        <f>REGINFO!E1</f>
        <v>Version 2009.1</v>
      </c>
    </row>
    <row r="4" spans="1:15" ht="12.75">
      <c r="A4" s="2" t="str">
        <f>REGINFO!A4</f>
        <v>Reporting period:  2004</v>
      </c>
      <c r="E4" s="400" t="s">
        <v>317</v>
      </c>
      <c r="F4" s="382"/>
      <c r="G4" s="382"/>
      <c r="H4" s="382"/>
      <c r="I4" s="382"/>
      <c r="O4" s="39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6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8">
        <v>0</v>
      </c>
      <c r="D11" s="374"/>
      <c r="E11" s="380">
        <f>C22</f>
        <v>0</v>
      </c>
      <c r="F11" s="402"/>
      <c r="G11" s="380">
        <f>E22</f>
        <v>0</v>
      </c>
      <c r="H11" s="402"/>
      <c r="I11" s="380">
        <f>G22</f>
        <v>0</v>
      </c>
      <c r="J11" s="374"/>
      <c r="K11" s="380">
        <f>I22</f>
        <v>0</v>
      </c>
      <c r="L11" s="374"/>
      <c r="M11" s="380">
        <f>K22</f>
        <v>0</v>
      </c>
      <c r="N11" s="374"/>
      <c r="O11" s="380">
        <f>C11</f>
        <v>0</v>
      </c>
    </row>
    <row r="12" spans="1:15" ht="27" customHeight="1">
      <c r="A12" s="81" t="s">
        <v>388</v>
      </c>
      <c r="B12" s="66" t="s">
        <v>189</v>
      </c>
      <c r="C12" s="379"/>
      <c r="D12" s="375"/>
      <c r="E12" s="379"/>
      <c r="F12" s="95"/>
      <c r="G12" s="401">
        <f>C12+E12</f>
        <v>0</v>
      </c>
      <c r="H12" s="95"/>
      <c r="I12" s="401">
        <f>(E12/12*9)+(G12/12*3)</f>
        <v>0</v>
      </c>
      <c r="J12" s="375"/>
      <c r="K12" s="401">
        <f>E12/12*3</f>
        <v>0</v>
      </c>
      <c r="L12" s="375"/>
      <c r="M12" s="401">
        <f>K13/9*12/4</f>
        <v>0</v>
      </c>
      <c r="N12" s="375"/>
      <c r="O12" s="380">
        <f aca="true" t="shared" si="0" ref="O12:O20">SUM(C12:N12)</f>
        <v>0</v>
      </c>
    </row>
    <row r="13" spans="1:15" ht="27" customHeight="1">
      <c r="A13" s="81" t="s">
        <v>430</v>
      </c>
      <c r="B13" s="66"/>
      <c r="C13" s="401"/>
      <c r="D13" s="375"/>
      <c r="E13" s="401"/>
      <c r="F13" s="95"/>
      <c r="G13" s="401"/>
      <c r="H13" s="95"/>
      <c r="I13" s="401"/>
      <c r="J13" s="375"/>
      <c r="K13" s="379"/>
      <c r="L13" s="375"/>
      <c r="M13" s="401"/>
      <c r="N13" s="375"/>
      <c r="O13" s="380">
        <f t="shared" si="0"/>
        <v>0</v>
      </c>
    </row>
    <row r="14" spans="1:15" ht="25.5">
      <c r="A14" s="81" t="s">
        <v>389</v>
      </c>
      <c r="B14" s="66" t="s">
        <v>189</v>
      </c>
      <c r="C14" s="379"/>
      <c r="D14" s="375"/>
      <c r="E14" s="379"/>
      <c r="F14" s="95"/>
      <c r="G14" s="379"/>
      <c r="H14" s="95"/>
      <c r="I14" s="379"/>
      <c r="J14" s="375"/>
      <c r="K14" s="379"/>
      <c r="L14" s="375"/>
      <c r="M14" s="379"/>
      <c r="N14" s="375"/>
      <c r="O14" s="380">
        <f t="shared" si="0"/>
        <v>0</v>
      </c>
    </row>
    <row r="15" spans="1:15" ht="27" customHeight="1">
      <c r="A15" s="81" t="s">
        <v>390</v>
      </c>
      <c r="B15" s="66" t="s">
        <v>189</v>
      </c>
      <c r="C15" s="379"/>
      <c r="D15" s="375"/>
      <c r="E15" s="379"/>
      <c r="F15" s="95"/>
      <c r="G15" s="379"/>
      <c r="H15" s="95"/>
      <c r="I15" s="379"/>
      <c r="J15" s="375"/>
      <c r="K15" s="379"/>
      <c r="L15" s="375"/>
      <c r="M15" s="401">
        <f>TAXCALC!E132</f>
        <v>74461.10215384616</v>
      </c>
      <c r="N15" s="375"/>
      <c r="O15" s="380">
        <f t="shared" si="0"/>
        <v>74461.10215384616</v>
      </c>
    </row>
    <row r="16" spans="1:15" ht="27" customHeight="1">
      <c r="A16" s="81" t="s">
        <v>391</v>
      </c>
      <c r="B16" s="66"/>
      <c r="C16" s="379"/>
      <c r="D16" s="375"/>
      <c r="E16" s="379"/>
      <c r="F16" s="95"/>
      <c r="G16" s="379"/>
      <c r="H16" s="95"/>
      <c r="I16" s="379"/>
      <c r="J16" s="375"/>
      <c r="K16" s="379"/>
      <c r="L16" s="375"/>
      <c r="M16" s="379"/>
      <c r="N16" s="375"/>
      <c r="O16" s="380">
        <f t="shared" si="0"/>
        <v>0</v>
      </c>
    </row>
    <row r="17" spans="1:15" ht="27.75" customHeight="1">
      <c r="A17" s="81" t="s">
        <v>392</v>
      </c>
      <c r="B17" s="66" t="s">
        <v>189</v>
      </c>
      <c r="C17" s="379"/>
      <c r="D17" s="375"/>
      <c r="E17" s="379"/>
      <c r="F17" s="95"/>
      <c r="G17" s="379"/>
      <c r="H17" s="95"/>
      <c r="I17" s="379"/>
      <c r="J17" s="375"/>
      <c r="K17" s="379"/>
      <c r="L17" s="375"/>
      <c r="M17" s="401"/>
      <c r="N17" s="375"/>
      <c r="O17" s="380">
        <f t="shared" si="0"/>
        <v>0</v>
      </c>
    </row>
    <row r="18" spans="1:15" ht="25.5">
      <c r="A18" s="81" t="s">
        <v>393</v>
      </c>
      <c r="B18" s="66" t="s">
        <v>189</v>
      </c>
      <c r="C18" s="379"/>
      <c r="D18" s="375"/>
      <c r="E18" s="379"/>
      <c r="F18" s="95"/>
      <c r="G18" s="379"/>
      <c r="H18" s="95"/>
      <c r="I18" s="379"/>
      <c r="J18" s="375"/>
      <c r="K18" s="379"/>
      <c r="L18" s="375"/>
      <c r="M18" s="379"/>
      <c r="N18" s="375"/>
      <c r="O18" s="380">
        <f t="shared" si="0"/>
        <v>0</v>
      </c>
    </row>
    <row r="19" spans="1:15" ht="24" customHeight="1">
      <c r="A19" s="415" t="s">
        <v>394</v>
      </c>
      <c r="B19" s="66" t="s">
        <v>189</v>
      </c>
      <c r="C19" s="379"/>
      <c r="D19" s="375"/>
      <c r="E19" s="379"/>
      <c r="F19" s="95"/>
      <c r="G19" s="379"/>
      <c r="H19" s="95"/>
      <c r="I19" s="379"/>
      <c r="J19" s="375"/>
      <c r="K19" s="379"/>
      <c r="L19" s="375"/>
      <c r="M19" s="379"/>
      <c r="N19" s="375"/>
      <c r="O19" s="380">
        <f t="shared" si="0"/>
        <v>0</v>
      </c>
    </row>
    <row r="20" spans="1:15" ht="24.75" customHeight="1">
      <c r="A20" s="81" t="s">
        <v>459</v>
      </c>
      <c r="B20" s="66" t="s">
        <v>187</v>
      </c>
      <c r="C20" s="401">
        <v>0</v>
      </c>
      <c r="D20" s="375"/>
      <c r="E20" s="379"/>
      <c r="F20" s="95"/>
      <c r="G20" s="379"/>
      <c r="H20" s="95"/>
      <c r="I20" s="379"/>
      <c r="J20" s="375"/>
      <c r="K20" s="379"/>
      <c r="L20" s="375"/>
      <c r="M20" s="379"/>
      <c r="N20" s="375"/>
      <c r="O20" s="380">
        <f t="shared" si="0"/>
        <v>0</v>
      </c>
    </row>
    <row r="21" spans="1:15" ht="12.75">
      <c r="A21" s="65"/>
      <c r="C21" s="375"/>
      <c r="D21" s="95"/>
      <c r="E21" s="375"/>
      <c r="F21" s="95"/>
      <c r="G21" s="375"/>
      <c r="H21" s="95"/>
      <c r="I21" s="375"/>
      <c r="J21" s="375"/>
      <c r="K21" s="375"/>
      <c r="L21" s="375"/>
      <c r="M21" s="375"/>
      <c r="N21" s="375"/>
      <c r="O21" s="402"/>
    </row>
    <row r="22" spans="1:15" ht="13.5" thickBot="1">
      <c r="A22" s="81" t="s">
        <v>365</v>
      </c>
      <c r="B22" s="34"/>
      <c r="C22" s="381">
        <f>SUM(C11:C20)</f>
        <v>0</v>
      </c>
      <c r="D22" s="402"/>
      <c r="E22" s="381">
        <f>SUM(E11:E20)</f>
        <v>0</v>
      </c>
      <c r="F22" s="402"/>
      <c r="G22" s="381">
        <f>SUM(G11:G20)</f>
        <v>0</v>
      </c>
      <c r="H22" s="402"/>
      <c r="I22" s="381">
        <f>SUM(I11:I20)</f>
        <v>0</v>
      </c>
      <c r="J22" s="374"/>
      <c r="K22" s="381">
        <f>SUM(K11:K20)</f>
        <v>0</v>
      </c>
      <c r="L22" s="374"/>
      <c r="M22" s="381">
        <f>SUM(M11:M21)</f>
        <v>74461.10215384616</v>
      </c>
      <c r="N22" s="374"/>
      <c r="O22" s="433">
        <f>SUM(O11:O20)</f>
        <v>74461.10215384616</v>
      </c>
    </row>
    <row r="23" spans="1:15" ht="13.5" thickTop="1">
      <c r="A23" s="416"/>
      <c r="B23" s="417"/>
      <c r="C23" s="423"/>
      <c r="D23" s="424"/>
      <c r="E23" s="423"/>
      <c r="F23" s="424"/>
      <c r="G23" s="423"/>
      <c r="H23" s="424"/>
      <c r="I23" s="423"/>
      <c r="J23" s="417"/>
      <c r="K23" s="423"/>
      <c r="L23" s="187"/>
      <c r="M23" s="425"/>
      <c r="N23" s="187"/>
      <c r="O23" s="425"/>
    </row>
    <row r="24" spans="1:15" ht="12.75">
      <c r="A24" s="439"/>
      <c r="B24" s="440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2"/>
    </row>
    <row r="25" spans="1:15" ht="12.75">
      <c r="A25" s="416"/>
      <c r="B25" s="417"/>
      <c r="C25" s="443"/>
      <c r="D25" s="443"/>
      <c r="E25" s="443"/>
      <c r="F25" s="443"/>
      <c r="G25" s="443"/>
      <c r="H25" s="443"/>
      <c r="I25" s="443"/>
      <c r="J25" s="444"/>
      <c r="K25" s="443"/>
      <c r="L25" s="445"/>
      <c r="M25" s="446"/>
      <c r="N25" s="445"/>
      <c r="O25" s="446"/>
    </row>
    <row r="26" spans="1:15" ht="12.75">
      <c r="A26" s="416" t="s">
        <v>395</v>
      </c>
      <c r="B26" s="417"/>
      <c r="C26" s="443"/>
      <c r="D26" s="443"/>
      <c r="E26" s="443"/>
      <c r="F26" s="443"/>
      <c r="G26" s="443"/>
      <c r="H26" s="443"/>
      <c r="I26" s="443"/>
      <c r="J26" s="444"/>
      <c r="K26" s="443"/>
      <c r="L26" s="445"/>
      <c r="M26" s="446"/>
      <c r="N26" s="445"/>
      <c r="O26" s="446"/>
    </row>
    <row r="27" spans="1:15" ht="9" customHeight="1">
      <c r="A27" s="416"/>
      <c r="B27" s="417"/>
      <c r="C27" s="417"/>
      <c r="D27" s="417"/>
      <c r="E27" s="417"/>
      <c r="F27" s="417"/>
      <c r="G27" s="417"/>
      <c r="H27" s="417"/>
      <c r="I27" s="417"/>
      <c r="J27" s="417"/>
      <c r="K27" s="418"/>
      <c r="L27" s="187"/>
      <c r="M27" s="187"/>
      <c r="N27" s="187"/>
      <c r="O27" s="187"/>
    </row>
    <row r="28" spans="1:15" ht="12.75">
      <c r="A28" s="416" t="s">
        <v>396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187"/>
      <c r="M28" s="187"/>
      <c r="N28" s="187"/>
      <c r="O28" s="187"/>
    </row>
    <row r="29" spans="1:15" ht="12.75">
      <c r="A29" s="419" t="s">
        <v>397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187"/>
      <c r="M29" s="187"/>
      <c r="N29" s="187"/>
      <c r="O29" s="187"/>
    </row>
    <row r="30" spans="1:15" ht="9" customHeight="1">
      <c r="A30" s="187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187"/>
      <c r="M30" s="187"/>
      <c r="N30" s="187"/>
      <c r="O30" s="187"/>
    </row>
    <row r="31" spans="1:15" ht="12.75">
      <c r="A31" s="434" t="s">
        <v>398</v>
      </c>
      <c r="B31" s="80"/>
      <c r="C31" s="80"/>
      <c r="D31" s="80"/>
      <c r="E31" s="80"/>
      <c r="F31" s="80"/>
      <c r="G31" s="80"/>
      <c r="H31" s="80"/>
      <c r="I31" s="430"/>
      <c r="J31" s="430"/>
      <c r="K31" s="430"/>
      <c r="L31" s="430"/>
      <c r="M31" s="430"/>
      <c r="N31" s="430"/>
      <c r="O31" s="430"/>
    </row>
    <row r="32" spans="1:15" ht="9" customHeight="1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</row>
    <row r="33" spans="1:19" ht="12.75">
      <c r="A33" s="495" t="s">
        <v>399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03"/>
      <c r="Q33" s="403"/>
      <c r="R33" s="403"/>
      <c r="S33" s="403"/>
    </row>
    <row r="34" spans="1:19" ht="12.75">
      <c r="A34" s="494" t="s">
        <v>400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03"/>
      <c r="Q34" s="403"/>
      <c r="R34" s="403"/>
      <c r="S34" s="403"/>
    </row>
    <row r="35" spans="1:19" ht="12.75">
      <c r="A35" s="494" t="s">
        <v>421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03"/>
      <c r="Q35" s="403"/>
      <c r="R35" s="403"/>
      <c r="S35" s="403"/>
    </row>
    <row r="36" spans="1:19" ht="12.75">
      <c r="A36" s="494" t="s">
        <v>401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03"/>
      <c r="Q36" s="403"/>
      <c r="R36" s="403"/>
      <c r="S36" s="403"/>
    </row>
    <row r="37" spans="1:19" ht="12.75">
      <c r="A37" s="420" t="s">
        <v>362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03"/>
      <c r="Q37" s="403"/>
      <c r="R37" s="403"/>
      <c r="S37" s="403"/>
    </row>
    <row r="38" spans="1:19" ht="12.75">
      <c r="A38" s="420" t="s">
        <v>363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03"/>
      <c r="Q38" s="403"/>
      <c r="R38" s="403"/>
      <c r="S38" s="403"/>
    </row>
    <row r="39" spans="1:19" ht="12.75">
      <c r="A39" s="420" t="s">
        <v>402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03"/>
      <c r="Q39" s="403"/>
      <c r="R39" s="403"/>
      <c r="S39" s="403"/>
    </row>
    <row r="40" spans="1:19" ht="12.75">
      <c r="A40" s="420" t="s">
        <v>403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03"/>
      <c r="Q40" s="403"/>
      <c r="R40" s="403"/>
      <c r="S40" s="403"/>
    </row>
    <row r="41" spans="2:19" ht="9" customHeight="1"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03"/>
      <c r="Q41" s="403"/>
      <c r="R41" s="403"/>
      <c r="S41" s="403"/>
    </row>
    <row r="42" spans="1:15" ht="12.75">
      <c r="A42" s="422" t="s">
        <v>404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187"/>
      <c r="M42" s="187"/>
      <c r="N42" s="187"/>
      <c r="O42" s="187"/>
    </row>
    <row r="43" spans="1:15" ht="12.75">
      <c r="A43" s="417" t="s">
        <v>405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187"/>
      <c r="M43" s="187"/>
      <c r="N43" s="187"/>
      <c r="O43" s="187"/>
    </row>
    <row r="44" spans="1:15" ht="9" customHeight="1">
      <c r="A44" s="417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187"/>
      <c r="M44" s="187"/>
      <c r="N44" s="187"/>
      <c r="O44" s="187"/>
    </row>
    <row r="45" spans="1:15" ht="12.75">
      <c r="A45" s="422" t="s">
        <v>406</v>
      </c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187"/>
      <c r="M45" s="187"/>
      <c r="N45" s="187"/>
      <c r="O45" s="187"/>
    </row>
    <row r="46" spans="1:15" ht="12.75">
      <c r="A46" s="417" t="s">
        <v>407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187"/>
      <c r="M46" s="187"/>
      <c r="N46" s="187"/>
      <c r="O46" s="187"/>
    </row>
    <row r="47" spans="1:15" ht="9" customHeight="1">
      <c r="A47" s="417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187"/>
      <c r="M47" s="187"/>
      <c r="N47" s="187"/>
      <c r="O47" s="187"/>
    </row>
    <row r="48" spans="1:15" ht="12.75">
      <c r="A48" s="422" t="s">
        <v>408</v>
      </c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187"/>
      <c r="M48" s="187"/>
      <c r="N48" s="187"/>
      <c r="O48" s="187"/>
    </row>
    <row r="49" spans="1:15" ht="12.75">
      <c r="A49" s="417" t="s">
        <v>409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187"/>
      <c r="M49" s="187"/>
      <c r="N49" s="187"/>
      <c r="O49" s="187"/>
    </row>
    <row r="50" spans="1:15" ht="9" customHeight="1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187"/>
      <c r="M50" s="187"/>
      <c r="N50" s="187"/>
      <c r="O50" s="187"/>
    </row>
    <row r="51" spans="1:15" ht="12.75">
      <c r="A51" s="422" t="s">
        <v>410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187"/>
      <c r="M51" s="187"/>
      <c r="N51" s="187"/>
      <c r="O51" s="187"/>
    </row>
    <row r="52" spans="1:15" ht="12.75">
      <c r="A52" s="417" t="s">
        <v>407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187"/>
      <c r="M52" s="187"/>
      <c r="N52" s="187"/>
      <c r="O52" s="187"/>
    </row>
    <row r="53" spans="1:15" ht="9" customHeight="1">
      <c r="A53" s="422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187"/>
      <c r="M53" s="187"/>
      <c r="N53" s="187"/>
      <c r="O53" s="187"/>
    </row>
    <row r="54" spans="1:15" ht="12.75">
      <c r="A54" s="417" t="s">
        <v>411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187"/>
      <c r="M54" s="187"/>
      <c r="N54" s="187"/>
      <c r="O54" s="187"/>
    </row>
    <row r="55" spans="1:15" ht="9" customHeight="1">
      <c r="A55" s="417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187"/>
      <c r="M55" s="187"/>
      <c r="N55" s="187"/>
      <c r="O55" s="187"/>
    </row>
    <row r="56" spans="1:15" ht="12.75" customHeight="1">
      <c r="A56" s="422" t="s">
        <v>412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187"/>
      <c r="M56" s="187"/>
      <c r="N56" s="187"/>
      <c r="O56" s="187"/>
    </row>
    <row r="57" spans="1:15" ht="9" customHeight="1">
      <c r="A57" s="417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187"/>
      <c r="M57" s="187"/>
      <c r="N57" s="187"/>
      <c r="O57" s="187"/>
    </row>
    <row r="58" spans="1:15" ht="12.75">
      <c r="A58" s="417" t="s">
        <v>413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187"/>
      <c r="M58" s="187"/>
      <c r="N58" s="187"/>
      <c r="O58" s="187"/>
    </row>
    <row r="59" spans="1:15" ht="12.75">
      <c r="A59" s="417" t="s">
        <v>414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187"/>
      <c r="M59" s="187"/>
      <c r="N59" s="187"/>
      <c r="O59" s="187"/>
    </row>
    <row r="60" spans="1:15" ht="12.75">
      <c r="A60" s="417" t="s">
        <v>415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187"/>
      <c r="M60" s="187"/>
      <c r="N60" s="187"/>
      <c r="O60" s="187"/>
    </row>
    <row r="61" spans="1:15" ht="12.75">
      <c r="A61" s="417" t="s">
        <v>372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187"/>
      <c r="M61" s="187"/>
      <c r="N61" s="187"/>
      <c r="O61" s="187"/>
    </row>
    <row r="62" spans="1:15" ht="9" customHeight="1">
      <c r="A62" s="417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187"/>
      <c r="M62" s="187"/>
      <c r="N62" s="187"/>
      <c r="O62" s="187"/>
    </row>
    <row r="63" spans="1:15" ht="12.75">
      <c r="A63" s="417" t="s">
        <v>416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187"/>
      <c r="M63" s="187"/>
      <c r="N63" s="187"/>
      <c r="O63" s="187"/>
    </row>
    <row r="64" spans="1:15" ht="12.75">
      <c r="A64" s="417" t="s">
        <v>417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187"/>
      <c r="M64" s="187"/>
      <c r="N64" s="187"/>
      <c r="O64" s="187"/>
    </row>
    <row r="65" spans="1:15" ht="12.75">
      <c r="A65" s="417" t="s">
        <v>374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187"/>
      <c r="M65" s="187"/>
      <c r="N65" s="187"/>
      <c r="O65" s="187"/>
    </row>
    <row r="66" spans="1:15" ht="3.75" customHeight="1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187"/>
      <c r="M66" s="187"/>
      <c r="N66" s="187"/>
      <c r="O66" s="187"/>
    </row>
    <row r="67" spans="1:15" ht="12.75">
      <c r="A67" s="417" t="s">
        <v>373</v>
      </c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187"/>
      <c r="M67" s="187"/>
      <c r="N67" s="187"/>
      <c r="O67" s="187"/>
    </row>
    <row r="68" spans="1:15" ht="12.75">
      <c r="A68" s="417" t="s">
        <v>375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187"/>
      <c r="M68" s="187"/>
      <c r="N68" s="187"/>
      <c r="O68" s="187"/>
    </row>
    <row r="69" spans="1:15" ht="3.75" customHeight="1">
      <c r="A69" s="417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187"/>
      <c r="M69" s="187"/>
      <c r="N69" s="187"/>
      <c r="O69" s="187"/>
    </row>
    <row r="70" spans="1:15" ht="12.75">
      <c r="A70" s="417" t="s">
        <v>418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187"/>
      <c r="M70" s="187"/>
      <c r="N70" s="187"/>
      <c r="O70" s="187"/>
    </row>
    <row r="71" spans="1:15" ht="12.75">
      <c r="A71" s="417" t="s">
        <v>419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187"/>
      <c r="M71" s="187"/>
      <c r="N71" s="187"/>
      <c r="O71" s="187"/>
    </row>
    <row r="72" spans="1:15" ht="12.75">
      <c r="A72" s="417" t="s">
        <v>420</v>
      </c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187"/>
      <c r="M72" s="187"/>
      <c r="N72" s="187"/>
      <c r="O72" s="187"/>
    </row>
    <row r="73" spans="1:15" ht="9" customHeight="1">
      <c r="A73" s="417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187"/>
      <c r="M73" s="187"/>
      <c r="N73" s="187"/>
      <c r="O73" s="187"/>
    </row>
    <row r="74" spans="1:15" ht="12.75" customHeight="1">
      <c r="A74" s="494" t="s">
        <v>450</v>
      </c>
      <c r="B74" s="494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</row>
    <row r="75" spans="1:15" ht="12.75">
      <c r="A75" s="417" t="s">
        <v>364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187"/>
      <c r="M75" s="187"/>
      <c r="N75" s="187"/>
      <c r="O75" s="187"/>
    </row>
    <row r="76" spans="1:15" ht="12.75">
      <c r="A76" s="187"/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187"/>
      <c r="M76" s="187"/>
      <c r="N76" s="187"/>
      <c r="O76" s="187"/>
    </row>
    <row r="77" spans="1:15" ht="12.75">
      <c r="A77" s="187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187"/>
      <c r="M77" s="187"/>
      <c r="N77" s="187"/>
      <c r="O77" s="187"/>
    </row>
    <row r="78" spans="1:17" ht="12.75">
      <c r="A78" s="187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187"/>
      <c r="O78" s="187"/>
      <c r="P78" s="187"/>
      <c r="Q78" s="187"/>
    </row>
    <row r="79" spans="1:17" ht="12.75">
      <c r="A79" s="187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187"/>
      <c r="O79" s="187"/>
      <c r="P79" s="187"/>
      <c r="Q79" s="187"/>
    </row>
    <row r="80" spans="1:17" ht="12.75">
      <c r="A80" s="187"/>
      <c r="B80" s="417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187"/>
      <c r="O80" s="187"/>
      <c r="P80" s="187"/>
      <c r="Q80" s="187"/>
    </row>
    <row r="81" spans="1:17" ht="12.75">
      <c r="A81" s="417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187"/>
      <c r="O81" s="187"/>
      <c r="P81" s="187"/>
      <c r="Q81" s="187"/>
    </row>
    <row r="82" spans="1:17" ht="12.75">
      <c r="A82" s="187"/>
      <c r="B82" s="18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187"/>
      <c r="O82" s="187"/>
      <c r="P82" s="187"/>
      <c r="Q82" s="187"/>
    </row>
    <row r="83" spans="1:17" ht="12.75">
      <c r="A83" s="187"/>
      <c r="B83" s="18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187"/>
      <c r="O83" s="187"/>
      <c r="P83" s="187"/>
      <c r="Q83" s="187"/>
    </row>
    <row r="84" spans="1:17" ht="12.75">
      <c r="A84" s="417"/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187"/>
      <c r="O84" s="187"/>
      <c r="P84" s="187"/>
      <c r="Q84" s="187"/>
    </row>
    <row r="85" spans="1:17" ht="12.75">
      <c r="A85" s="187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187"/>
      <c r="O85" s="187"/>
      <c r="P85" s="187"/>
      <c r="Q85" s="187"/>
    </row>
    <row r="86" spans="1:17" ht="12.75">
      <c r="A86" s="187"/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187"/>
      <c r="O86" s="187"/>
      <c r="P86" s="187"/>
      <c r="Q86" s="187"/>
    </row>
    <row r="87" spans="1:17" ht="12.75">
      <c r="A87" s="187"/>
      <c r="B87" s="18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187"/>
      <c r="O87" s="187"/>
      <c r="P87" s="187"/>
      <c r="Q87" s="187"/>
    </row>
    <row r="88" spans="1:17" ht="12.75">
      <c r="A88" s="187"/>
      <c r="B88" s="18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187"/>
      <c r="O88" s="187"/>
      <c r="P88" s="187"/>
      <c r="Q88" s="187"/>
    </row>
    <row r="89" spans="1:17" ht="12.75">
      <c r="A89" s="187"/>
      <c r="B89" s="18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187"/>
      <c r="O89" s="187"/>
      <c r="P89" s="187"/>
      <c r="Q89" s="187"/>
    </row>
    <row r="90" spans="1:17" ht="12.75">
      <c r="A90" s="187"/>
      <c r="B90" s="187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187"/>
      <c r="O90" s="187"/>
      <c r="P90" s="187"/>
      <c r="Q90" s="187"/>
    </row>
    <row r="91" spans="1:17" ht="12.75">
      <c r="A91" s="187"/>
      <c r="B91" s="18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187"/>
      <c r="O91" s="187"/>
      <c r="P91" s="187"/>
      <c r="Q91" s="187"/>
    </row>
    <row r="92" spans="1:17" ht="12.75">
      <c r="A92" s="187"/>
      <c r="B92" s="187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</row>
    <row r="93" spans="1:17" ht="12.75">
      <c r="A93" s="187"/>
      <c r="B93" s="187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pmartin</cp:lastModifiedBy>
  <cp:lastPrinted>2011-07-07T18:02:45Z</cp:lastPrinted>
  <dcterms:created xsi:type="dcterms:W3CDTF">2001-11-07T16:15:53Z</dcterms:created>
  <dcterms:modified xsi:type="dcterms:W3CDTF">2011-09-20T21:08:07Z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