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Decsion, this cell should be 36.12%</t>
        </r>
      </text>
    </comment>
  </commentList>
</comments>
</file>

<file path=xl/sharedStrings.xml><?xml version="1.0" encoding="utf-8"?>
<sst xmlns="http://schemas.openxmlformats.org/spreadsheetml/2006/main" count="872" uniqueCount="501">
  <si>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</si>
  <si>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</si>
  <si>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</si>
  <si>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</si>
  <si>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</si>
  <si>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</si>
  <si>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</si>
  <si>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</si>
  <si>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</si>
  <si>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</si>
  <si>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</si>
  <si>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</si>
  <si>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</si>
  <si>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</si>
  <si>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</si>
  <si>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</si>
  <si>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</si>
  <si>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</si>
  <si>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</si>
  <si>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</si>
  <si>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</si>
  <si>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</si>
  <si>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</si>
  <si>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</si>
  <si>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</si>
  <si>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</si>
  <si>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</si>
  <si>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</si>
  <si>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</si>
  <si>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</si>
  <si>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</si>
  <si>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</si>
  <si>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</si>
  <si>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</si>
  <si>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</si>
  <si>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</si>
  <si>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</si>
  <si>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</si>
  <si>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</si>
  <si>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</si>
  <si>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</si>
  <si>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</si>
  <si>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</si>
  <si>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</si>
  <si>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</si>
  <si>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</si>
  <si>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</si>
  <si>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</si>
  <si>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</si>
  <si>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</si>
  <si>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</si>
  <si>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</si>
  <si>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</si>
  <si>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</si>
  <si>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</si>
  <si>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</si>
  <si>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</si>
  <si>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</si>
  <si>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</si>
  <si>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</si>
  <si>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</si>
  <si>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</si>
  <si>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</si>
  <si>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</si>
  <si>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</si>
  <si>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</si>
  <si>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</si>
  <si>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</si>
  <si>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</si>
  <si>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</si>
  <si>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</si>
  <si>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</si>
  <si>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</si>
  <si>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</si>
  <si>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</si>
  <si>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</si>
  <si>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</si>
  <si>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</si>
  <si>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</si>
  <si>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</si>
  <si>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</si>
  <si>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</si>
  <si>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</si>
  <si>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</si>
  <si>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</si>
  <si>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</si>
  <si>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</si>
  <si>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</si>
  <si>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</si>
  <si>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</si>
  <si>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</si>
  <si>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</si>
  <si>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</si>
  <si>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</si>
  <si>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</si>
  <si>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</si>
  <si>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</si>
  <si>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</si>
  <si>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</si>
  <si>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</si>
  <si>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</si>
  <si>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</si>
  <si>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</si>
  <si>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</si>
  <si>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</si>
  <si>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</si>
  <si>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</si>
  <si>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</si>
  <si>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</si>
  <si>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</si>
  <si>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</si>
  <si>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</si>
  <si>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</si>
  <si>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</si>
  <si>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</si>
  <si>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</si>
  <si>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</si>
  <si>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</si>
  <si>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</si>
  <si>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</si>
  <si>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</si>
  <si>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</si>
  <si>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</si>
  <si>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</si>
  <si>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</si>
  <si>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</si>
  <si>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</si>
  <si>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</si>
  <si>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</si>
  <si>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</si>
  <si>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</si>
  <si>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</si>
  <si>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</si>
  <si>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</si>
  <si>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</si>
  <si>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</si>
  <si>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</si>
  <si>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</si>
  <si>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</si>
  <si>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</si>
  <si>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</si>
  <si>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</si>
  <si>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</si>
  <si>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</si>
  <si>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</si>
  <si>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</si>
  <si>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</si>
  <si>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</si>
  <si>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</si>
  <si>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</si>
  <si>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</si>
  <si>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</si>
  <si>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</si>
  <si>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</si>
  <si>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</si>
  <si>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</si>
  <si>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</si>
  <si>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</si>
  <si>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</si>
  <si>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</si>
  <si>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</si>
  <si>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</si>
  <si>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</si>
  <si>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</si>
  <si>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</si>
  <si>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</si>
  <si>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</si>
  <si>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</si>
  <si>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</si>
  <si>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</si>
  <si>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</si>
  <si>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</si>
  <si>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</si>
  <si>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</si>
  <si>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</si>
  <si>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</si>
  <si>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</si>
  <si>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</si>
  <si>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</si>
  <si>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</si>
  <si>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</si>
  <si>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</si>
  <si>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</si>
  <si>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</si>
  <si>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</si>
  <si>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</si>
  <si>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</si>
  <si>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</si>
  <si>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</si>
  <si>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</si>
  <si>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</si>
  <si>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</si>
  <si>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</si>
  <si>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</si>
  <si>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</si>
  <si>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</si>
  <si>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</si>
  <si>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</si>
  <si>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</si>
  <si>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</si>
  <si>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</si>
  <si>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</si>
  <si>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</si>
  <si>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</si>
  <si>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</si>
  <si>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</si>
  <si>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</si>
  <si>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</si>
  <si>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</si>
  <si>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</si>
  <si>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</si>
  <si>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</si>
  <si>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</si>
  <si>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</si>
  <si>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</si>
  <si>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</si>
  <si>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</si>
  <si>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</si>
  <si>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</si>
  <si>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</si>
  <si>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</si>
  <si>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</si>
  <si>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</si>
  <si>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</si>
  <si>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</si>
  <si>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</si>
  <si>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</si>
  <si>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</si>
  <si>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</si>
  <si>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</si>
  <si>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</si>
  <si>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</si>
  <si>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</si>
  <si>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</si>
  <si>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</si>
  <si>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</si>
  <si>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</si>
  <si>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</si>
  <si>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</si>
  <si>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</si>
  <si>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</si>
  <si>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</si>
  <si>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</si>
  <si>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</si>
  <si>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</si>
  <si>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</si>
  <si>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</si>
  <si>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</si>
  <si>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</si>
  <si>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</si>
  <si>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</si>
  <si>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</si>
  <si>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</si>
  <si>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</si>
  <si>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</si>
  <si>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</si>
  <si>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</si>
  <si>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</si>
  <si>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</si>
  <si>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</si>
  <si>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</si>
  <si>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</si>
  <si>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</si>
  <si>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</si>
  <si>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</si>
  <si>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</si>
  <si>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</si>
  <si>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</si>
  <si>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</si>
  <si>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</si>
  <si>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</si>
  <si>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</si>
  <si>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</si>
  <si>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</si>
  <si>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</si>
  <si>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</si>
  <si>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</si>
  <si>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</si>
  <si>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</si>
  <si>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</si>
  <si>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</si>
  <si>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</si>
  <si>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</si>
  <si>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</si>
  <si>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</si>
  <si>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</si>
  <si>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</si>
  <si>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</si>
  <si>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</si>
  <si>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</si>
  <si>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</si>
  <si>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</si>
  <si>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</si>
  <si>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</si>
  <si>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</si>
  <si>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</si>
  <si>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</si>
  <si>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</si>
  <si>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</si>
  <si>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</si>
  <si>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</si>
  <si>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</si>
  <si>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</si>
  <si>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</si>
  <si>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</si>
  <si>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</si>
  <si>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</si>
  <si>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</si>
  <si>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</si>
  <si>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</si>
  <si>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</si>
  <si>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</si>
  <si>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</si>
  <si>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</si>
  <si>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</si>
  <si>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</si>
  <si>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</si>
  <si>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</si>
  <si>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</si>
  <si>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</si>
  <si>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</si>
  <si>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</si>
  <si>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</si>
  <si>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</si>
  <si>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</si>
  <si>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</si>
  <si>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</si>
  <si>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</si>
  <si>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</si>
  <si>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</si>
  <si>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</si>
  <si>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</si>
  <si>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</si>
  <si>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</si>
  <si>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</si>
  <si>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</si>
  <si>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</si>
  <si>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</si>
  <si>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</si>
  <si>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</si>
  <si>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</si>
  <si>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</si>
  <si>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</si>
  <si>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</si>
  <si>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</si>
  <si>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</si>
  <si>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</si>
  <si>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</si>
  <si>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</si>
  <si>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</si>
  <si>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</si>
  <si>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</si>
  <si>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</si>
  <si>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</si>
  <si>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</si>
  <si>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</si>
  <si>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</si>
  <si>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</si>
  <si>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</si>
  <si>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</si>
  <si>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</si>
  <si>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</si>
  <si>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</si>
  <si>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</si>
  <si>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</si>
  <si>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</si>
  <si>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</si>
  <si>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</si>
  <si>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</si>
  <si>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</si>
  <si>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</si>
  <si>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</si>
  <si>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</si>
  <si>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</si>
  <si>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</si>
  <si>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</si>
  <si>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</si>
  <si>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</si>
  <si>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</si>
  <si>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</si>
  <si>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</si>
  <si>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</si>
  <si>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</si>
  <si>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</si>
  <si>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</si>
  <si>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</si>
  <si>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</si>
  <si>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</si>
  <si>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</si>
  <si>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</si>
  <si>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</si>
  <si>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</si>
  <si>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</si>
  <si>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</si>
  <si>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</si>
  <si>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</si>
  <si>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</si>
  <si>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</si>
  <si>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</si>
  <si>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</si>
  <si>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</si>
  <si>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</si>
  <si>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</si>
  <si>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</si>
  <si>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</si>
  <si>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</si>
  <si>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</si>
  <si>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</si>
  <si>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</si>
  <si>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</si>
  <si>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</si>
  <si>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</si>
  <si>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</si>
  <si>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</si>
  <si>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</si>
  <si>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</si>
  <si>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</si>
  <si>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</si>
  <si>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</si>
  <si>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</si>
  <si>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</si>
  <si>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</si>
  <si>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</si>
  <si>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</si>
  <si>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</si>
  <si>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</si>
  <si>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</si>
  <si>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</si>
  <si>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</si>
  <si>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</si>
  <si>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</si>
  <si>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</si>
  <si>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</si>
  <si>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</si>
  <si>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</si>
  <si>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</si>
  <si>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</si>
  <si>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</si>
  <si>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</si>
  <si>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</si>
  <si>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</si>
  <si>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</si>
  <si>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</si>
  <si>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</si>
  <si>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</si>
  <si>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</si>
  <si>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</si>
  <si>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</si>
  <si>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</si>
  <si>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</si>
  <si>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</si>
  <si>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</si>
  <si>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</si>
  <si>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</si>
  <si>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</si>
  <si>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</si>
  <si>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</si>
  <si>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</si>
  <si>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</si>
  <si>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</si>
  <si>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</si>
  <si>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</si>
  <si>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</si>
  <si>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</si>
  <si>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</si>
  <si>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</si>
  <si>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</si>
  <si>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</si>
  <si>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</si>
  <si>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</si>
  <si>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</si>
  <si>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</si>
  <si>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</si>
  <si>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</si>
  <si>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</si>
  <si>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</si>
  <si>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</si>
  <si>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</si>
  <si>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</si>
  <si>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</si>
  <si>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</si>
  <si>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</si>
  <si>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</si>
  <si>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</si>
  <si>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</si>
  <si>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</si>
  <si>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</si>
  <si>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</si>
  <si>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</si>
  <si>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</si>
  <si>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</si>
  <si>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</si>
  <si>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</si>
  <si>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</si>
  <si>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</si>
  <si>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Utility Name: Waterloo North Hydro Inc.</t>
  </si>
  <si>
    <t xml:space="preserve">     Community Relations</t>
  </si>
  <si>
    <t>Post Employment Benefits</t>
  </si>
  <si>
    <t>Total Deemed Interest (REGINFO Cell D62)</t>
  </si>
  <si>
    <t>Less: Federal LCT reported in the initial estimate column  (Cell C84)</t>
  </si>
  <si>
    <t>Vested Sick leave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</si>
</sst>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91" t="s">
        <v>495</v>
      </c>
      <c r="C3" s="8"/>
      <c r="D3" s="456" t="s">
        <v>445</v>
      </c>
      <c r="E3" s="8"/>
      <c r="F3" s="8"/>
      <c r="G3" s="8"/>
      <c r="H3" s="8"/>
    </row>
    <row r="4" spans="1:8" ht="13.5" thickBot="1">
      <c r="A4" s="501" t="s">
        <v>483</v>
      </c>
      <c r="C4" s="8"/>
      <c r="D4" s="455" t="s">
        <v>440</v>
      </c>
      <c r="E4" s="429"/>
      <c r="H4" s="8"/>
    </row>
    <row r="5" spans="1:8" ht="12.75">
      <c r="A5" s="52"/>
      <c r="C5" s="8"/>
      <c r="D5" s="454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45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45"/>
      <c r="F12" s="3"/>
      <c r="G12" s="3"/>
      <c r="H12" s="3"/>
    </row>
    <row r="13" spans="1:7" ht="6.75" customHeight="1">
      <c r="A13" s="3"/>
      <c r="C13" s="20"/>
      <c r="D13" s="20"/>
      <c r="E13" s="45"/>
      <c r="F13" s="3"/>
      <c r="G13" s="3"/>
    </row>
    <row r="14" spans="1:7" ht="12.75">
      <c r="A14" s="3" t="s">
        <v>65</v>
      </c>
      <c r="C14" s="20"/>
      <c r="D14" s="20"/>
      <c r="E14" s="45"/>
      <c r="F14" s="3"/>
      <c r="G14" s="3"/>
    </row>
    <row r="15" spans="1:5" ht="13.5" customHeight="1" thickBot="1">
      <c r="A15" s="3" t="s">
        <v>66</v>
      </c>
      <c r="C15" s="8" t="s">
        <v>64</v>
      </c>
      <c r="D15" s="258"/>
      <c r="E15" s="34"/>
    </row>
    <row r="16" spans="1:5" ht="7.5" customHeight="1">
      <c r="A16" s="45"/>
      <c r="C16" s="8"/>
      <c r="D16" s="8"/>
      <c r="E16" s="34"/>
    </row>
    <row r="17" spans="1:5" ht="13.5" thickBot="1">
      <c r="A17" s="45" t="s">
        <v>185</v>
      </c>
      <c r="C17" s="8" t="s">
        <v>64</v>
      </c>
      <c r="D17" s="258"/>
      <c r="E17" s="34"/>
    </row>
    <row r="18" spans="1:5" ht="15" customHeight="1">
      <c r="A18" s="390" t="s">
        <v>315</v>
      </c>
      <c r="C18" s="8"/>
      <c r="D18" s="8"/>
      <c r="E18" s="34"/>
    </row>
    <row r="19" spans="1:5" ht="15" customHeight="1">
      <c r="A19" s="514" t="s">
        <v>316</v>
      </c>
      <c r="B19" s="8" t="s">
        <v>313</v>
      </c>
      <c r="C19" s="8" t="s">
        <v>64</v>
      </c>
      <c r="D19" s="389"/>
      <c r="E19" s="34"/>
    </row>
    <row r="20" spans="1:5" ht="13.5" thickBot="1">
      <c r="A20" s="515"/>
      <c r="B20" s="8" t="s">
        <v>314</v>
      </c>
      <c r="C20" s="8" t="s">
        <v>64</v>
      </c>
      <c r="D20" s="258"/>
      <c r="E20" s="34"/>
    </row>
    <row r="21" spans="1:4" ht="12.75">
      <c r="A21" s="514" t="s">
        <v>312</v>
      </c>
      <c r="B21" s="8" t="s">
        <v>313</v>
      </c>
      <c r="C21" s="8"/>
      <c r="D21" s="424">
        <v>1</v>
      </c>
    </row>
    <row r="22" spans="1:4" ht="12.75">
      <c r="A22" s="514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80367575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6883482.79875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3269200</v>
      </c>
      <c r="E43" s="388">
        <f>D43</f>
        <v>3269200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3614282.79875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1204761</v>
      </c>
      <c r="E47" s="388">
        <f aca="true" t="shared" si="0" ref="E47:E53">D47</f>
        <v>1204761</v>
      </c>
      <c r="H47" s="40"/>
      <c r="J47" s="5"/>
      <c r="K47" s="5"/>
    </row>
    <row r="48" spans="1:11" ht="12.75">
      <c r="A48" t="s">
        <v>290</v>
      </c>
      <c r="D48" s="427">
        <v>1204761</v>
      </c>
      <c r="E48" s="388">
        <f>D48</f>
        <v>1204761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461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5678722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40183787.5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3970158.205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40183787.5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2913324.59375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1893532.822533567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2403428.750729714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2403428.750729714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2913324.59375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64">
      <selection activeCell="G83" sqref="G83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93" t="str">
        <f>REGINFO!A3</f>
        <v>Utility Name: Waterloo North Hydro Inc.</v>
      </c>
      <c r="B6" s="492"/>
      <c r="D6" s="137"/>
      <c r="E6" s="115"/>
      <c r="G6" s="115"/>
      <c r="H6" s="466"/>
    </row>
    <row r="7" spans="1:8" ht="13.5" thickBot="1">
      <c r="A7" s="502" t="str">
        <f>REGINFO!A4</f>
        <v>Reporting period:  2004</v>
      </c>
      <c r="B7" s="492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5678722</v>
      </c>
      <c r="D16" s="17"/>
      <c r="E16" s="267">
        <f>G16-C16</f>
        <v>2627673</v>
      </c>
      <c r="F16" s="3"/>
      <c r="G16" s="267">
        <f>TAXREC!E50</f>
        <v>8306395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4355246</v>
      </c>
      <c r="D20" s="18"/>
      <c r="E20" s="267">
        <f>G20-C20</f>
        <v>1113304</v>
      </c>
      <c r="F20" s="6"/>
      <c r="G20" s="267">
        <f>TAXREC!E61</f>
        <v>5468550</v>
      </c>
      <c r="H20" s="151"/>
    </row>
    <row r="21" spans="1:8" ht="12.75">
      <c r="A21" s="158" t="s">
        <v>56</v>
      </c>
      <c r="B21" s="127">
        <v>3</v>
      </c>
      <c r="C21" s="261">
        <v>1202368</v>
      </c>
      <c r="D21" s="18"/>
      <c r="E21" s="267">
        <f>G21-C21</f>
        <v>-1202368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3141233</v>
      </c>
      <c r="F23" s="6"/>
      <c r="G23" s="267">
        <f>TAXREC!E64</f>
        <v>3141233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1" t="s">
        <v>393</v>
      </c>
      <c r="B30" s="127"/>
      <c r="C30" s="259"/>
      <c r="D30" s="18"/>
      <c r="E30" s="267">
        <f>G30-C30</f>
        <v>564103</v>
      </c>
      <c r="F30" s="6"/>
      <c r="G30" s="267">
        <f>TAXREC!E66</f>
        <v>564103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2927193</v>
      </c>
      <c r="D33" s="132"/>
      <c r="E33" s="267">
        <f aca="true" t="shared" si="0" ref="E33:E42">G33-C33</f>
        <v>2869077</v>
      </c>
      <c r="F33" s="6"/>
      <c r="G33" s="267">
        <f>TAXREC!E97+TAXREC!E98</f>
        <v>5796270</v>
      </c>
      <c r="H33" s="151"/>
    </row>
    <row r="34" spans="1:8" ht="12.75">
      <c r="A34" s="158" t="s">
        <v>57</v>
      </c>
      <c r="B34" s="127">
        <v>8</v>
      </c>
      <c r="C34" s="261">
        <v>1087368</v>
      </c>
      <c r="D34" s="132"/>
      <c r="E34" s="267">
        <f t="shared" si="0"/>
        <v>-1087368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2403428.750729714</v>
      </c>
      <c r="D37" s="132"/>
      <c r="E37" s="267">
        <f t="shared" si="0"/>
        <v>923326.249270286</v>
      </c>
      <c r="F37" s="6"/>
      <c r="G37" s="267">
        <f>TAXREC!E51</f>
        <v>3326755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2983812</v>
      </c>
      <c r="F39" s="6"/>
      <c r="G39" s="267">
        <f>TAXREC!E105</f>
        <v>2983812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393</v>
      </c>
      <c r="B48" s="127"/>
      <c r="C48" s="259"/>
      <c r="D48" s="132"/>
      <c r="E48" s="267">
        <f>G48-C48</f>
        <v>24808</v>
      </c>
      <c r="F48" s="6"/>
      <c r="G48" s="251">
        <f>TAXREC!E108</f>
        <v>24808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4818346.249270286</v>
      </c>
      <c r="D50" s="102"/>
      <c r="E50" s="263">
        <f>E16+SUM(E20:E30)-SUM(E33:E48)</f>
        <v>530289.7507297136</v>
      </c>
      <c r="F50" s="432"/>
      <c r="G50" s="263">
        <f>G16+SUM(G20:G30)-SUM(G33:G48)</f>
        <v>5348636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-0.024999999999999967</v>
      </c>
      <c r="F53" s="114"/>
      <c r="G53" s="474">
        <f>TAXREC!E151</f>
        <v>0.3612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1860845.3214681845</v>
      </c>
      <c r="D55" s="102"/>
      <c r="E55" s="267">
        <f>G55-C55</f>
        <v>71081.67853181553</v>
      </c>
      <c r="F55" s="432" t="s">
        <v>366</v>
      </c>
      <c r="G55" s="264">
        <f>TAXREC!E144</f>
        <v>1931927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366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1860845.3214681845</v>
      </c>
      <c r="D60" s="133"/>
      <c r="E60" s="269">
        <f>+E55-E58</f>
        <v>71081.67853181553</v>
      </c>
      <c r="F60" s="432" t="s">
        <v>366</v>
      </c>
      <c r="G60" s="269">
        <f>+G55-G58</f>
        <v>1931927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80367575</v>
      </c>
      <c r="D66" s="102"/>
      <c r="E66" s="267">
        <f>G66-C66</f>
        <v>28094676.29323134</v>
      </c>
      <c r="F66" s="6"/>
      <c r="G66" s="476">
        <v>108462251.29323134</v>
      </c>
      <c r="H66" s="151"/>
      <c r="I66" s="477" t="s">
        <v>473</v>
      </c>
    </row>
    <row r="67" spans="1:10" ht="12.75">
      <c r="A67" s="152" t="s">
        <v>359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473</v>
      </c>
      <c r="J67" s="509"/>
    </row>
    <row r="68" spans="1:8" ht="12.75">
      <c r="A68" s="152" t="s">
        <v>42</v>
      </c>
      <c r="B68" s="125"/>
      <c r="C68" s="264">
        <f>IF((C66-C67)&gt;0,C66-C67,0)</f>
        <v>75367575</v>
      </c>
      <c r="D68" s="102"/>
      <c r="E68" s="267">
        <f>SUM(E66:E67)</f>
        <v>28094676.29323134</v>
      </c>
      <c r="F68" s="114"/>
      <c r="G68" s="264">
        <f>G66-G67</f>
        <v>103462251.29323134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226102.72500000003</v>
      </c>
      <c r="D72" s="101"/>
      <c r="E72" s="267">
        <f>+G72-C72</f>
        <v>84284.028879694</v>
      </c>
      <c r="F72" s="478"/>
      <c r="G72" s="264">
        <f>IF(G68&gt;0,G68*G70,0)*REGINFO!$B$6/REGINFO!$B$7</f>
        <v>310386.75387969404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80367575</v>
      </c>
      <c r="D75" s="102"/>
      <c r="E75" s="267">
        <f>+G75-C75</f>
        <v>12268361</v>
      </c>
      <c r="F75" s="6"/>
      <c r="G75" s="476">
        <v>92635936</v>
      </c>
      <c r="H75" s="151"/>
      <c r="I75" s="477" t="s">
        <v>473</v>
      </c>
    </row>
    <row r="76" spans="1:9" ht="12.75">
      <c r="A76" s="152" t="s">
        <v>359</v>
      </c>
      <c r="B76" s="125">
        <v>19</v>
      </c>
      <c r="C76" s="260">
        <f>IF(C75&gt;0,'Tax Rates'!C22,0)</f>
        <v>10000000</v>
      </c>
      <c r="D76" s="18"/>
      <c r="E76" s="267">
        <f>+G76-C76</f>
        <v>39979597</v>
      </c>
      <c r="F76" s="6"/>
      <c r="G76" s="267">
        <f>'Tax Rates'!C58</f>
        <v>49979597</v>
      </c>
      <c r="H76" s="151"/>
      <c r="I76" s="477" t="s">
        <v>473</v>
      </c>
    </row>
    <row r="77" spans="1:8" ht="12.75">
      <c r="A77" s="152" t="s">
        <v>42</v>
      </c>
      <c r="B77" s="125"/>
      <c r="C77" s="264">
        <f>IF((C75-C76)&gt;0,C75-C76,0)</f>
        <v>70367575</v>
      </c>
      <c r="D77" s="19"/>
      <c r="E77" s="267">
        <f>SUM(E75:E76)</f>
        <v>52247958</v>
      </c>
      <c r="F77" s="114"/>
      <c r="G77" s="264">
        <f>IF(G76&gt;G75,0,G75-G76)</f>
        <v>42656339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158327.04374999998</v>
      </c>
      <c r="D81" s="102"/>
      <c r="E81" s="267">
        <f>+G81-C81</f>
        <v>-73014.36574999998</v>
      </c>
      <c r="F81" s="6"/>
      <c r="G81" s="264">
        <f>G77*G79*B9/B10</f>
        <v>85312.678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53965.47799182721</v>
      </c>
      <c r="D82" s="102"/>
      <c r="E82" s="267">
        <f>+G82-C82</f>
        <v>5939.24520817279</v>
      </c>
      <c r="F82" s="6"/>
      <c r="G82" s="300">
        <f>IF(G77&gt;0,IF(G60&gt;0,G50*'Tax Rates'!C20,0),0)</f>
        <v>59904.7232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104361.56575817277</v>
      </c>
      <c r="D84" s="16"/>
      <c r="E84" s="267">
        <f>E81-E82</f>
        <v>-78953.61095817277</v>
      </c>
      <c r="F84" s="103"/>
      <c r="G84" s="264">
        <f>G81-G82</f>
        <v>25407.9548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2977352.514349095</v>
      </c>
      <c r="D90" s="20"/>
      <c r="E90" s="139"/>
      <c r="F90" s="431" t="s">
        <v>486</v>
      </c>
      <c r="G90" s="270">
        <f>TAXREC!E156</f>
        <v>1931927</v>
      </c>
      <c r="H90" s="151"/>
    </row>
    <row r="91" spans="1:8" ht="12.75">
      <c r="A91" s="158" t="s">
        <v>368</v>
      </c>
      <c r="B91" s="127">
        <v>23</v>
      </c>
      <c r="C91" s="264">
        <f>C84/(1-C88)</f>
        <v>166978.50521307642</v>
      </c>
      <c r="D91" s="20"/>
      <c r="E91" s="139"/>
      <c r="F91" s="431" t="s">
        <v>486</v>
      </c>
      <c r="G91" s="270">
        <f>TAXREC!E158</f>
        <v>25407.678</v>
      </c>
      <c r="H91" s="151"/>
    </row>
    <row r="92" spans="1:8" ht="12.75">
      <c r="A92" s="158" t="s">
        <v>347</v>
      </c>
      <c r="B92" s="127">
        <v>24</v>
      </c>
      <c r="C92" s="264">
        <f>C72</f>
        <v>226102.72500000003</v>
      </c>
      <c r="D92" s="20"/>
      <c r="E92" s="139"/>
      <c r="F92" s="431" t="s">
        <v>486</v>
      </c>
      <c r="G92" s="270">
        <f>TAXREC!E157</f>
        <v>310386.75387969404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477</v>
      </c>
      <c r="B95" s="125">
        <v>25</v>
      </c>
      <c r="C95" s="269">
        <f>SUM(C90:C93)</f>
        <v>3370433.7445621714</v>
      </c>
      <c r="D95" s="6"/>
      <c r="E95" s="139"/>
      <c r="F95" s="431" t="s">
        <v>486</v>
      </c>
      <c r="G95" s="414">
        <f>SUM(G90:G94)</f>
        <v>2267721.431879694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-1202368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3141233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-1087368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481</v>
      </c>
      <c r="B112" s="127">
        <v>11</v>
      </c>
      <c r="C112" s="112"/>
      <c r="D112" s="3"/>
      <c r="E112" s="473">
        <f>E206</f>
        <v>413430.40625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2983812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-371009.40625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231</v>
      </c>
      <c r="E122" s="470">
        <f>+'Tax Rates'!F52</f>
        <v>0.3612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-134008.5975375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-134008.5975375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5">
        <f>E128/(1-E130)</f>
        <v>-206167.0731346154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4818346.249270286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1740386.6652364274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1740386.6652364274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1860845.3214681845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-120458.65623175702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80367575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75367575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226102.72500000003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226102.72500000003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80367575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30367575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60735.15000000001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53965.47799182721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6769.672008172798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499</v>
      </c>
      <c r="B172" s="130"/>
      <c r="C172" s="112"/>
      <c r="D172" s="118" t="s">
        <v>188</v>
      </c>
      <c r="E172" s="305">
        <f>C84</f>
        <v>104361.56575817277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-97591.89374999997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0.35000000000000003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-185321.00958731852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-150141.37499999997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4">
        <f>SUM(E177:E179)</f>
        <v>-335462.3845873185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480</v>
      </c>
      <c r="B183" s="130"/>
      <c r="C183" s="112"/>
      <c r="D183" s="119" t="s">
        <v>187</v>
      </c>
      <c r="E183" s="484">
        <f>E132</f>
        <v>-206167.0731346154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4">
        <f>E181+E183</f>
        <v>-541629.457721934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2913324.59375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2403428.750729714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509895.84302028595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3326755</v>
      </c>
      <c r="F201" s="3"/>
      <c r="G201" s="489"/>
      <c r="H201" s="164"/>
    </row>
    <row r="202" spans="1:8" ht="12.75">
      <c r="A202" s="500" t="s">
        <v>498</v>
      </c>
      <c r="B202" s="127"/>
      <c r="C202" s="112"/>
      <c r="D202" s="120"/>
      <c r="E202" s="308">
        <f>+E193</f>
        <v>2913324.59375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413430.40625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482</v>
      </c>
      <c r="B206" s="127"/>
      <c r="C206" s="112"/>
      <c r="D206" s="120"/>
      <c r="E206" s="472">
        <f>IF((E201-E202)&gt;0,E201-E202,0)</f>
        <v>413430.40625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96465.43677028595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46" r:id="rId3"/>
  <headerFooter alignWithMargins="0">
    <oddHeader>&amp;R&amp;9Waterloo North Hydro Inc.
EB-2011-0201 - 2012 IRM Filing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33">
      <selection activeCell="C134" sqref="C13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91" t="str">
        <f>REGINFO!A3</f>
        <v>Utility Name: Waterloo North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501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f>+Ratebase*REGINFO!D33*0.0025</f>
        <v>100459.46875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86255158</v>
      </c>
      <c r="D31" s="286"/>
      <c r="E31" s="284">
        <f>C31-D31</f>
        <v>86255158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22033560</v>
      </c>
      <c r="D32" s="286"/>
      <c r="E32" s="284">
        <f>C32-D32</f>
        <v>22033560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1135187</v>
      </c>
      <c r="D33" s="286">
        <v>778129</v>
      </c>
      <c r="E33" s="284">
        <f>C33-D33</f>
        <v>357058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86255158</v>
      </c>
      <c r="D39" s="286"/>
      <c r="E39" s="284">
        <f>C39-D39</f>
        <v>86255158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1600686</v>
      </c>
      <c r="D40" s="286"/>
      <c r="E40" s="284">
        <f aca="true" t="shared" si="0" ref="E40:E48">C40-D40</f>
        <v>1600686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2210445</v>
      </c>
      <c r="D41" s="286">
        <v>778129</v>
      </c>
      <c r="E41" s="284">
        <f t="shared" si="0"/>
        <v>1432316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5044549</v>
      </c>
      <c r="D42" s="286"/>
      <c r="E42" s="284">
        <f t="shared" si="0"/>
        <v>5044549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5468550</v>
      </c>
      <c r="D43" s="286"/>
      <c r="E43" s="284">
        <f t="shared" si="0"/>
        <v>5468550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307777</v>
      </c>
      <c r="D44" s="286"/>
      <c r="E44" s="284">
        <f t="shared" si="0"/>
        <v>307777</v>
      </c>
      <c r="F44" s="11"/>
      <c r="G44" s="11"/>
      <c r="H44" s="6"/>
      <c r="I44" s="6"/>
    </row>
    <row r="45" spans="1:11" ht="12.75">
      <c r="A45" s="4" t="s">
        <v>496</v>
      </c>
      <c r="B45" s="23" t="s">
        <v>188</v>
      </c>
      <c r="C45" s="285">
        <v>230345</v>
      </c>
      <c r="D45" s="286"/>
      <c r="E45" s="284">
        <f t="shared" si="0"/>
        <v>230345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8306395</v>
      </c>
      <c r="D50" s="281">
        <f>SUM(D31:D36)-SUM(D39:D49)</f>
        <v>0</v>
      </c>
      <c r="E50" s="281">
        <f>SUM(E31:E35)-SUM(E39:E48)</f>
        <v>8306395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3326755</v>
      </c>
      <c r="D51" s="285"/>
      <c r="E51" s="282">
        <f>+C51-D51</f>
        <v>3326755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1957384</v>
      </c>
      <c r="D52" s="285"/>
      <c r="E52" s="283">
        <f>+C52-D52</f>
        <v>1957384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3022256</v>
      </c>
      <c r="D53" s="281">
        <f>D50-D51-D52</f>
        <v>0</v>
      </c>
      <c r="E53" s="281">
        <f>E50-E51-E52</f>
        <v>3022256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1957384</v>
      </c>
      <c r="D59" s="287">
        <f>D52</f>
        <v>0</v>
      </c>
      <c r="E59" s="272">
        <f>+C59-D59</f>
        <v>1957384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+C43</f>
        <v>5468550</v>
      </c>
      <c r="D61" s="287">
        <f>D43</f>
        <v>0</v>
      </c>
      <c r="E61" s="272">
        <f>+C61-D61</f>
        <v>5468550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3141233</v>
      </c>
      <c r="D64" s="317">
        <f>'Tax Reserves'!D63</f>
        <v>0</v>
      </c>
      <c r="E64" s="272">
        <f>+C64-D64</f>
        <v>3141233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393</v>
      </c>
      <c r="B66" s="8"/>
      <c r="C66" s="447">
        <f>'TAXREC 3 No True-up'!C47</f>
        <v>564103</v>
      </c>
      <c r="D66" s="447">
        <f>'TAXREC 3 No True-up'!D47</f>
        <v>0</v>
      </c>
      <c r="E66" s="272">
        <f>+C66-D66</f>
        <v>564103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11131270</v>
      </c>
      <c r="D70" s="272">
        <f>SUM(D59:D68)</f>
        <v>0</v>
      </c>
      <c r="E70" s="272">
        <f>SUM(E59:E68)</f>
        <v>11131270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4"/>
      <c r="E76" s="51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11131270</v>
      </c>
      <c r="D82" s="251">
        <f>D70+D80</f>
        <v>0</v>
      </c>
      <c r="E82" s="251">
        <f>E70+E80</f>
        <v>11131270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5796270</v>
      </c>
      <c r="D97" s="294"/>
      <c r="E97" s="272">
        <f>+C97-D97</f>
        <v>5796270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2983812</v>
      </c>
      <c r="D105" s="319">
        <f>'Tax Reserves'!D50</f>
        <v>0</v>
      </c>
      <c r="E105" s="282">
        <f t="shared" si="5"/>
        <v>2983812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393</v>
      </c>
      <c r="B108" s="8"/>
      <c r="C108" s="254">
        <f>'TAXREC 3 No True-up'!C73</f>
        <v>24808</v>
      </c>
      <c r="D108" s="254">
        <f>'TAXREC 3 No True-up'!D73</f>
        <v>0</v>
      </c>
      <c r="E108" s="272">
        <f t="shared" si="5"/>
        <v>24808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8804890</v>
      </c>
      <c r="D113" s="251">
        <f>SUM(D97:D111)</f>
        <v>0</v>
      </c>
      <c r="E113" s="251">
        <f>SUM(E97:E111)</f>
        <v>8804890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8804890</v>
      </c>
      <c r="D122" s="251">
        <f>D113+D120</f>
        <v>0</v>
      </c>
      <c r="E122" s="251">
        <f>+E113+E120</f>
        <v>8804890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5348636</v>
      </c>
      <c r="D134" s="251">
        <f>D53+D82-D122</f>
        <v>0</v>
      </c>
      <c r="E134" s="251">
        <f>E53+E82-E122</f>
        <v>5348636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5348636</v>
      </c>
      <c r="D139" s="252">
        <f>D134-D136-D137-D138</f>
        <v>0</v>
      </c>
      <c r="E139" s="252">
        <f>E134-E136-E137-E138</f>
        <v>5348636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1183118</v>
      </c>
      <c r="D142" s="486">
        <f>D139*C149</f>
        <v>0</v>
      </c>
      <c r="E142" s="252">
        <f>C142-D142</f>
        <v>1183118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748809</v>
      </c>
      <c r="D143" s="486">
        <f>D139*C150</f>
        <v>0</v>
      </c>
      <c r="E143" s="292">
        <f>C143-D143</f>
        <v>748809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1931927</v>
      </c>
      <c r="D144" s="252">
        <f>D142+D143</f>
        <v>0</v>
      </c>
      <c r="E144" s="252">
        <f>E142+E143</f>
        <v>1931927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6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1931927</v>
      </c>
      <c r="D146" s="252">
        <f>D144-D145</f>
        <v>0</v>
      </c>
      <c r="E146" s="252">
        <f>E144-E145</f>
        <v>1931927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0.2212</v>
      </c>
      <c r="D149" s="499"/>
      <c r="E149" s="406">
        <f>C149</f>
        <v>0.2212</v>
      </c>
      <c r="F149" s="8"/>
      <c r="G149" s="483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0.14</v>
      </c>
      <c r="D150" s="499"/>
      <c r="E150" s="406">
        <f>C150</f>
        <v>0.14</v>
      </c>
      <c r="F150" s="8"/>
      <c r="G150" s="483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1931927</v>
      </c>
      <c r="D156" s="251">
        <f>D146</f>
        <v>0</v>
      </c>
      <c r="E156" s="251">
        <f>E146</f>
        <v>1931927</v>
      </c>
    </row>
    <row r="157" spans="1:5" ht="12.75">
      <c r="A157" t="s">
        <v>20</v>
      </c>
      <c r="B157" s="86" t="s">
        <v>187</v>
      </c>
      <c r="C157" s="479">
        <v>310386.75387969404</v>
      </c>
      <c r="D157" s="251"/>
      <c r="E157" s="251">
        <f>C157+D157</f>
        <v>310386.75387969404</v>
      </c>
    </row>
    <row r="158" spans="1:5" ht="12.75">
      <c r="A158" t="s">
        <v>218</v>
      </c>
      <c r="B158" s="86" t="s">
        <v>187</v>
      </c>
      <c r="C158" s="479">
        <v>25407.678</v>
      </c>
      <c r="D158" s="251"/>
      <c r="E158" s="251">
        <f>C158+D158</f>
        <v>25407.678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2267721.431879694</v>
      </c>
      <c r="D160" s="251">
        <f>D156+D157+D158</f>
        <v>0</v>
      </c>
      <c r="E160" s="251">
        <f>E156+E157+E158</f>
        <v>2267721.431879694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37">
      <selection activeCell="A61" sqref="A6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91" t="str">
        <f>REGINFO!A3</f>
        <v>Utility Name: Waterloo North Hydro Inc.</v>
      </c>
      <c r="B7" s="20"/>
      <c r="C7" s="25"/>
      <c r="D7" s="25"/>
      <c r="E7" s="25"/>
      <c r="F7" s="20"/>
    </row>
    <row r="8" spans="1:6" ht="13.5" thickBot="1">
      <c r="A8" s="501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104000</v>
      </c>
      <c r="D44" s="294"/>
      <c r="E44" s="251">
        <f t="shared" si="2"/>
        <v>104000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311" t="s">
        <v>497</v>
      </c>
      <c r="B47" s="61"/>
      <c r="C47" s="294">
        <v>2645997</v>
      </c>
      <c r="D47" s="294"/>
      <c r="E47" s="251">
        <f t="shared" si="2"/>
        <v>2645997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508" t="s">
        <v>500</v>
      </c>
      <c r="B49" s="61"/>
      <c r="C49" s="310">
        <v>233815</v>
      </c>
      <c r="D49" s="310"/>
      <c r="E49" s="279">
        <f t="shared" si="2"/>
        <v>233815</v>
      </c>
    </row>
    <row r="50" spans="1:5" ht="12.75">
      <c r="A50" s="2" t="s">
        <v>180</v>
      </c>
      <c r="C50" s="251">
        <f>SUM(C41:C49)</f>
        <v>2983812</v>
      </c>
      <c r="D50" s="251">
        <f>SUM(D41:D49)</f>
        <v>0</v>
      </c>
      <c r="E50" s="251">
        <f>SUM(E41:E49)</f>
        <v>2983812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104000</v>
      </c>
      <c r="D56" s="294"/>
      <c r="E56" s="251">
        <f t="shared" si="3"/>
        <v>104000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311" t="s">
        <v>497</v>
      </c>
      <c r="B59" s="61"/>
      <c r="C59" s="294">
        <v>2832249</v>
      </c>
      <c r="D59" s="294"/>
      <c r="E59" s="251">
        <f t="shared" si="3"/>
        <v>2832249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500</v>
      </c>
      <c r="B61" s="61"/>
      <c r="C61" s="294">
        <v>204984</v>
      </c>
      <c r="D61" s="294"/>
      <c r="E61" s="251">
        <f t="shared" si="3"/>
        <v>204984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3141233</v>
      </c>
      <c r="D63" s="251">
        <f>SUM(D53:D61)</f>
        <v>0</v>
      </c>
      <c r="E63" s="251">
        <f>SUM(E53:E61)</f>
        <v>3141233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25">
      <selection activeCell="A9" sqref="A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465</v>
      </c>
      <c r="B5" s="8"/>
      <c r="C5" s="8" t="s">
        <v>2</v>
      </c>
      <c r="D5" s="8"/>
      <c r="E5" s="8"/>
      <c r="F5" s="8"/>
    </row>
    <row r="6" spans="1:6" ht="12.75">
      <c r="A6" s="416" t="s">
        <v>444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91" t="str">
        <f>REGINFO!A3</f>
        <v>Utility Name: Waterloo North Hydro Inc.</v>
      </c>
      <c r="B8" s="20"/>
      <c r="C8" s="25"/>
      <c r="D8" s="25"/>
      <c r="E8" s="25"/>
      <c r="F8" s="20"/>
    </row>
    <row r="9" spans="1:6" ht="13.5" thickBot="1">
      <c r="A9" s="501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100459.46875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474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&amp;R&amp;9Waterloo North Hydro Inc.
EB-2011-0201 - 2012 IRM Filing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1">
      <selection activeCell="C30" sqref="C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2"/>
    </row>
    <row r="4" spans="1:6" ht="15.75">
      <c r="A4" s="465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91" t="str">
        <f>REGINFO!A3</f>
        <v>Utility Name: Waterloo North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501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>
        <v>555182</v>
      </c>
      <c r="D30" s="295"/>
      <c r="E30" s="313">
        <f t="shared" si="0"/>
        <v>555182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295">
        <v>8921</v>
      </c>
      <c r="D32" s="295"/>
      <c r="E32" s="313">
        <f t="shared" si="0"/>
        <v>8921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295"/>
      <c r="D35" s="295"/>
      <c r="E35" s="313">
        <f t="shared" si="0"/>
        <v>0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395</v>
      </c>
      <c r="B47" t="s">
        <v>189</v>
      </c>
      <c r="C47" s="251">
        <f>SUM(C19:C46)</f>
        <v>564103</v>
      </c>
      <c r="D47" s="251">
        <f>SUM(D19:D46)</f>
        <v>0</v>
      </c>
      <c r="E47" s="251">
        <f>SUM(E19:E46)</f>
        <v>564103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387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435</v>
      </c>
      <c r="B54" s="8" t="s">
        <v>188</v>
      </c>
      <c r="C54" s="294">
        <v>24808</v>
      </c>
      <c r="D54" s="294"/>
      <c r="E54" s="251">
        <f t="shared" si="1"/>
        <v>24808</v>
      </c>
    </row>
    <row r="55" spans="1:5" ht="12.75">
      <c r="A55" s="67" t="s">
        <v>443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455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451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454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392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385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494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394</v>
      </c>
      <c r="B73" s="8" t="s">
        <v>189</v>
      </c>
      <c r="C73" s="251">
        <f>SUM(C51:C72)</f>
        <v>24808</v>
      </c>
      <c r="D73" s="251">
        <f>SUM(D51:D72)</f>
        <v>0</v>
      </c>
      <c r="E73" s="251">
        <f>SUM(E51:E72)</f>
        <v>24808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28">
      <selection activeCell="H50" sqref="H50:I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94" t="str">
        <f>REGINFO!A3</f>
        <v>Utility Name: Waterloo North Hydro Inc.</v>
      </c>
      <c r="B4" s="495"/>
      <c r="C4" s="496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503" t="str">
        <f>REGINFO!A4</f>
        <v>Reporting period:  2004</v>
      </c>
      <c r="B5" s="504"/>
      <c r="C5" s="505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478</v>
      </c>
      <c r="B8" s="523"/>
      <c r="C8" s="523"/>
      <c r="D8" s="52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6" t="s">
        <v>111</v>
      </c>
      <c r="D10" s="376"/>
      <c r="E10" s="376" t="s">
        <v>111</v>
      </c>
      <c r="F10" s="377" t="s">
        <v>479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471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472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493</v>
      </c>
      <c r="B23" s="517"/>
      <c r="C23" s="517"/>
      <c r="D23" s="517"/>
      <c r="E23" s="517"/>
      <c r="F23" s="517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489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490</v>
      </c>
      <c r="B39" s="407" t="s">
        <v>471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491</v>
      </c>
      <c r="B40" s="408" t="s">
        <v>488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335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487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0"/>
      <c r="I50" s="49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0"/>
      <c r="I51" s="49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0"/>
      <c r="I52" s="49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7" t="s">
        <v>471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8" t="s">
        <v>488</v>
      </c>
      <c r="C58" s="363">
        <v>49979597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350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2" r:id="rId1"/>
  <headerFooter alignWithMargins="0">
    <oddHeader>&amp;R&amp;9Waterloo North Hydro Inc.
EB-2011-0201 - 2012 IRM Filing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7">
      <selection activeCell="E12" sqref="E12:I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3.5" thickBot="1">
      <c r="A2" s="2" t="s">
        <v>457</v>
      </c>
      <c r="B2" s="2"/>
    </row>
    <row r="3" spans="1:15" ht="13.5" thickBot="1">
      <c r="A3" s="494" t="str">
        <f>REGINFO!A3</f>
        <v>Utility Name: Waterloo North Hydro Inc.</v>
      </c>
      <c r="B3" s="497"/>
      <c r="C3" s="498"/>
      <c r="O3" s="417" t="str">
        <f>REGINFO!E1</f>
        <v>Version 2009.1</v>
      </c>
    </row>
    <row r="4" spans="1:15" ht="13.5" thickBot="1">
      <c r="A4" s="503" t="str">
        <f>REGINFO!A4</f>
        <v>Reporting period:  2004</v>
      </c>
      <c r="B4" s="506"/>
      <c r="C4" s="507"/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1019282</v>
      </c>
      <c r="F11" s="420"/>
      <c r="G11" s="397">
        <f>E22</f>
        <v>702388</v>
      </c>
      <c r="H11" s="420"/>
      <c r="I11" s="397">
        <f>G22</f>
        <v>594205.6476800004</v>
      </c>
      <c r="J11" s="391"/>
      <c r="K11" s="397">
        <f>I22</f>
        <v>-165068.32310527144</v>
      </c>
      <c r="L11" s="391"/>
      <c r="M11" s="397">
        <f>K22</f>
        <v>677540.1768947286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>
        <v>1013161</v>
      </c>
      <c r="D12" s="392"/>
      <c r="E12" s="511">
        <v>3370434</v>
      </c>
      <c r="F12" s="512"/>
      <c r="G12" s="513">
        <f>C12+E12</f>
        <v>4383595</v>
      </c>
      <c r="H12" s="512"/>
      <c r="I12" s="513">
        <f>(E12/12*9)+(G12/12*3)</f>
        <v>3623724.25</v>
      </c>
      <c r="J12" s="392"/>
      <c r="K12" s="419">
        <f>E12/12*3</f>
        <v>842608.5</v>
      </c>
      <c r="L12" s="392"/>
      <c r="M12" s="419">
        <f>K13/9*12/4</f>
        <v>0</v>
      </c>
      <c r="N12" s="392"/>
      <c r="O12" s="397">
        <f aca="true" t="shared" si="0" ref="O12:O20">SUM(C12:N12)</f>
        <v>13233522.75</v>
      </c>
    </row>
    <row r="13" spans="1:15" ht="27" customHeight="1">
      <c r="A13" s="81" t="s">
        <v>438</v>
      </c>
      <c r="B13" s="66"/>
      <c r="C13" s="419"/>
      <c r="D13" s="392"/>
      <c r="E13" s="513"/>
      <c r="F13" s="512"/>
      <c r="G13" s="513"/>
      <c r="H13" s="512"/>
      <c r="I13" s="513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511"/>
      <c r="F14" s="512"/>
      <c r="G14" s="511"/>
      <c r="H14" s="512"/>
      <c r="I14" s="511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511">
        <v>7980</v>
      </c>
      <c r="F15" s="512"/>
      <c r="G15" s="511">
        <v>-40749.35232</v>
      </c>
      <c r="H15" s="512"/>
      <c r="I15" s="511">
        <v>-711391.1379360465</v>
      </c>
      <c r="J15" s="392"/>
      <c r="K15" s="396"/>
      <c r="L15" s="392"/>
      <c r="M15" s="419">
        <f>TAXCALC!E132</f>
        <v>-206167.0731346154</v>
      </c>
      <c r="N15" s="392"/>
      <c r="O15" s="397">
        <f t="shared" si="0"/>
        <v>-950327.5633906618</v>
      </c>
    </row>
    <row r="16" spans="1:15" ht="27" customHeight="1">
      <c r="A16" s="81" t="s">
        <v>399</v>
      </c>
      <c r="B16" s="66"/>
      <c r="C16" s="396"/>
      <c r="D16" s="392"/>
      <c r="E16" s="511"/>
      <c r="F16" s="512"/>
      <c r="G16" s="511"/>
      <c r="H16" s="512"/>
      <c r="I16" s="511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511"/>
      <c r="F17" s="512"/>
      <c r="G17" s="511"/>
      <c r="H17" s="512"/>
      <c r="I17" s="511">
        <v>-149406.08284922547</v>
      </c>
      <c r="J17" s="392"/>
      <c r="K17" s="396"/>
      <c r="L17" s="392"/>
      <c r="M17" s="419">
        <f>TAXCALC!E181</f>
        <v>-335462.3845873185</v>
      </c>
      <c r="N17" s="392"/>
      <c r="O17" s="397">
        <f t="shared" si="0"/>
        <v>-484868.467436544</v>
      </c>
    </row>
    <row r="18" spans="1:15" ht="25.5">
      <c r="A18" s="81" t="s">
        <v>401</v>
      </c>
      <c r="B18" s="66" t="s">
        <v>190</v>
      </c>
      <c r="C18" s="396"/>
      <c r="D18" s="392"/>
      <c r="E18" s="511"/>
      <c r="F18" s="512"/>
      <c r="G18" s="511"/>
      <c r="H18" s="512"/>
      <c r="I18" s="511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402</v>
      </c>
      <c r="B19" s="66" t="s">
        <v>190</v>
      </c>
      <c r="C19" s="396">
        <v>6121</v>
      </c>
      <c r="D19" s="392"/>
      <c r="E19" s="511">
        <v>106404</v>
      </c>
      <c r="F19" s="512"/>
      <c r="G19" s="511">
        <v>69532</v>
      </c>
      <c r="H19" s="512"/>
      <c r="I19" s="511">
        <v>23454</v>
      </c>
      <c r="J19" s="392"/>
      <c r="K19" s="396"/>
      <c r="L19" s="392"/>
      <c r="M19" s="396"/>
      <c r="N19" s="392"/>
      <c r="O19" s="397">
        <f t="shared" si="0"/>
        <v>205511</v>
      </c>
    </row>
    <row r="20" spans="1:15" ht="24.75" customHeight="1">
      <c r="A20" s="81" t="s">
        <v>470</v>
      </c>
      <c r="B20" s="66" t="s">
        <v>188</v>
      </c>
      <c r="C20" s="419">
        <v>0</v>
      </c>
      <c r="D20" s="392"/>
      <c r="E20" s="511">
        <v>-3801712</v>
      </c>
      <c r="F20" s="512"/>
      <c r="G20" s="511">
        <v>-4520560</v>
      </c>
      <c r="H20" s="512"/>
      <c r="I20" s="511">
        <v>-3545655</v>
      </c>
      <c r="J20" s="392"/>
      <c r="K20" s="396"/>
      <c r="L20" s="392"/>
      <c r="M20" s="396"/>
      <c r="N20" s="392"/>
      <c r="O20" s="397">
        <f t="shared" si="0"/>
        <v>-11867927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372</v>
      </c>
      <c r="B22" s="34"/>
      <c r="C22" s="398">
        <f>SUM(C11:C20)</f>
        <v>1019282</v>
      </c>
      <c r="D22" s="420"/>
      <c r="E22" s="398">
        <f>SUM(E11:E20)</f>
        <v>702388</v>
      </c>
      <c r="F22" s="420"/>
      <c r="G22" s="398">
        <f>SUM(G11:G20)</f>
        <v>594205.6476800004</v>
      </c>
      <c r="H22" s="420"/>
      <c r="I22" s="398">
        <f>SUM(I11:I20)</f>
        <v>-165068.32310527144</v>
      </c>
      <c r="J22" s="391"/>
      <c r="K22" s="398">
        <f>SUM(K11:K20)</f>
        <v>677540.1768947286</v>
      </c>
      <c r="L22" s="391"/>
      <c r="M22" s="398">
        <f>SUM(M11:M21)</f>
        <v>135910.7191727946</v>
      </c>
      <c r="N22" s="391"/>
      <c r="O22" s="451">
        <f>SUM(O11:O20)</f>
        <v>135910.71917279437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403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404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405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406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1"/>
      <c r="Q33" s="421"/>
      <c r="R33" s="421"/>
      <c r="S33" s="421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1"/>
      <c r="Q34" s="421"/>
      <c r="R34" s="421"/>
      <c r="S34" s="421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1"/>
      <c r="Q35" s="421"/>
      <c r="R35" s="421"/>
      <c r="S35" s="421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1"/>
      <c r="Q36" s="421"/>
      <c r="R36" s="421"/>
      <c r="S36" s="421"/>
    </row>
    <row r="37" spans="1:19" ht="12.75">
      <c r="A37" s="438" t="s">
        <v>369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410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411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412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413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414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415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416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417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418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415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419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420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422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423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379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424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425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381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380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382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426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427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428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5" t="s">
        <v>371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&amp;R&amp;9Waterloo North Hydro Inc.
EB-2011-0201 - 2012 IRM Filing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2011-07-07T18:02:45Z</cp:lastPrinted>
  <dcterms:created xsi:type="dcterms:W3CDTF">2001-11-07T16:15:53Z</dcterms:created>
  <dcterms:modified xsi:type="dcterms:W3CDTF">2011-10-24T13:52:33Z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