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85" windowWidth="12300" windowHeight="855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Nancy Whissell</author>
  </authors>
  <commentList>
    <comment ref="C143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CMT tax calculation - not sure if I put it here</t>
        </r>
      </text>
    </comment>
  </commentList>
</comments>
</file>

<file path=xl/comments7.xml><?xml version="1.0" encoding="utf-8"?>
<comments xmlns="http://schemas.openxmlformats.org/spreadsheetml/2006/main">
  <authors>
    <author>Nancy Whissell</author>
  </authors>
  <commentList>
    <comment ref="K13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reduction in entitlement - recalc 2001 PIL proxy using updated rates 2003/2004
</t>
        </r>
      </text>
    </comment>
    <comment ref="K17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2004 SIMPIL true up plus a $200 credit re 2002 SIMPIL proxy adjusted for changes in tax rates
</t>
        </r>
      </text>
    </comment>
  </commentList>
</comments>
</file>

<file path=xl/sharedStrings.xml><?xml version="1.0" encoding="utf-8"?>
<sst xmlns="http://schemas.openxmlformats.org/spreadsheetml/2006/main" count="1059" uniqueCount="638">
  <si>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</si>
  <si>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</si>
  <si>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</si>
  <si>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</si>
  <si>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</si>
  <si>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</si>
  <si>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</si>
  <si>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</si>
  <si>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</si>
  <si>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</si>
  <si>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</si>
  <si>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</si>
  <si>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</si>
  <si>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</si>
  <si>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</si>
  <si>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</si>
  <si>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</si>
  <si>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</si>
  <si>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</si>
  <si>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</si>
  <si>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</si>
  <si>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</si>
  <si>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</si>
  <si>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</si>
  <si>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</si>
  <si>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</si>
  <si>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</si>
  <si>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</si>
  <si>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</si>
  <si>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</si>
  <si>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</si>
  <si>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</si>
  <si>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</si>
  <si>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</si>
  <si>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</si>
  <si>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</si>
  <si>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</si>
  <si>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</si>
  <si>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</si>
  <si>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</si>
  <si>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</si>
  <si>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</si>
  <si>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</si>
  <si>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</si>
  <si>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</si>
  <si>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</si>
  <si>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</si>
  <si>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</si>
  <si>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</si>
  <si>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</si>
  <si>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</si>
  <si>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</si>
  <si>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</si>
  <si>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</si>
  <si>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</si>
  <si>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</si>
  <si>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</si>
  <si>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</si>
  <si>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</si>
  <si>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</si>
  <si>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</si>
  <si>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</si>
  <si>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</si>
  <si>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</si>
  <si>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</si>
  <si>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</si>
  <si>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</si>
  <si>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</si>
  <si>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</si>
  <si>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</si>
  <si>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</si>
  <si>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</si>
  <si>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</si>
  <si>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</si>
  <si>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</si>
  <si>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</si>
  <si>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</si>
  <si>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</si>
  <si>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</si>
  <si>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</si>
  <si>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</si>
  <si>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</si>
  <si>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</si>
  <si>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</si>
  <si>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</si>
  <si>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</si>
  <si>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</si>
  <si>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</si>
  <si>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</si>
  <si>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</si>
  <si>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</si>
  <si>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</si>
  <si>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</si>
  <si>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</si>
  <si>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</si>
  <si>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</si>
  <si>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</si>
  <si>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</si>
  <si>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</si>
  <si>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</si>
  <si>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</si>
  <si>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</si>
  <si>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</si>
  <si>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</si>
  <si>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</si>
  <si>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</si>
  <si>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</si>
  <si>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</si>
  <si>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</si>
  <si>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</si>
  <si>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</si>
  <si>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</si>
  <si>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</si>
  <si>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</si>
  <si>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</si>
  <si>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</si>
  <si>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</si>
  <si>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</si>
  <si>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</si>
  <si>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</si>
  <si>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</si>
  <si>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</si>
  <si>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</si>
  <si>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</si>
  <si>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</si>
  <si>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</si>
  <si>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</si>
  <si>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</si>
  <si>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</si>
  <si>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</si>
  <si>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</si>
  <si>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</si>
  <si>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</si>
  <si>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</si>
  <si>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</si>
  <si>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</si>
  <si>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</si>
  <si>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</si>
  <si>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</si>
  <si>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</si>
  <si>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</si>
  <si>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</si>
  <si>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</si>
  <si>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</si>
  <si>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</si>
  <si>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</si>
  <si>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</si>
  <si>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</si>
  <si>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</si>
  <si>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</si>
  <si>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</si>
  <si>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</si>
  <si>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</si>
  <si>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</si>
  <si>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</si>
  <si>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</si>
  <si>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</si>
  <si>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</si>
  <si>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</si>
  <si>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</si>
  <si>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</si>
  <si>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</si>
  <si>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</si>
  <si>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</si>
  <si>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</si>
  <si>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</si>
  <si>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</si>
  <si>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</si>
  <si>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</si>
  <si>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</si>
  <si>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</si>
  <si>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</si>
  <si>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</si>
  <si>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</si>
  <si>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</si>
  <si>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</si>
  <si>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</si>
  <si>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</si>
  <si>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</si>
  <si>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</si>
  <si>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</si>
  <si>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</si>
  <si>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</si>
  <si>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</si>
  <si>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</si>
  <si>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</si>
  <si>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</si>
  <si>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</si>
  <si>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</si>
  <si>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</si>
  <si>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</si>
  <si>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</si>
  <si>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</si>
  <si>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</si>
  <si>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</si>
  <si>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</si>
  <si>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</si>
  <si>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</si>
  <si>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</si>
  <si>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</si>
  <si>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</si>
  <si>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</si>
  <si>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</si>
  <si>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</si>
  <si>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</si>
  <si>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</si>
  <si>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</si>
  <si>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</si>
  <si>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</si>
  <si>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</si>
  <si>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</si>
  <si>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</si>
  <si>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</si>
  <si>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</si>
  <si>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</si>
  <si>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</si>
  <si>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</si>
  <si>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</si>
  <si>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</si>
  <si>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</si>
  <si>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</si>
  <si>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</si>
  <si>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</si>
  <si>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</si>
  <si>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</si>
  <si>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</si>
  <si>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</si>
  <si>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</si>
  <si>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</si>
  <si>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</si>
  <si>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</si>
  <si>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</si>
  <si>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</si>
  <si>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</si>
  <si>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</si>
  <si>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</si>
  <si>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</si>
  <si>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</si>
  <si>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</si>
  <si>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</si>
  <si>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</si>
  <si>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</si>
  <si>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</si>
  <si>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</si>
  <si>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</si>
  <si>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</si>
  <si>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</si>
  <si>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</si>
  <si>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</si>
  <si>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</si>
  <si>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</si>
  <si>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</si>
  <si>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</si>
  <si>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</si>
  <si>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</si>
  <si>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</si>
  <si>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</si>
  <si>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</si>
  <si>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</si>
  <si>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</si>
  <si>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</si>
  <si>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</si>
  <si>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</si>
  <si>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</si>
  <si>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</si>
  <si>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</si>
  <si>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</si>
  <si>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</si>
  <si>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</si>
  <si>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</si>
  <si>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</si>
  <si>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</si>
  <si>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</si>
  <si>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</si>
  <si>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</si>
  <si>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</si>
  <si>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</si>
  <si>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</si>
  <si>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</si>
  <si>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</si>
  <si>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</si>
  <si>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</si>
  <si>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</si>
  <si>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</si>
  <si>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</si>
  <si>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</si>
  <si>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</si>
  <si>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</si>
  <si>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</si>
  <si>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</si>
  <si>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</si>
  <si>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</si>
  <si>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</si>
  <si>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</si>
  <si>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</si>
  <si>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</si>
  <si>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</si>
  <si>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</si>
  <si>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</si>
  <si>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</si>
  <si>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</si>
  <si>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</si>
  <si>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</si>
  <si>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</si>
  <si>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</si>
  <si>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</si>
  <si>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</si>
  <si>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</si>
  <si>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</si>
  <si>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</si>
  <si>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</si>
  <si>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</si>
  <si>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</si>
  <si>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</si>
  <si>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</si>
  <si>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</si>
  <si>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</si>
  <si>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</si>
  <si>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</si>
  <si>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</si>
  <si>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</si>
  <si>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</si>
  <si>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</si>
  <si>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</si>
  <si>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</si>
  <si>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</si>
  <si>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</si>
  <si>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</si>
  <si>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</si>
  <si>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</si>
  <si>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</si>
  <si>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</si>
  <si>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</si>
  <si>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</si>
  <si>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</si>
  <si>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</si>
  <si>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</si>
  <si>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</si>
  <si>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</si>
  <si>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</si>
  <si>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</si>
  <si>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</si>
  <si>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</si>
  <si>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</si>
  <si>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</si>
  <si>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</si>
  <si>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</si>
  <si>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</si>
  <si>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</si>
  <si>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</si>
  <si>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</si>
  <si>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</si>
  <si>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</si>
  <si>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</si>
  <si>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</si>
  <si>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</si>
  <si>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</si>
  <si>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</si>
  <si>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</si>
  <si>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</si>
  <si>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</si>
  <si>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</si>
  <si>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</si>
  <si>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</si>
  <si>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</si>
  <si>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</si>
  <si>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</si>
  <si>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</si>
  <si>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</si>
  <si>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</si>
  <si>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</si>
  <si>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</si>
  <si>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</si>
  <si>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</si>
  <si>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</si>
  <si>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</si>
  <si>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</si>
  <si>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</si>
  <si>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</si>
  <si>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</si>
  <si>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</si>
  <si>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</si>
  <si>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</si>
  <si>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</si>
  <si>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</si>
  <si>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</si>
  <si>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</si>
  <si>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</si>
  <si>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</si>
  <si>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</si>
  <si>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</si>
  <si>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</si>
  <si>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</si>
  <si>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</si>
  <si>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</si>
  <si>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</si>
  <si>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</si>
  <si>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</si>
  <si>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</si>
  <si>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</si>
  <si>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</si>
  <si>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</si>
  <si>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</si>
  <si>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</si>
  <si>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</si>
  <si>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</si>
  <si>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</si>
  <si>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</si>
  <si>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</si>
  <si>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</si>
  <si>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</si>
  <si>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</si>
  <si>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</si>
  <si>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</si>
  <si>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</si>
  <si>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</si>
  <si>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</si>
  <si>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</si>
  <si>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</si>
  <si>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</si>
  <si>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</si>
  <si>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</si>
  <si>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</si>
  <si>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</si>
  <si>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</si>
  <si>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</si>
  <si>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</si>
  <si>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</si>
  <si>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</si>
  <si>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</si>
  <si>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</si>
  <si>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</si>
  <si>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</si>
  <si>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</si>
  <si>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</si>
  <si>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</si>
  <si>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</si>
  <si>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</si>
  <si>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</si>
  <si>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</si>
  <si>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</si>
  <si>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</si>
  <si>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</si>
  <si>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</si>
  <si>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</si>
  <si>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</si>
  <si>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</si>
  <si>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</si>
  <si>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</si>
  <si>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</si>
  <si>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</si>
  <si>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</si>
  <si>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</si>
  <si>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</si>
  <si>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</si>
  <si>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</si>
  <si>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</si>
  <si>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</si>
  <si>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</si>
  <si>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</si>
  <si>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</si>
  <si>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</si>
  <si>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</si>
  <si>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</si>
  <si>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</si>
  <si>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</si>
  <si>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</si>
  <si>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</si>
  <si>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</si>
  <si>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</si>
  <si>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</si>
  <si>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</si>
  <si>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</si>
  <si>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</si>
  <si>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</si>
  <si>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</si>
  <si>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</si>
  <si>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</si>
  <si>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</si>
  <si>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</si>
  <si>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</si>
  <si>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</si>
  <si>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</si>
  <si>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</si>
  <si>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</si>
  <si>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</si>
  <si>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</si>
  <si>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</si>
  <si>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</si>
  <si>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</si>
  <si>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</si>
  <si>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</si>
  <si>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</si>
  <si>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</si>
  <si>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</si>
  <si>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</si>
  <si>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</si>
  <si>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</si>
  <si>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</si>
  <si>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</si>
  <si>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</si>
  <si>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</si>
  <si>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</si>
  <si>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</si>
  <si>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</si>
  <si>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</si>
  <si>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</si>
  <si>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</si>
  <si>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</si>
  <si>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</si>
  <si>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</si>
  <si>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</si>
  <si>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</si>
  <si>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</si>
  <si>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</si>
  <si>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</si>
  <si>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</si>
  <si>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</si>
  <si>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</si>
  <si>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</si>
  <si>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</si>
  <si>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</si>
  <si>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</si>
  <si>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</si>
  <si>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</si>
  <si>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</si>
  <si>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</si>
  <si>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</si>
  <si>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</si>
  <si>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</si>
  <si>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</si>
  <si>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</si>
  <si>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</si>
  <si>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</si>
  <si>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</si>
  <si>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</si>
  <si>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</si>
  <si>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</si>
  <si>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</si>
  <si>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</si>
  <si>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</si>
  <si>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</si>
  <si>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</si>
  <si>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</si>
  <si>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</si>
  <si>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</si>
  <si>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</si>
  <si>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</si>
  <si>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</si>
  <si>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</si>
  <si>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</si>
  <si>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</si>
  <si>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</si>
  <si>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</si>
  <si>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</si>
  <si>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</si>
  <si>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</si>
  <si>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</si>
  <si>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</si>
  <si>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</si>
  <si>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</si>
  <si>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</si>
  <si>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</si>
  <si>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</si>
  <si>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</si>
  <si>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</si>
  <si>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</si>
  <si>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</si>
  <si>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</si>
  <si>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</si>
  <si>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</si>
  <si>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</si>
  <si>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</si>
  <si>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</si>
  <si>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</si>
  <si>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</si>
  <si>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</si>
  <si>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</si>
  <si>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</si>
  <si>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</si>
  <si>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</si>
  <si>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</si>
  <si>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</si>
  <si>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</si>
  <si>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</si>
  <si>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</si>
  <si>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</si>
  <si>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</si>
  <si>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</si>
  <si>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</si>
  <si>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</si>
  <si>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</si>
  <si>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</si>
  <si>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</si>
  <si>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</si>
  <si>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</si>
  <si>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</si>
  <si>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</si>
  <si>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</si>
  <si>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</si>
  <si>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</si>
  <si>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</si>
  <si>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</si>
  <si>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</si>
  <si>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</si>
  <si>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</si>
  <si>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</si>
  <si>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</si>
  <si>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</si>
  <si>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</si>
  <si>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</si>
  <si>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</si>
  <si>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</si>
  <si>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</si>
  <si>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</si>
  <si>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</si>
  <si>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</si>
  <si>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</si>
  <si>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</si>
  <si>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</si>
  <si>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</si>
  <si>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</si>
  <si>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</si>
  <si>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</si>
  <si>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</si>
  <si>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</si>
  <si>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</si>
  <si>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</si>
  <si>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</si>
  <si>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</si>
  <si>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</si>
  <si>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</si>
  <si>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</si>
  <si>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</si>
  <si>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Utility Name:  West Nipissing Energy Services Ltd</t>
  </si>
  <si>
    <t>2005/1231</t>
  </si>
  <si>
    <t>PPAdj ($338,255), Gain on LTD ext ($338,000), ded'n 111(5.1) ($460,118)</t>
  </si>
  <si>
    <t>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</si>
</sst>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mmm\-yyyy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5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3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4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3" fontId="3" fillId="0" borderId="47" xfId="42" applyNumberFormat="1" applyFont="1" applyFill="1" applyBorder="1" applyAlignment="1" applyProtection="1">
      <alignment horizontal="center" vertical="top"/>
      <protection locked="0"/>
    </xf>
    <xf numFmtId="4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2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1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2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7" xfId="42" applyNumberFormat="1" applyFont="1" applyFill="1" applyBorder="1" applyAlignment="1" applyProtection="1">
      <alignment horizontal="center" vertical="top"/>
      <protection locked="0"/>
    </xf>
    <xf numFmtId="4" fontId="9" fillId="41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8" xfId="0" applyFont="1" applyFill="1" applyBorder="1" applyAlignment="1" applyProtection="1">
      <alignment horizontal="center" vertical="top"/>
      <protection locked="0"/>
    </xf>
    <xf numFmtId="3" fontId="3" fillId="41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3" fontId="3" fillId="41" borderId="53" xfId="42" applyNumberFormat="1" applyFont="1" applyFill="1" applyBorder="1" applyAlignment="1" applyProtection="1">
      <alignment horizontal="center" vertical="top"/>
      <protection locked="0"/>
    </xf>
    <xf numFmtId="0" fontId="9" fillId="41" borderId="51" xfId="0" applyFont="1" applyFill="1" applyBorder="1" applyAlignment="1" applyProtection="1">
      <alignment horizontal="center" vertical="center" wrapText="1"/>
      <protection locked="0"/>
    </xf>
    <xf numFmtId="3" fontId="3" fillId="37" borderId="47" xfId="42" applyNumberFormat="1" applyFont="1" applyFill="1" applyBorder="1" applyAlignment="1" applyProtection="1">
      <alignment horizontal="center" vertical="top"/>
      <protection locked="0"/>
    </xf>
    <xf numFmtId="4" fontId="9" fillId="37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8" xfId="0" applyFont="1" applyFill="1" applyBorder="1" applyAlignment="1" applyProtection="1">
      <alignment horizontal="center" vertical="top"/>
      <protection locked="0"/>
    </xf>
    <xf numFmtId="3" fontId="3" fillId="37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0" fontId="9" fillId="37" borderId="51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7" xfId="0" applyFont="1" applyFill="1" applyBorder="1" applyAlignment="1">
      <alignment horizontal="center" vertical="top"/>
    </xf>
    <xf numFmtId="0" fontId="3" fillId="36" borderId="48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5" xfId="0" applyBorder="1" applyAlignment="1">
      <alignment horizontal="center" vertical="top"/>
    </xf>
    <xf numFmtId="0" fontId="0" fillId="0" borderId="55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3" fontId="0" fillId="41" borderId="14" xfId="0" applyNumberFormat="1" applyFill="1" applyBorder="1" applyAlignment="1">
      <alignment horizontal="center" vertical="top"/>
    </xf>
    <xf numFmtId="14" fontId="0" fillId="40" borderId="0" xfId="0" applyNumberFormat="1" applyFill="1" applyAlignment="1">
      <alignment horizontal="center" vertical="top"/>
    </xf>
    <xf numFmtId="3" fontId="0" fillId="42" borderId="14" xfId="0" applyNumberFormat="1" applyFill="1" applyBorder="1" applyAlignment="1">
      <alignment horizontal="right" vertical="top"/>
    </xf>
    <xf numFmtId="37" fontId="0" fillId="43" borderId="14" xfId="0" applyNumberFormat="1" applyFill="1" applyBorder="1" applyAlignment="1">
      <alignment vertical="top"/>
    </xf>
    <xf numFmtId="37" fontId="0" fillId="40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40" borderId="0" xfId="0" applyNumberFormat="1" applyFill="1" applyAlignment="1">
      <alignment/>
    </xf>
    <xf numFmtId="37" fontId="0" fillId="36" borderId="0" xfId="0" applyNumberFormat="1" applyFill="1" applyAlignment="1">
      <alignment/>
    </xf>
    <xf numFmtId="37" fontId="0" fillId="36" borderId="56" xfId="0" applyNumberFormat="1" applyFill="1" applyBorder="1" applyAlignment="1" applyProtection="1">
      <alignment/>
      <protection/>
    </xf>
    <xf numFmtId="0" fontId="3" fillId="0" borderId="57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40" borderId="0" xfId="0" applyFont="1" applyFill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36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10" fontId="8" fillId="36" borderId="44" xfId="0" applyNumberFormat="1" applyFont="1" applyFill="1" applyBorder="1" applyAlignment="1" applyProtection="1">
      <alignment horizontal="center" vertical="center"/>
      <protection locked="0"/>
    </xf>
    <xf numFmtId="0" fontId="8" fillId="36" borderId="45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36" borderId="44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vertical="top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0">
      <selection activeCell="J56" sqref="J5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13" t="s">
        <v>634</v>
      </c>
      <c r="C3" s="8"/>
      <c r="D3" s="501" t="s">
        <v>578</v>
      </c>
      <c r="E3" s="8"/>
      <c r="F3" s="8"/>
      <c r="G3" s="8"/>
      <c r="H3" s="8"/>
    </row>
    <row r="4" spans="1:8" ht="12.75">
      <c r="A4" s="513" t="s">
        <v>493</v>
      </c>
      <c r="C4" s="8"/>
      <c r="D4" s="502" t="s">
        <v>579</v>
      </c>
      <c r="E4" s="503"/>
      <c r="H4" s="8"/>
    </row>
    <row r="5" spans="1:8" ht="12.75">
      <c r="A5" s="58"/>
      <c r="C5" s="8"/>
      <c r="D5" s="504" t="s">
        <v>580</v>
      </c>
      <c r="E5" s="440"/>
      <c r="H5" s="8"/>
    </row>
    <row r="6" spans="1:8" ht="12.75">
      <c r="A6" s="2" t="s">
        <v>205</v>
      </c>
      <c r="B6" s="436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79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88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88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88" t="s">
        <v>514</v>
      </c>
    </row>
    <row r="18" spans="1:4" ht="15" customHeight="1">
      <c r="A18" s="437" t="s">
        <v>425</v>
      </c>
      <c r="C18" s="8"/>
      <c r="D18" s="8"/>
    </row>
    <row r="19" spans="1:4" ht="15" customHeight="1">
      <c r="A19" s="533" t="s">
        <v>426</v>
      </c>
      <c r="B19" s="8" t="s">
        <v>423</v>
      </c>
      <c r="C19" s="8" t="s">
        <v>142</v>
      </c>
      <c r="D19" s="436" t="s">
        <v>514</v>
      </c>
    </row>
    <row r="20" spans="1:4" ht="13.5" thickBot="1">
      <c r="A20" s="534"/>
      <c r="B20" s="8" t="s">
        <v>424</v>
      </c>
      <c r="C20" s="8" t="s">
        <v>142</v>
      </c>
      <c r="D20" s="288" t="s">
        <v>514</v>
      </c>
    </row>
    <row r="21" spans="1:4" ht="12.75">
      <c r="A21" s="533" t="s">
        <v>588</v>
      </c>
      <c r="B21" s="8" t="s">
        <v>423</v>
      </c>
      <c r="C21" s="8"/>
      <c r="D21" s="465">
        <v>1</v>
      </c>
    </row>
    <row r="22" spans="1:4" ht="12.75">
      <c r="A22" s="533"/>
      <c r="B22" s="8" t="s">
        <v>424</v>
      </c>
      <c r="C22" s="8"/>
      <c r="D22" s="465">
        <v>1</v>
      </c>
    </row>
    <row r="23" spans="1:4" ht="7.5" customHeight="1">
      <c r="A23" s="51"/>
      <c r="C23" s="8"/>
      <c r="D23" s="436"/>
    </row>
    <row r="24" spans="1:4" ht="12.75">
      <c r="A24" s="51" t="s">
        <v>321</v>
      </c>
      <c r="C24" s="8" t="s">
        <v>322</v>
      </c>
      <c r="D24" s="466" t="s">
        <v>494</v>
      </c>
    </row>
    <row r="25" ht="6.75" customHeight="1" thickBot="1">
      <c r="A25" s="12"/>
    </row>
    <row r="26" spans="1:5" ht="12.75">
      <c r="A26" s="285" t="s">
        <v>145</v>
      </c>
      <c r="C26" s="8"/>
      <c r="E26" s="483" t="s">
        <v>406</v>
      </c>
    </row>
    <row r="27" spans="1:5" ht="12.75">
      <c r="A27" s="286" t="s">
        <v>146</v>
      </c>
      <c r="C27" s="8"/>
      <c r="E27" s="484" t="s">
        <v>407</v>
      </c>
    </row>
    <row r="28" spans="1:3" ht="12.75">
      <c r="A28" s="286" t="s">
        <v>147</v>
      </c>
      <c r="C28" s="44"/>
    </row>
    <row r="29" ht="12.75">
      <c r="A29" s="287" t="s">
        <v>148</v>
      </c>
    </row>
    <row r="30" ht="12.75">
      <c r="A30" s="41"/>
    </row>
    <row r="31" spans="1:8" ht="12.75">
      <c r="A31" t="s">
        <v>401</v>
      </c>
      <c r="D31" s="463">
        <v>3010436</v>
      </c>
      <c r="H31" s="5"/>
    </row>
    <row r="32" ht="6" customHeight="1"/>
    <row r="33" spans="1:8" ht="12.75">
      <c r="A33" t="s">
        <v>149</v>
      </c>
      <c r="D33" s="464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64">
        <v>0.0988</v>
      </c>
      <c r="H37" s="47"/>
    </row>
    <row r="38" ht="4.5" customHeight="1">
      <c r="H38" s="40"/>
    </row>
    <row r="39" spans="1:8" ht="12.75">
      <c r="A39" t="s">
        <v>152</v>
      </c>
      <c r="D39" s="464">
        <v>0.0725</v>
      </c>
      <c r="H39" s="47"/>
    </row>
    <row r="40" ht="6" customHeight="1">
      <c r="H40" s="40"/>
    </row>
    <row r="41" spans="1:8" ht="12.75">
      <c r="A41" t="s">
        <v>153</v>
      </c>
      <c r="D41" s="281">
        <f>D31*((D33*D37)+(D35*D39))</f>
        <v>257843.8434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67"/>
      <c r="E43" s="435">
        <f>D43</f>
        <v>0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1">
        <f>D41-D43</f>
        <v>257843.8434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68">
        <v>257844</v>
      </c>
      <c r="E47" s="435">
        <f aca="true" t="shared" si="0" ref="E47:E53">D47</f>
        <v>257844</v>
      </c>
      <c r="H47" s="46"/>
      <c r="J47" s="5"/>
      <c r="K47" s="5"/>
    </row>
    <row r="48" spans="1:11" ht="12.75">
      <c r="A48" t="s">
        <v>508</v>
      </c>
      <c r="D48" s="468"/>
      <c r="E48" s="435">
        <f t="shared" si="0"/>
        <v>0</v>
      </c>
      <c r="F48" s="28"/>
      <c r="H48" s="46"/>
      <c r="J48" s="5"/>
      <c r="K48" s="5"/>
    </row>
    <row r="49" spans="1:11" ht="12.75">
      <c r="A49" t="s">
        <v>506</v>
      </c>
      <c r="D49" s="468"/>
      <c r="E49" s="435"/>
      <c r="F49" s="28"/>
      <c r="H49" s="46"/>
      <c r="J49" s="5"/>
      <c r="K49" s="5"/>
    </row>
    <row r="50" spans="1:11" ht="12.75">
      <c r="A50" t="s">
        <v>403</v>
      </c>
      <c r="D50" s="469"/>
      <c r="E50" s="435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69"/>
      <c r="E51" s="435">
        <f t="shared" si="0"/>
        <v>0</v>
      </c>
      <c r="F51" s="28"/>
      <c r="H51" s="46"/>
      <c r="J51" s="5"/>
      <c r="K51" s="5"/>
    </row>
    <row r="52" spans="1:11" ht="12.75">
      <c r="A52" t="s">
        <v>509</v>
      </c>
      <c r="D52" s="467"/>
      <c r="E52" s="435">
        <f t="shared" si="0"/>
        <v>0</v>
      </c>
      <c r="H52" s="46"/>
      <c r="J52" s="5"/>
      <c r="K52" s="5"/>
    </row>
    <row r="53" spans="4:11" ht="12.75">
      <c r="D53" s="467">
        <v>6214</v>
      </c>
      <c r="E53" s="435">
        <f t="shared" si="0"/>
        <v>6214</v>
      </c>
      <c r="H53" s="46"/>
      <c r="J53" s="5"/>
      <c r="K53" s="5"/>
    </row>
    <row r="54" spans="1:11" ht="12.75">
      <c r="A54" s="2" t="s">
        <v>404</v>
      </c>
      <c r="E54" s="284">
        <f>SUM(E43:E53)</f>
        <v>264058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2">
        <f>D31*D33</f>
        <v>1505218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2">
        <f>D56*D37</f>
        <v>148715.5384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2">
        <f>D31*D35</f>
        <v>1505218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2">
        <f>D60*D39</f>
        <v>109128.305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3">
        <f>IF(D41&gt;0,(((D43+D47)/D41)*D62),0)</f>
        <v>109128.37127845883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3">
        <f>IF(D41&gt;0,(((D43+D47+D48)/D41)*D62),0)</f>
        <v>109128.37127845883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3">
        <f>D62</f>
        <v>109128.305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headings="1"/>
  <pageMargins left="0.354330708661417" right="0.0393700787401575" top="0.15748031496063" bottom="0.236220472440945" header="0.511811023622047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tabSelected="1" zoomScale="90" zoomScaleNormal="90" zoomScalePageLayoutView="0" workbookViewId="0" topLeftCell="A88">
      <selection activeCell="R126" sqref="R126:R12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14" t="str">
        <f>REGINFO!A3</f>
        <v>Utility Name:  West Nipissing Energy Services Ltd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14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70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70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0">
        <f>REGINFO!E54</f>
        <v>264058</v>
      </c>
      <c r="D15" s="18"/>
      <c r="E15" s="18"/>
      <c r="F15" s="18"/>
      <c r="G15" s="22"/>
      <c r="H15" s="22"/>
      <c r="I15" s="298">
        <f>K15-C15</f>
        <v>27375</v>
      </c>
      <c r="J15" s="3"/>
      <c r="K15" s="298">
        <f>TAXREC!E50</f>
        <v>291433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2">
        <v>172160</v>
      </c>
      <c r="D20" s="20"/>
      <c r="E20" s="20"/>
      <c r="F20" s="20"/>
      <c r="G20" s="23"/>
      <c r="H20" s="23"/>
      <c r="I20" s="298">
        <f aca="true" t="shared" si="0" ref="I20:I25">K20-C20</f>
        <v>21155</v>
      </c>
      <c r="J20" s="6"/>
      <c r="K20" s="298">
        <f>TAXREC!E61</f>
        <v>193315</v>
      </c>
      <c r="L20" s="171"/>
    </row>
    <row r="21" spans="1:12" ht="12.75">
      <c r="A21" s="178" t="s">
        <v>134</v>
      </c>
      <c r="B21" s="145">
        <v>3</v>
      </c>
      <c r="C21" s="292"/>
      <c r="D21" s="17"/>
      <c r="E21" s="17"/>
      <c r="F21" s="17"/>
      <c r="G21" s="23"/>
      <c r="H21" s="23"/>
      <c r="I21" s="298">
        <f t="shared" si="0"/>
        <v>62708</v>
      </c>
      <c r="J21" s="6"/>
      <c r="K21" s="298">
        <f>TAXREC!E62</f>
        <v>62708</v>
      </c>
      <c r="L21" s="171"/>
    </row>
    <row r="22" spans="1:12" ht="12.75">
      <c r="A22" s="178" t="s">
        <v>378</v>
      </c>
      <c r="B22" s="145">
        <v>4</v>
      </c>
      <c r="C22" s="292"/>
      <c r="D22" s="20"/>
      <c r="E22" s="20"/>
      <c r="F22" s="20"/>
      <c r="G22" s="23"/>
      <c r="H22" s="23"/>
      <c r="I22" s="298">
        <f t="shared" si="0"/>
        <v>0</v>
      </c>
      <c r="J22" s="6"/>
      <c r="K22" s="298">
        <f>TAXREC!E63</f>
        <v>0</v>
      </c>
      <c r="L22" s="171"/>
    </row>
    <row r="23" spans="1:12" ht="12.75">
      <c r="A23" s="178" t="s">
        <v>377</v>
      </c>
      <c r="B23" s="145">
        <v>4</v>
      </c>
      <c r="C23" s="292"/>
      <c r="D23" s="20"/>
      <c r="E23" s="20"/>
      <c r="F23" s="20"/>
      <c r="G23" s="23"/>
      <c r="H23" s="23"/>
      <c r="I23" s="298">
        <f t="shared" si="0"/>
        <v>0</v>
      </c>
      <c r="J23" s="6"/>
      <c r="K23" s="298">
        <f>TAXREC!E64</f>
        <v>0</v>
      </c>
      <c r="L23" s="171"/>
    </row>
    <row r="24" spans="1:12" ht="12.75">
      <c r="A24" s="178" t="s">
        <v>379</v>
      </c>
      <c r="B24" s="145">
        <v>5</v>
      </c>
      <c r="C24" s="292"/>
      <c r="D24" s="20"/>
      <c r="E24" s="20"/>
      <c r="F24" s="20"/>
      <c r="G24" s="23"/>
      <c r="H24" s="23"/>
      <c r="I24" s="298">
        <f t="shared" si="0"/>
        <v>0</v>
      </c>
      <c r="J24" s="6"/>
      <c r="K24" s="298">
        <f>TAXREC!E65</f>
        <v>0</v>
      </c>
      <c r="L24" s="171"/>
    </row>
    <row r="25" spans="1:12" ht="12.75">
      <c r="A25" s="178" t="s">
        <v>528</v>
      </c>
      <c r="B25" s="145"/>
      <c r="C25" s="488"/>
      <c r="D25" s="20"/>
      <c r="E25" s="20"/>
      <c r="F25" s="20"/>
      <c r="G25" s="23"/>
      <c r="H25" s="23"/>
      <c r="I25" s="298">
        <f t="shared" si="0"/>
        <v>125897</v>
      </c>
      <c r="J25" s="6"/>
      <c r="K25" s="298">
        <f>TAXREC!E66</f>
        <v>125897</v>
      </c>
      <c r="L25" s="171"/>
    </row>
    <row r="26" spans="1:12" ht="12.75">
      <c r="A26" s="178" t="s">
        <v>131</v>
      </c>
      <c r="B26" s="145"/>
      <c r="C26" s="340" t="s">
        <v>180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2"/>
      <c r="D27" s="20"/>
      <c r="E27" s="20"/>
      <c r="F27" s="20"/>
      <c r="G27" s="23"/>
      <c r="H27" s="23"/>
      <c r="I27" s="298">
        <f>K27-C27</f>
        <v>0</v>
      </c>
      <c r="J27" s="6"/>
      <c r="K27" s="298">
        <f>TAXREC!E92</f>
        <v>0</v>
      </c>
      <c r="L27" s="171"/>
    </row>
    <row r="28" spans="1:12" ht="12.75">
      <c r="A28" s="178" t="s">
        <v>240</v>
      </c>
      <c r="B28" s="145">
        <v>6</v>
      </c>
      <c r="C28" s="292"/>
      <c r="D28" s="20"/>
      <c r="E28" s="20"/>
      <c r="F28" s="20"/>
      <c r="G28" s="23"/>
      <c r="H28" s="23"/>
      <c r="I28" s="298">
        <f>K28-C28</f>
        <v>0</v>
      </c>
      <c r="J28" s="6"/>
      <c r="K28" s="298">
        <f>TAXREC!E93</f>
        <v>0</v>
      </c>
      <c r="L28" s="171"/>
    </row>
    <row r="29" spans="1:12" ht="12.75">
      <c r="A29" s="178" t="s">
        <v>239</v>
      </c>
      <c r="B29" s="145">
        <v>6</v>
      </c>
      <c r="C29" s="292"/>
      <c r="D29" s="20"/>
      <c r="E29" s="20"/>
      <c r="F29" s="20"/>
      <c r="G29" s="23"/>
      <c r="H29" s="23"/>
      <c r="I29" s="298">
        <f>K29-C29</f>
        <v>0</v>
      </c>
      <c r="J29" s="6"/>
      <c r="K29" s="298">
        <f>TAXREC!E67</f>
        <v>0</v>
      </c>
      <c r="L29" s="171"/>
    </row>
    <row r="30" spans="1:12" ht="12.75">
      <c r="A30" s="178" t="s">
        <v>238</v>
      </c>
      <c r="B30" s="145">
        <v>6</v>
      </c>
      <c r="C30" s="292"/>
      <c r="D30" s="20"/>
      <c r="E30" s="20"/>
      <c r="F30" s="20"/>
      <c r="G30" s="23"/>
      <c r="H30" s="23"/>
      <c r="I30" s="298">
        <f>K30-C30</f>
        <v>0</v>
      </c>
      <c r="J30" s="6"/>
      <c r="K30" s="298">
        <f>TAXREC!E68</f>
        <v>0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2">
        <v>269267</v>
      </c>
      <c r="D33" s="20"/>
      <c r="E33" s="20"/>
      <c r="F33" s="20"/>
      <c r="G33" s="150"/>
      <c r="H33" s="150"/>
      <c r="I33" s="298">
        <f aca="true" t="shared" si="1" ref="I33:I43">K33-C33</f>
        <v>-3776</v>
      </c>
      <c r="J33" s="6"/>
      <c r="K33" s="298">
        <f>TAXREC!E97+TAXREC!E98</f>
        <v>265491</v>
      </c>
      <c r="L33" s="171"/>
    </row>
    <row r="34" spans="1:12" ht="12.75">
      <c r="A34" s="178" t="s">
        <v>135</v>
      </c>
      <c r="B34" s="145">
        <v>8</v>
      </c>
      <c r="C34" s="292"/>
      <c r="D34" s="20"/>
      <c r="E34" s="20"/>
      <c r="F34" s="20"/>
      <c r="G34" s="150"/>
      <c r="H34" s="150"/>
      <c r="I34" s="298">
        <f t="shared" si="1"/>
        <v>0</v>
      </c>
      <c r="J34" s="6"/>
      <c r="K34" s="298">
        <f>TAXREC!E99</f>
        <v>0</v>
      </c>
      <c r="L34" s="171"/>
    </row>
    <row r="35" spans="1:12" ht="12.75">
      <c r="A35" s="178" t="s">
        <v>62</v>
      </c>
      <c r="B35" s="145">
        <v>9</v>
      </c>
      <c r="C35" s="292"/>
      <c r="D35" s="20"/>
      <c r="E35" s="20"/>
      <c r="F35" s="20"/>
      <c r="G35" s="150"/>
      <c r="H35" s="150"/>
      <c r="I35" s="298">
        <f t="shared" si="1"/>
        <v>0</v>
      </c>
      <c r="J35" s="6"/>
      <c r="K35" s="298">
        <f>TAXREC!E100</f>
        <v>0</v>
      </c>
      <c r="L35" s="171"/>
    </row>
    <row r="36" spans="1:12" ht="12.75">
      <c r="A36" s="178" t="s">
        <v>380</v>
      </c>
      <c r="B36" s="145">
        <v>10</v>
      </c>
      <c r="C36" s="292"/>
      <c r="D36" s="20"/>
      <c r="E36" s="20"/>
      <c r="F36" s="20"/>
      <c r="G36" s="150"/>
      <c r="H36" s="150"/>
      <c r="I36" s="298">
        <f t="shared" si="1"/>
        <v>0</v>
      </c>
      <c r="J36" s="6"/>
      <c r="K36" s="298">
        <f>TAXREC!E102+TAXREC!E103</f>
        <v>0</v>
      </c>
      <c r="L36" s="171"/>
    </row>
    <row r="37" spans="1:12" ht="12.75">
      <c r="A37" s="178" t="s">
        <v>528</v>
      </c>
      <c r="B37" s="145"/>
      <c r="C37" s="292"/>
      <c r="D37" s="20"/>
      <c r="E37" s="20"/>
      <c r="F37" s="20"/>
      <c r="G37" s="150"/>
      <c r="H37" s="150"/>
      <c r="I37" s="298">
        <f t="shared" si="1"/>
        <v>0</v>
      </c>
      <c r="J37" s="6"/>
      <c r="K37" s="298">
        <f>TAXREC!E104</f>
        <v>0</v>
      </c>
      <c r="L37" s="171"/>
    </row>
    <row r="38" spans="1:12" ht="12.75">
      <c r="A38" s="175" t="s">
        <v>164</v>
      </c>
      <c r="B38" s="143">
        <v>11</v>
      </c>
      <c r="C38" s="291">
        <f>REGINFO!D62</f>
        <v>109128.305</v>
      </c>
      <c r="D38" s="20"/>
      <c r="E38" s="20"/>
      <c r="F38" s="20"/>
      <c r="G38" s="150"/>
      <c r="H38" s="150"/>
      <c r="I38" s="298">
        <f t="shared" si="1"/>
        <v>-109128.305</v>
      </c>
      <c r="J38" s="6"/>
      <c r="K38" s="298">
        <f>TAXREC!E51</f>
        <v>0</v>
      </c>
      <c r="L38" s="171"/>
    </row>
    <row r="39" spans="1:12" ht="12.75">
      <c r="A39" s="175" t="s">
        <v>376</v>
      </c>
      <c r="B39" s="143">
        <v>4</v>
      </c>
      <c r="C39" s="292"/>
      <c r="D39" s="20"/>
      <c r="E39" s="20"/>
      <c r="F39" s="20"/>
      <c r="G39" s="150"/>
      <c r="H39" s="150"/>
      <c r="I39" s="298">
        <f t="shared" si="1"/>
        <v>0</v>
      </c>
      <c r="J39" s="6"/>
      <c r="K39" s="298">
        <f>TAXREC!E105</f>
        <v>0</v>
      </c>
      <c r="L39" s="171"/>
    </row>
    <row r="40" spans="1:12" ht="12.75">
      <c r="A40" s="175" t="s">
        <v>375</v>
      </c>
      <c r="B40" s="143">
        <v>4</v>
      </c>
      <c r="C40" s="292"/>
      <c r="D40" s="20"/>
      <c r="E40" s="20"/>
      <c r="F40" s="20"/>
      <c r="G40" s="150"/>
      <c r="H40" s="150"/>
      <c r="I40" s="298">
        <f t="shared" si="1"/>
        <v>0</v>
      </c>
      <c r="J40" s="6"/>
      <c r="K40" s="298">
        <f>TAXREC!E106</f>
        <v>0</v>
      </c>
      <c r="L40" s="171"/>
    </row>
    <row r="41" spans="1:12" ht="12.75">
      <c r="A41" s="175" t="s">
        <v>28</v>
      </c>
      <c r="B41" s="143">
        <v>3</v>
      </c>
      <c r="C41" s="292"/>
      <c r="D41" s="20"/>
      <c r="E41" s="20"/>
      <c r="F41" s="20"/>
      <c r="G41" s="150"/>
      <c r="H41" s="150"/>
      <c r="I41" s="298">
        <f t="shared" si="1"/>
        <v>0</v>
      </c>
      <c r="J41" s="6"/>
      <c r="K41" s="298">
        <f>TAXREC!E107</f>
        <v>0</v>
      </c>
      <c r="L41" s="171"/>
    </row>
    <row r="42" spans="1:12" ht="12.75">
      <c r="A42" s="175" t="s">
        <v>29</v>
      </c>
      <c r="B42" s="143">
        <v>3</v>
      </c>
      <c r="C42" s="292"/>
      <c r="D42" s="20"/>
      <c r="E42" s="20"/>
      <c r="F42" s="20"/>
      <c r="G42" s="150"/>
      <c r="H42" s="150"/>
      <c r="I42" s="298">
        <f t="shared" si="1"/>
        <v>0</v>
      </c>
      <c r="J42" s="6"/>
      <c r="K42" s="298">
        <f>TAXREC!E108</f>
        <v>0</v>
      </c>
      <c r="L42" s="171"/>
    </row>
    <row r="43" spans="1:12" ht="12.75">
      <c r="A43" s="175" t="s">
        <v>265</v>
      </c>
      <c r="B43" s="143">
        <v>11</v>
      </c>
      <c r="C43" s="292"/>
      <c r="D43" s="20"/>
      <c r="E43" s="20"/>
      <c r="F43" s="20"/>
      <c r="G43" s="150"/>
      <c r="H43" s="150"/>
      <c r="I43" s="298">
        <f t="shared" si="1"/>
        <v>0</v>
      </c>
      <c r="J43" s="6"/>
      <c r="K43" s="298">
        <f>TAXREC!E109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499" t="s">
        <v>548</v>
      </c>
      <c r="B45" s="145">
        <v>12</v>
      </c>
      <c r="C45" s="292"/>
      <c r="D45" s="20"/>
      <c r="E45" s="20"/>
      <c r="F45" s="20"/>
      <c r="G45" s="150"/>
      <c r="H45" s="150"/>
      <c r="I45" s="298">
        <f>K45-C45</f>
        <v>0</v>
      </c>
      <c r="J45" s="6"/>
      <c r="K45" s="281">
        <f>TAXREC!E129</f>
        <v>0</v>
      </c>
      <c r="L45" s="171"/>
    </row>
    <row r="46" spans="1:12" ht="12.75">
      <c r="A46" s="178" t="s">
        <v>237</v>
      </c>
      <c r="B46" s="145">
        <v>12</v>
      </c>
      <c r="C46" s="292"/>
      <c r="D46" s="20"/>
      <c r="E46" s="20"/>
      <c r="F46" s="20"/>
      <c r="G46" s="150"/>
      <c r="H46" s="150"/>
      <c r="I46" s="298">
        <f>K46-C46</f>
        <v>338255</v>
      </c>
      <c r="J46" s="6"/>
      <c r="K46" s="281">
        <f>TAXREC!E130</f>
        <v>338255</v>
      </c>
      <c r="L46" s="171"/>
    </row>
    <row r="47" spans="1:12" ht="12.75">
      <c r="A47" s="178" t="s">
        <v>234</v>
      </c>
      <c r="B47" s="145">
        <v>12</v>
      </c>
      <c r="C47" s="292"/>
      <c r="D47" s="20"/>
      <c r="E47" s="20"/>
      <c r="F47" s="20"/>
      <c r="G47" s="150"/>
      <c r="H47" s="150"/>
      <c r="I47" s="298">
        <f>K47-C47</f>
        <v>0</v>
      </c>
      <c r="J47" s="6"/>
      <c r="K47" s="281">
        <f>TAXREC!E131</f>
        <v>0</v>
      </c>
      <c r="L47" s="171"/>
    </row>
    <row r="48" spans="1:12" ht="12.75">
      <c r="A48" s="178" t="s">
        <v>236</v>
      </c>
      <c r="B48" s="145">
        <v>12</v>
      </c>
      <c r="C48" s="292"/>
      <c r="D48" s="20"/>
      <c r="E48" s="20"/>
      <c r="F48" s="20"/>
      <c r="G48" s="150"/>
      <c r="H48" s="150"/>
      <c r="I48" s="298">
        <f>K48-C48</f>
        <v>0</v>
      </c>
      <c r="J48" s="6"/>
      <c r="K48" s="281">
        <f>TAXREC!E110</f>
        <v>0</v>
      </c>
      <c r="L48" s="171"/>
    </row>
    <row r="49" spans="1:12" ht="12.75">
      <c r="A49" s="178" t="s">
        <v>235</v>
      </c>
      <c r="B49" s="145">
        <v>12</v>
      </c>
      <c r="C49" s="292"/>
      <c r="D49" s="20"/>
      <c r="E49" s="20"/>
      <c r="F49" s="20"/>
      <c r="G49" s="150"/>
      <c r="H49" s="150"/>
      <c r="I49" s="298">
        <f>K49-C49</f>
        <v>0</v>
      </c>
      <c r="J49" s="6"/>
      <c r="K49" s="281">
        <f>TAXREC!E111</f>
        <v>0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4">
        <f>C15+SUM(C20:C30)-SUM(C33:C49)</f>
        <v>57822.69500000001</v>
      </c>
      <c r="D51" s="24"/>
      <c r="E51" s="24"/>
      <c r="F51" s="24"/>
      <c r="G51" s="117"/>
      <c r="H51" s="117"/>
      <c r="I51" s="294">
        <f>I15+SUM(I20:I30)-SUM(I33:I49)</f>
        <v>11784.304999999993</v>
      </c>
      <c r="J51" s="472" t="s">
        <v>484</v>
      </c>
      <c r="K51" s="294">
        <f>K15+SUM(K20:K30)-SUM(K33:K49)</f>
        <v>69607</v>
      </c>
      <c r="L51" s="491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3">
        <f>IF($C$51=0,'Tax Rates'!F34,IF($C$51&gt;'Tax Rates'!$E$11,'Tax Rates'!$F$16,IF($C$51&gt;'Tax Rates'!$C$11,'Tax Rates'!$E$16,'Tax Rates'!$C$16)))</f>
        <v>0.1862</v>
      </c>
      <c r="D54" s="116"/>
      <c r="E54" s="116"/>
      <c r="F54" s="116"/>
      <c r="G54" s="117"/>
      <c r="H54" s="117"/>
      <c r="I54" s="299">
        <f>+K54-C54</f>
        <v>0</v>
      </c>
      <c r="J54" s="472" t="s">
        <v>622</v>
      </c>
      <c r="K54" s="293">
        <f>IF(TAXREC!E151&gt;0,TAXREC!E151,'Tax Rates'!F34)</f>
        <v>0.1862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5">
        <f>IF(C51&gt;0,C51*C54,0)</f>
        <v>10766.585809000002</v>
      </c>
      <c r="D56" s="24"/>
      <c r="E56" s="24"/>
      <c r="F56" s="24"/>
      <c r="G56" s="117"/>
      <c r="H56" s="117"/>
      <c r="I56" s="298">
        <f>K56-C56</f>
        <v>-4521.585809000002</v>
      </c>
      <c r="J56" s="472" t="s">
        <v>485</v>
      </c>
      <c r="K56" s="295">
        <f>TAXREC!E144</f>
        <v>6245</v>
      </c>
      <c r="L56" s="492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6"/>
      <c r="D59" s="20"/>
      <c r="E59" s="20"/>
      <c r="F59" s="20"/>
      <c r="G59" s="150"/>
      <c r="H59" s="150"/>
      <c r="I59" s="298">
        <f>+K59-C59</f>
        <v>0</v>
      </c>
      <c r="J59" s="472" t="s">
        <v>485</v>
      </c>
      <c r="K59" s="301">
        <f>TAXREC!E145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7">
        <f>+C56-C59</f>
        <v>10766.585809000002</v>
      </c>
      <c r="D61" s="151"/>
      <c r="E61" s="151"/>
      <c r="F61" s="151"/>
      <c r="G61" s="152"/>
      <c r="H61" s="152"/>
      <c r="I61" s="300">
        <f>+I56-I59</f>
        <v>-4521.585809000002</v>
      </c>
      <c r="J61" s="472" t="s">
        <v>485</v>
      </c>
      <c r="K61" s="300">
        <f>+K56-K59</f>
        <v>6245</v>
      </c>
      <c r="L61" s="491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5">
        <f>Ratebase</f>
        <v>3010436</v>
      </c>
      <c r="D67" s="116"/>
      <c r="E67" s="116"/>
      <c r="F67" s="116"/>
      <c r="G67" s="117"/>
      <c r="H67" s="117"/>
      <c r="I67" s="298">
        <f>K67-C67</f>
        <v>-1814303</v>
      </c>
      <c r="J67" s="6"/>
      <c r="K67" s="298">
        <f>TAXREC!E219</f>
        <v>1196133</v>
      </c>
      <c r="L67" s="171"/>
    </row>
    <row r="68" spans="1:12" ht="12.75">
      <c r="A68" s="172" t="s">
        <v>477</v>
      </c>
      <c r="B68" s="143">
        <v>16</v>
      </c>
      <c r="C68" s="291">
        <f>IF(C67&gt;0,'Tax Rates'!C21,0)</f>
        <v>7500000</v>
      </c>
      <c r="D68" s="116"/>
      <c r="E68" s="116"/>
      <c r="F68" s="116"/>
      <c r="G68" s="117"/>
      <c r="H68" s="117"/>
      <c r="I68" s="298">
        <f>K68-C68</f>
        <v>-7500000</v>
      </c>
      <c r="J68" s="6"/>
      <c r="K68" s="298">
        <f>TAXREC!E222</f>
        <v>0</v>
      </c>
      <c r="L68" s="171"/>
    </row>
    <row r="69" spans="1:12" ht="12.75">
      <c r="A69" s="172" t="s">
        <v>59</v>
      </c>
      <c r="B69" s="143"/>
      <c r="C69" s="295">
        <f>IF((C67-C68)&gt;0,C67-C68,0)</f>
        <v>0</v>
      </c>
      <c r="D69" s="116"/>
      <c r="E69" s="116"/>
      <c r="F69" s="116"/>
      <c r="G69" s="117"/>
      <c r="H69" s="117"/>
      <c r="I69" s="298">
        <f>SUM(I67:I68)</f>
        <v>-9314303</v>
      </c>
      <c r="J69" s="130"/>
      <c r="K69" s="295">
        <f>IF((K67-K68)&gt;0,K67-K68,0)</f>
        <v>1196133</v>
      </c>
      <c r="L69" s="491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6">
        <f>'Tax Rates'!C18</f>
        <v>0.003</v>
      </c>
      <c r="D71" s="116"/>
      <c r="E71" s="116"/>
      <c r="F71" s="116"/>
      <c r="G71" s="117"/>
      <c r="H71" s="117"/>
      <c r="I71" s="299">
        <f>IF(K71&lt;C71,K71-C71,C71)</f>
        <v>0.003</v>
      </c>
      <c r="J71" s="6"/>
      <c r="K71" s="346">
        <f>TAXREC!E226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5">
        <f>IF(C69&gt;0,C69*C71,0)*REGINFO!$B$6/REGINFO!$B$7</f>
        <v>0</v>
      </c>
      <c r="D73" s="114"/>
      <c r="E73" s="114"/>
      <c r="F73" s="114"/>
      <c r="G73" s="115"/>
      <c r="H73" s="115"/>
      <c r="I73" s="298">
        <f>+K73-C73</f>
        <v>600</v>
      </c>
      <c r="J73" s="130"/>
      <c r="K73" s="295">
        <f>TAXREC!E233</f>
        <v>600</v>
      </c>
      <c r="L73" s="492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5">
        <f>Ratebase</f>
        <v>3010436</v>
      </c>
      <c r="D76" s="116"/>
      <c r="E76" s="116"/>
      <c r="F76" s="116"/>
      <c r="G76" s="117"/>
      <c r="H76" s="117"/>
      <c r="I76" s="298">
        <f>+K76-C76</f>
        <v>-998025</v>
      </c>
      <c r="J76" s="6"/>
      <c r="K76" s="298">
        <f>TAXREC!E284</f>
        <v>2012411</v>
      </c>
      <c r="L76" s="171"/>
    </row>
    <row r="77" spans="1:12" ht="12.75">
      <c r="A77" s="172" t="s">
        <v>477</v>
      </c>
      <c r="B77" s="143">
        <v>19</v>
      </c>
      <c r="C77" s="291">
        <f>IF(C76&gt;0,'Tax Rates'!C22,0)</f>
        <v>50000000</v>
      </c>
      <c r="D77" s="20"/>
      <c r="E77" s="20"/>
      <c r="F77" s="20"/>
      <c r="G77" s="23"/>
      <c r="H77" s="23"/>
      <c r="I77" s="298">
        <f>+K77-C77</f>
        <v>-50000000</v>
      </c>
      <c r="J77" s="6"/>
      <c r="K77" s="298">
        <f>TAXREC!E286</f>
        <v>0</v>
      </c>
      <c r="L77" s="171"/>
    </row>
    <row r="78" spans="1:12" ht="12.75">
      <c r="A78" s="172" t="s">
        <v>59</v>
      </c>
      <c r="B78" s="143"/>
      <c r="C78" s="295">
        <f>IF((C76-C77)&gt;0,C76-C77,0)</f>
        <v>0</v>
      </c>
      <c r="D78" s="24"/>
      <c r="E78" s="24"/>
      <c r="F78" s="24"/>
      <c r="G78" s="25"/>
      <c r="H78" s="25"/>
      <c r="I78" s="298">
        <f>SUM(I76:I77)</f>
        <v>-50998025</v>
      </c>
      <c r="J78" s="130"/>
      <c r="K78" s="295">
        <f>IF((K76-K77)&gt;0,K76-K77,0)</f>
        <v>2012411</v>
      </c>
      <c r="L78" s="491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6">
        <f>'Tax Rates'!C19</f>
        <v>0.00175</v>
      </c>
      <c r="D80" s="116"/>
      <c r="E80" s="116"/>
      <c r="F80" s="116"/>
      <c r="G80" s="117"/>
      <c r="H80" s="117"/>
      <c r="I80" s="299">
        <f>K80-C80</f>
        <v>0</v>
      </c>
      <c r="J80" s="6"/>
      <c r="K80" s="299">
        <f>TAXREC!E290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5">
        <f>IF(C78&gt;0,C78*C80,0)*REGINFO!$B$6/REGINFO!$B$7</f>
        <v>0</v>
      </c>
      <c r="D82" s="116"/>
      <c r="E82" s="116"/>
      <c r="F82" s="116"/>
      <c r="G82" s="117"/>
      <c r="H82" s="117"/>
      <c r="I82" s="298">
        <f>+K82-C82</f>
        <v>3521.71925</v>
      </c>
      <c r="J82" s="6"/>
      <c r="K82" s="295">
        <f>TAXREC!E295</f>
        <v>3521.71925</v>
      </c>
      <c r="L82" s="171"/>
    </row>
    <row r="83" spans="1:12" ht="12.75">
      <c r="A83" s="172" t="s">
        <v>429</v>
      </c>
      <c r="B83" s="143">
        <v>21</v>
      </c>
      <c r="C83" s="345">
        <f>IF(C78&gt;0,IF(C61&gt;0,C51*'Tax Rates'!C20,0),0)</f>
        <v>0</v>
      </c>
      <c r="D83" s="116"/>
      <c r="E83" s="116"/>
      <c r="F83" s="116"/>
      <c r="G83" s="117"/>
      <c r="H83" s="117"/>
      <c r="I83" s="298">
        <f>+K83-C83</f>
        <v>0</v>
      </c>
      <c r="J83" s="6"/>
      <c r="K83" s="295">
        <f>TAXREC!E299</f>
        <v>0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5">
        <f>IF(C82&gt;C83,C82-C83,0)</f>
        <v>0</v>
      </c>
      <c r="D85" s="21"/>
      <c r="E85" s="114"/>
      <c r="F85" s="21"/>
      <c r="G85" s="16"/>
      <c r="H85" s="16"/>
      <c r="I85" s="298">
        <f>+K85-C85</f>
        <v>3521.71925</v>
      </c>
      <c r="J85" s="118"/>
      <c r="K85" s="295">
        <f>IF(K82&gt;K83,K82-K83,0)</f>
        <v>3521.71925</v>
      </c>
      <c r="L85" s="492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585</v>
      </c>
      <c r="B89" s="143"/>
      <c r="C89" s="293">
        <f>IF($C$51=0,'Tax Rates'!F16,IF($C$51&gt;'Tax Rates'!$E$11,'Tax Rates'!$F$16,IF(AND($C$51&gt;='Tax Rates'!$C$11,$C$51&lt;='Tax Rates'!E11),'Tax Rates'!$E$16,'Tax Rates'!$C$16)))</f>
        <v>0.1862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5">
        <f>C61/(1-C89)</f>
        <v>13230.014510936351</v>
      </c>
      <c r="D91" s="113"/>
      <c r="E91" s="113"/>
      <c r="F91" s="113"/>
      <c r="G91" s="26"/>
      <c r="H91" s="26"/>
      <c r="I91" s="159"/>
      <c r="J91" s="471" t="s">
        <v>496</v>
      </c>
      <c r="K91" s="301">
        <f>TAXREC!E307</f>
        <v>6245</v>
      </c>
      <c r="L91" s="171"/>
    </row>
    <row r="92" spans="1:12" ht="12.75">
      <c r="A92" s="178" t="s">
        <v>487</v>
      </c>
      <c r="B92" s="145">
        <v>23</v>
      </c>
      <c r="C92" s="295">
        <f>C85/(1-C89)</f>
        <v>0</v>
      </c>
      <c r="D92" s="113"/>
      <c r="E92" s="113"/>
      <c r="F92" s="113"/>
      <c r="G92" s="26"/>
      <c r="H92" s="26"/>
      <c r="I92" s="159"/>
      <c r="J92" s="471" t="s">
        <v>496</v>
      </c>
      <c r="K92" s="301">
        <f>TAXREC!E309</f>
        <v>3521.71925</v>
      </c>
      <c r="L92" s="171"/>
    </row>
    <row r="93" spans="1:12" ht="12.75">
      <c r="A93" s="178" t="s">
        <v>455</v>
      </c>
      <c r="B93" s="145">
        <v>24</v>
      </c>
      <c r="C93" s="295">
        <f>C73</f>
        <v>0</v>
      </c>
      <c r="D93" s="113"/>
      <c r="E93" s="113"/>
      <c r="F93" s="113"/>
      <c r="G93" s="26"/>
      <c r="H93" s="26"/>
      <c r="I93" s="159"/>
      <c r="J93" s="471" t="s">
        <v>496</v>
      </c>
      <c r="K93" s="301">
        <f>TAXREC!E308</f>
        <v>600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0">
        <f>SUM(C91:C94)</f>
        <v>13230.014510936351</v>
      </c>
      <c r="D96" s="99"/>
      <c r="E96" s="99"/>
      <c r="F96" s="99"/>
      <c r="G96" s="6"/>
      <c r="H96" s="6"/>
      <c r="I96" s="159"/>
      <c r="J96" s="471" t="s">
        <v>496</v>
      </c>
      <c r="K96" s="456">
        <f>SUM(K91:K95)</f>
        <v>10366.71925</v>
      </c>
      <c r="L96" s="181"/>
    </row>
    <row r="97" spans="1:12" ht="12.75">
      <c r="A97" s="445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1">
        <f>I21</f>
        <v>62708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1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1">
        <f>I23</f>
        <v>0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1">
        <f>I24</f>
        <v>0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1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1">
        <f>I29</f>
        <v>0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1">
        <f>I34</f>
        <v>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1">
        <f>I35</f>
        <v>0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1">
        <f>I36</f>
        <v>0</v>
      </c>
      <c r="J112" s="43"/>
      <c r="K112" s="220"/>
      <c r="L112" s="181"/>
    </row>
    <row r="113" spans="1:12" ht="12.75">
      <c r="A113" s="175" t="s">
        <v>616</v>
      </c>
      <c r="B113" s="145">
        <v>11</v>
      </c>
      <c r="C113" s="128"/>
      <c r="D113" s="3"/>
      <c r="E113" s="3"/>
      <c r="F113" s="3"/>
      <c r="G113" s="3"/>
      <c r="H113" s="3"/>
      <c r="I113" s="281">
        <f>I207</f>
        <v>0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1">
        <f>I39</f>
        <v>0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1">
        <f>I40</f>
        <v>0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1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1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1">
        <f>I46</f>
        <v>338255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1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5">
        <f>SUM(I103:I108)-SUM(I110:I119)</f>
        <v>-275547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549</v>
      </c>
      <c r="B123" s="145"/>
      <c r="C123" s="128"/>
      <c r="D123" s="3"/>
      <c r="E123" s="3"/>
      <c r="F123" s="3"/>
      <c r="G123" s="3"/>
      <c r="H123" s="3" t="s">
        <v>343</v>
      </c>
      <c r="I123" s="357">
        <f>K54</f>
        <v>0.1862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5">
        <f>I121*I123</f>
        <v>-51306.8514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5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5">
        <f>I125-I127</f>
        <v>-51306.8514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550</v>
      </c>
      <c r="B131" s="145"/>
      <c r="C131" s="128"/>
      <c r="D131" s="3"/>
      <c r="E131" s="3"/>
      <c r="F131" s="3"/>
      <c r="G131" s="3"/>
      <c r="H131" s="3"/>
      <c r="I131" s="357">
        <f>K54-1.12%</f>
        <v>0.175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4">
        <f>I129/(1-I131)</f>
        <v>-62190.12290909091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7">
        <f>C51</f>
        <v>57822.69500000001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7">
        <f>IF($C$51=0,'Tax Rates'!F52,IF((C51)&gt;'Tax Rates'!E47,'Tax Rates'!F52,IF((C51)&gt;'Tax Rates'!D47,'Tax Rates'!E52,IF((C51)&gt;'Tax Rates'!C47,'Tax Rates'!D52,'Tax Rates'!C52))))</f>
        <v>0.1862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48">
        <f>IF(I137&gt;0,I137*I139,0)</f>
        <v>10766.585809000002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49">
        <f>TAXREC!E145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7">
        <f>I141-I143</f>
        <v>10766.585809000002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618</v>
      </c>
      <c r="B147" s="148"/>
      <c r="C147" s="128"/>
      <c r="D147" s="3"/>
      <c r="E147" s="3"/>
      <c r="F147" s="3"/>
      <c r="G147" s="135"/>
      <c r="H147" s="135" t="s">
        <v>273</v>
      </c>
      <c r="I147" s="347">
        <f>C61</f>
        <v>10766.585809000002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7">
        <f>I145-I147</f>
        <v>0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4" t="s">
        <v>36</v>
      </c>
      <c r="B151" s="148"/>
      <c r="C151" s="128"/>
      <c r="D151" s="3"/>
      <c r="E151" s="3"/>
      <c r="F151" s="3"/>
      <c r="G151" s="136"/>
      <c r="H151" s="136"/>
      <c r="I151" s="349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7">
        <f>C67</f>
        <v>3010436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0">
        <f>IF(I152&gt;0,'Tax Rates'!C39,0)</f>
        <v>7500000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7">
        <f>I152-I153</f>
        <v>-4489564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1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7">
        <f>IF(I154&gt;0,I154*I156,0)</f>
        <v>0</v>
      </c>
      <c r="J158" s="43"/>
      <c r="K158" s="220"/>
      <c r="L158" s="181"/>
    </row>
    <row r="159" spans="1:12" ht="25.5">
      <c r="A159" s="188" t="s">
        <v>619</v>
      </c>
      <c r="B159" s="148"/>
      <c r="C159" s="128"/>
      <c r="D159" s="3"/>
      <c r="E159" s="3"/>
      <c r="F159" s="3"/>
      <c r="G159" s="135"/>
      <c r="H159" s="135" t="s">
        <v>273</v>
      </c>
      <c r="I159" s="350">
        <f>C73</f>
        <v>0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7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4" t="s">
        <v>348</v>
      </c>
      <c r="B162" s="148"/>
      <c r="C162" s="128"/>
      <c r="D162" s="3"/>
      <c r="E162" s="3"/>
      <c r="F162" s="3"/>
      <c r="G162" s="136"/>
      <c r="H162" s="136"/>
      <c r="I162" s="512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7">
        <f>C76</f>
        <v>3010436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0">
        <f>IF(I163&gt;0,'Tax Rates'!C40,0)</f>
        <v>50000000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7">
        <f>I163-I164</f>
        <v>-46989564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539</v>
      </c>
      <c r="B167" s="148"/>
      <c r="C167" s="128"/>
      <c r="D167" s="3"/>
      <c r="E167" s="3"/>
      <c r="F167" s="3"/>
      <c r="G167" s="136"/>
      <c r="H167" s="136"/>
      <c r="I167" s="351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7">
        <f>IF(I165&gt;0,I165*I167,0)</f>
        <v>0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2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7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1"/>
      <c r="J172" s="43"/>
      <c r="K172" s="220"/>
      <c r="L172" s="181"/>
    </row>
    <row r="173" spans="1:12" ht="12.75">
      <c r="A173" s="457" t="s">
        <v>552</v>
      </c>
      <c r="B173" s="148"/>
      <c r="C173" s="128"/>
      <c r="D173" s="3"/>
      <c r="E173" s="3"/>
      <c r="F173" s="3"/>
      <c r="G173" s="135"/>
      <c r="H173" s="135" t="s">
        <v>273</v>
      </c>
      <c r="I173" s="350">
        <f>C85</f>
        <v>0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7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551</v>
      </c>
      <c r="B176" s="148"/>
      <c r="C176" s="128"/>
      <c r="D176" s="3"/>
      <c r="E176" s="3"/>
      <c r="F176" s="3"/>
      <c r="G176" s="136"/>
      <c r="H176" s="136"/>
      <c r="I176" s="357">
        <f>K54-1.12%</f>
        <v>0.175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7">
        <f>I149/(1-I176)</f>
        <v>0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7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7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7">
        <f>SUM(I178:I180)</f>
        <v>0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620</v>
      </c>
      <c r="B184" s="148"/>
      <c r="C184" s="128"/>
      <c r="D184" s="3"/>
      <c r="E184" s="3"/>
      <c r="F184" s="3"/>
      <c r="G184" s="136"/>
      <c r="H184" s="136" t="s">
        <v>272</v>
      </c>
      <c r="I184" s="347">
        <f>I133</f>
        <v>-62190.12290909091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7">
        <f>I182+I184</f>
        <v>-62190.12290909091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3">
        <f>REGINFO!D62</f>
        <v>109128.305</v>
      </c>
      <c r="J194" s="3"/>
      <c r="K194" s="140"/>
      <c r="L194" s="181"/>
    </row>
    <row r="195" spans="1:12" ht="12.75">
      <c r="A195" s="175" t="s">
        <v>540</v>
      </c>
      <c r="B195" s="145"/>
      <c r="C195" s="128"/>
      <c r="D195" s="118"/>
      <c r="E195" s="118"/>
      <c r="F195" s="118"/>
      <c r="G195" s="137"/>
      <c r="H195" s="137"/>
      <c r="I195" s="353">
        <f>C38</f>
        <v>109128.305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3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541</v>
      </c>
      <c r="B202" s="145"/>
      <c r="C202" s="128"/>
      <c r="D202" s="118"/>
      <c r="E202" s="118"/>
      <c r="F202" s="118"/>
      <c r="G202" s="137"/>
      <c r="H202" s="137"/>
      <c r="I202" s="353">
        <f>K38+K43</f>
        <v>0</v>
      </c>
      <c r="J202" s="3"/>
      <c r="K202" s="140"/>
      <c r="L202" s="181"/>
    </row>
    <row r="203" spans="1:12" ht="12.75">
      <c r="A203" s="175" t="s">
        <v>542</v>
      </c>
      <c r="B203" s="145"/>
      <c r="C203" s="128"/>
      <c r="D203" s="118"/>
      <c r="E203" s="118"/>
      <c r="F203" s="118"/>
      <c r="G203" s="137"/>
      <c r="H203" s="137"/>
      <c r="I203" s="353">
        <f>REGINFO!D62</f>
        <v>109128.305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48">
        <f>IF((I202-I203)&gt;0,I202-I203,0)</f>
        <v>0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617</v>
      </c>
      <c r="B207" s="145"/>
      <c r="C207" s="128"/>
      <c r="D207" s="118"/>
      <c r="E207" s="118"/>
      <c r="F207" s="118"/>
      <c r="G207" s="137"/>
      <c r="H207" s="137"/>
      <c r="I207" s="348">
        <f>IF((I202-I203)&gt;0,I202-I203,0)</f>
        <v>0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4">
        <f>+I197-I205</f>
        <v>0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zoomScalePageLayoutView="0" workbookViewId="0" topLeftCell="A277">
      <selection activeCell="G302" sqref="G302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17" t="s">
        <v>633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4" t="str">
        <f>REGINFO!A3</f>
        <v>Utility Name:  West Nipissing Energy Services Ltd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4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519">
        <v>38353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519" t="s">
        <v>635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85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89">
        <f>Ratebase*REGINFO!D33*0.25%</f>
        <v>3763.045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518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518" t="s">
        <v>514</v>
      </c>
      <c r="D15" s="31"/>
      <c r="E15" s="31"/>
      <c r="F15" s="26"/>
      <c r="G15" s="3"/>
      <c r="H15" s="3"/>
      <c r="I15" s="3"/>
    </row>
    <row r="16" spans="1:9" ht="12.75">
      <c r="A16" s="344" t="s">
        <v>340</v>
      </c>
      <c r="B16" s="26" t="s">
        <v>142</v>
      </c>
      <c r="C16" s="518" t="s">
        <v>514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518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628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1" t="s">
        <v>436</v>
      </c>
      <c r="B23" s="442"/>
      <c r="C23" s="443"/>
      <c r="D23" s="444"/>
      <c r="E23" s="34"/>
      <c r="F23" s="11"/>
      <c r="G23" s="11"/>
      <c r="H23" s="6"/>
      <c r="I23" s="6"/>
    </row>
    <row r="24" spans="1:9" ht="12.75">
      <c r="A24" s="441" t="s">
        <v>370</v>
      </c>
      <c r="B24" s="442"/>
      <c r="C24" s="443"/>
      <c r="D24" s="444"/>
      <c r="E24" s="34"/>
      <c r="F24" s="11"/>
      <c r="G24" s="11"/>
      <c r="H24" s="6"/>
      <c r="I24" s="6"/>
    </row>
    <row r="25" spans="1:9" ht="12.75">
      <c r="A25" s="441" t="s">
        <v>334</v>
      </c>
      <c r="B25" s="442"/>
      <c r="C25" s="443"/>
      <c r="D25" s="444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1" t="s">
        <v>434</v>
      </c>
      <c r="B27" s="442"/>
      <c r="C27" s="443"/>
      <c r="D27" s="444"/>
      <c r="E27" s="34"/>
      <c r="F27" s="11"/>
      <c r="G27" s="11"/>
      <c r="H27" s="6"/>
      <c r="I27" s="6"/>
    </row>
    <row r="28" spans="1:9" ht="12.75">
      <c r="A28" s="441" t="s">
        <v>435</v>
      </c>
      <c r="B28" s="442"/>
      <c r="C28" s="443"/>
      <c r="D28" s="444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78" t="s">
        <v>389</v>
      </c>
      <c r="B31" s="29" t="s">
        <v>272</v>
      </c>
      <c r="C31" s="317">
        <f>605719+3883377</f>
        <v>4489096</v>
      </c>
      <c r="D31" s="318"/>
      <c r="E31" s="316">
        <f>C31-D31</f>
        <v>4489096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7">
        <f>152751+677873</f>
        <v>830624</v>
      </c>
      <c r="D32" s="318"/>
      <c r="E32" s="316">
        <f>C32-D32</f>
        <v>830624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520">
        <f>23225+463209</f>
        <v>486434</v>
      </c>
      <c r="D33" s="318"/>
      <c r="E33" s="316">
        <f>C33-D33</f>
        <v>486434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7"/>
      <c r="D34" s="318"/>
      <c r="E34" s="31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17"/>
      <c r="D35" s="318"/>
      <c r="E35" s="316">
        <f>C35-D35</f>
        <v>0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7">
        <f>605719+3883377</f>
        <v>4489096</v>
      </c>
      <c r="D39" s="318"/>
      <c r="E39" s="316">
        <f>C39-D39</f>
        <v>4489096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7">
        <f>53183+322663</f>
        <v>375846</v>
      </c>
      <c r="D40" s="318"/>
      <c r="E40" s="316">
        <f aca="true" t="shared" si="0" ref="E40:E48">C40-D40</f>
        <v>375846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7">
        <f>29958+140584</f>
        <v>170542</v>
      </c>
      <c r="D41" s="318"/>
      <c r="E41" s="316">
        <f t="shared" si="0"/>
        <v>170542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7">
        <f>54189+231733</f>
        <v>285922</v>
      </c>
      <c r="D42" s="318"/>
      <c r="E42" s="316">
        <f t="shared" si="0"/>
        <v>285922</v>
      </c>
      <c r="F42" s="11"/>
      <c r="G42" s="11"/>
      <c r="H42" s="6"/>
      <c r="I42" s="6"/>
    </row>
    <row r="43" spans="1:9" ht="12.75">
      <c r="A43" s="500" t="s">
        <v>577</v>
      </c>
      <c r="B43" s="29" t="s">
        <v>273</v>
      </c>
      <c r="C43" s="317">
        <f>30562+162753</f>
        <v>193315</v>
      </c>
      <c r="D43" s="318"/>
      <c r="E43" s="316">
        <f t="shared" si="0"/>
        <v>193315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7"/>
      <c r="D44" s="318"/>
      <c r="E44" s="316">
        <f t="shared" si="0"/>
        <v>0</v>
      </c>
      <c r="F44" s="11"/>
      <c r="G44" s="11"/>
      <c r="H44" s="6"/>
      <c r="I44" s="6"/>
    </row>
    <row r="45" spans="1:11" ht="12.75">
      <c r="A45" s="500" t="s">
        <v>576</v>
      </c>
      <c r="B45" s="29" t="s">
        <v>273</v>
      </c>
      <c r="C45" s="317"/>
      <c r="D45" s="318"/>
      <c r="E45" s="31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17"/>
      <c r="D46" s="318"/>
      <c r="E46" s="31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273</v>
      </c>
      <c r="C47" s="317"/>
      <c r="D47" s="318"/>
      <c r="E47" s="31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17"/>
      <c r="D48" s="318"/>
      <c r="E48" s="31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3">
        <f>SUM(C31:C36)-SUM(C39:C49)</f>
        <v>291433</v>
      </c>
      <c r="D50" s="313">
        <f>SUM(D31:D36)-SUM(D39:D49)</f>
        <v>0</v>
      </c>
      <c r="E50" s="313">
        <f>SUM(E31:E35)-SUM(E39:E48)</f>
        <v>291433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17">
        <v>0</v>
      </c>
      <c r="D51" s="317"/>
      <c r="E51" s="314">
        <f>+C51-D51</f>
        <v>0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17"/>
      <c r="D52" s="317"/>
      <c r="E52" s="315">
        <f>+C52-D52</f>
        <v>0</v>
      </c>
      <c r="F52" s="8"/>
    </row>
    <row r="53" spans="1:6" ht="12.75">
      <c r="A53" s="2" t="s">
        <v>210</v>
      </c>
      <c r="B53" s="8" t="s">
        <v>275</v>
      </c>
      <c r="C53" s="313">
        <f>C50-C51-C52</f>
        <v>291433</v>
      </c>
      <c r="D53" s="313">
        <f>D50-D51-D52</f>
        <v>0</v>
      </c>
      <c r="E53" s="313">
        <f>E50-E51-E52</f>
        <v>291433</v>
      </c>
      <c r="F53" s="8"/>
    </row>
    <row r="54" spans="1:6" ht="36">
      <c r="A54" s="98" t="s">
        <v>624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19">
        <f>C52</f>
        <v>0</v>
      </c>
      <c r="D59" s="319">
        <f>D52</f>
        <v>0</v>
      </c>
      <c r="E59" s="303">
        <f>+C59-D59</f>
        <v>0</v>
      </c>
      <c r="F59" s="8"/>
    </row>
    <row r="60" spans="1:6" ht="12.75">
      <c r="A60" s="4" t="s">
        <v>629</v>
      </c>
      <c r="B60" s="8" t="s">
        <v>272</v>
      </c>
      <c r="C60" s="363"/>
      <c r="D60" s="363"/>
      <c r="E60" s="303">
        <f>+C60-D60</f>
        <v>0</v>
      </c>
      <c r="F60" s="8"/>
    </row>
    <row r="61" spans="1:6" ht="12.75">
      <c r="A61" t="s">
        <v>20</v>
      </c>
      <c r="B61" s="8" t="s">
        <v>272</v>
      </c>
      <c r="C61" s="319">
        <f>C43</f>
        <v>193315</v>
      </c>
      <c r="D61" s="319">
        <f>D43</f>
        <v>0</v>
      </c>
      <c r="E61" s="303">
        <f>+C61-D61</f>
        <v>193315</v>
      </c>
      <c r="F61" s="8"/>
    </row>
    <row r="62" spans="1:6" ht="12.75">
      <c r="A62" t="s">
        <v>22</v>
      </c>
      <c r="B62" s="8" t="s">
        <v>272</v>
      </c>
      <c r="C62" s="363">
        <v>62708</v>
      </c>
      <c r="D62" s="319">
        <v>0</v>
      </c>
      <c r="E62" s="303">
        <f>+C62-D62</f>
        <v>62708</v>
      </c>
      <c r="F62" s="8"/>
    </row>
    <row r="63" spans="1:6" ht="12.75">
      <c r="A63" s="37" t="s">
        <v>393</v>
      </c>
      <c r="B63" s="8" t="s">
        <v>272</v>
      </c>
      <c r="C63" s="361">
        <f>'Tax Reserves'!C22</f>
        <v>0</v>
      </c>
      <c r="D63" s="362">
        <f>'Tax Reserves'!D22</f>
        <v>0</v>
      </c>
      <c r="E63" s="303">
        <f>C63-D63</f>
        <v>0</v>
      </c>
      <c r="F63" s="8"/>
    </row>
    <row r="64" spans="1:6" ht="12.75">
      <c r="A64" s="4" t="s">
        <v>128</v>
      </c>
      <c r="B64" s="8" t="s">
        <v>272</v>
      </c>
      <c r="C64" s="361">
        <f>'Tax Reserves'!C63</f>
        <v>0</v>
      </c>
      <c r="D64" s="362">
        <f>'Tax Reserves'!D63</f>
        <v>0</v>
      </c>
      <c r="E64" s="303">
        <f>+C64-D64</f>
        <v>0</v>
      </c>
      <c r="F64" s="8"/>
    </row>
    <row r="65" spans="1:6" ht="12.75">
      <c r="A65" t="s">
        <v>372</v>
      </c>
      <c r="B65" s="8" t="s">
        <v>272</v>
      </c>
      <c r="C65" s="318"/>
      <c r="D65" s="318"/>
      <c r="E65" s="303">
        <f>+C65-D65</f>
        <v>0</v>
      </c>
      <c r="F65" s="8"/>
    </row>
    <row r="66" spans="1:6" ht="12.75">
      <c r="A66" t="s">
        <v>529</v>
      </c>
      <c r="B66" s="8" t="s">
        <v>272</v>
      </c>
      <c r="C66" s="318">
        <v>125897</v>
      </c>
      <c r="D66" s="318"/>
      <c r="E66" s="303">
        <f>+C66-D66</f>
        <v>125897</v>
      </c>
      <c r="F66" s="8"/>
    </row>
    <row r="67" spans="1:6" ht="12.75">
      <c r="A67" t="s">
        <v>241</v>
      </c>
      <c r="B67" s="8" t="s">
        <v>272</v>
      </c>
      <c r="C67" s="281">
        <f>'TAXREC 2'!C95</f>
        <v>0</v>
      </c>
      <c r="D67" s="281">
        <f>'TAXREC 2'!D95</f>
        <v>0</v>
      </c>
      <c r="E67" s="303">
        <f>+C67-D67</f>
        <v>0</v>
      </c>
      <c r="F67" s="8"/>
    </row>
    <row r="68" spans="1:11" ht="12.75">
      <c r="A68" t="s">
        <v>242</v>
      </c>
      <c r="B68" s="8" t="s">
        <v>272</v>
      </c>
      <c r="C68" s="281">
        <f>'TAXREC 2'!C96</f>
        <v>0</v>
      </c>
      <c r="D68" s="281">
        <f>'TAXREC 2'!D96</f>
        <v>0</v>
      </c>
      <c r="E68" s="303">
        <f>+C68-D68</f>
        <v>0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38"/>
      <c r="F69" s="8"/>
      <c r="G69" s="51"/>
      <c r="H69" s="51"/>
      <c r="I69" s="29"/>
      <c r="J69" s="29"/>
      <c r="K69" s="86"/>
    </row>
    <row r="70" spans="1:11" ht="12.75">
      <c r="A70" s="10" t="s">
        <v>185</v>
      </c>
      <c r="B70" s="8"/>
      <c r="C70" s="303">
        <f>SUM(C59:C68)</f>
        <v>381920</v>
      </c>
      <c r="D70" s="303">
        <f>SUM(D59:D68)</f>
        <v>0</v>
      </c>
      <c r="E70" s="303">
        <f>SUM(E59:E68)</f>
        <v>381920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28"/>
      <c r="D73" s="328"/>
      <c r="E73" s="303">
        <f aca="true" t="shared" si="1" ref="E73:E79">+C73-D73</f>
        <v>0</v>
      </c>
      <c r="F73" s="8"/>
      <c r="G73" s="87"/>
      <c r="H73" s="88"/>
      <c r="I73" s="89"/>
      <c r="J73" s="89"/>
      <c r="K73" s="89"/>
    </row>
    <row r="74" spans="1:11" ht="12.75">
      <c r="A74" t="s">
        <v>230</v>
      </c>
      <c r="B74" s="8" t="s">
        <v>272</v>
      </c>
      <c r="C74" s="328"/>
      <c r="D74" s="328"/>
      <c r="E74" s="30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t="s">
        <v>23</v>
      </c>
      <c r="B75" s="8" t="s">
        <v>272</v>
      </c>
      <c r="C75" s="328"/>
      <c r="D75" s="328"/>
      <c r="E75" s="30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272</v>
      </c>
      <c r="C76" s="328"/>
      <c r="D76" s="328"/>
      <c r="E76" s="30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556</v>
      </c>
      <c r="B77" s="8" t="s">
        <v>272</v>
      </c>
      <c r="C77" s="328"/>
      <c r="D77" s="328"/>
      <c r="E77" s="30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4"/>
      <c r="B78" s="8" t="s">
        <v>272</v>
      </c>
      <c r="C78" s="328"/>
      <c r="D78" s="328"/>
      <c r="E78" s="30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80"/>
      <c r="B79" s="8" t="s">
        <v>272</v>
      </c>
      <c r="C79" s="328"/>
      <c r="D79" s="328"/>
      <c r="E79" s="303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73" t="s">
        <v>124</v>
      </c>
      <c r="B80" s="8" t="s">
        <v>275</v>
      </c>
      <c r="C80" s="281">
        <f>SUM(C73:C79)</f>
        <v>0</v>
      </c>
      <c r="D80" s="281">
        <f>SUM(D73:D79)</f>
        <v>0</v>
      </c>
      <c r="E80" s="281">
        <f>SUM(E73:E79)</f>
        <v>0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34</v>
      </c>
      <c r="B82" s="8" t="s">
        <v>275</v>
      </c>
      <c r="C82" s="281">
        <f>C70+C80</f>
        <v>381920</v>
      </c>
      <c r="D82" s="281">
        <f>D70+D80</f>
        <v>0</v>
      </c>
      <c r="E82" s="281">
        <f>E70+E80</f>
        <v>381920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2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0" t="str">
        <f aca="true" t="shared" si="2" ref="A85:A91">IF($E73&gt;$C$13,A73," ")</f>
        <v> </v>
      </c>
      <c r="B85" s="304"/>
      <c r="C85" s="322">
        <f aca="true" t="shared" si="3" ref="C85:E89">IF($E73&gt;$C$13,C73,)</f>
        <v>0</v>
      </c>
      <c r="D85" s="322">
        <f t="shared" si="3"/>
        <v>0</v>
      </c>
      <c r="E85" s="32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0" t="str">
        <f t="shared" si="2"/>
        <v> </v>
      </c>
      <c r="B86" s="304"/>
      <c r="C86" s="322">
        <f t="shared" si="3"/>
        <v>0</v>
      </c>
      <c r="D86" s="322">
        <f t="shared" si="3"/>
        <v>0</v>
      </c>
      <c r="E86" s="32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0" t="str">
        <f t="shared" si="2"/>
        <v> </v>
      </c>
      <c r="B87" s="304"/>
      <c r="C87" s="322">
        <f t="shared" si="3"/>
        <v>0</v>
      </c>
      <c r="D87" s="322">
        <f t="shared" si="3"/>
        <v>0</v>
      </c>
      <c r="E87" s="32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0" t="str">
        <f t="shared" si="2"/>
        <v> </v>
      </c>
      <c r="B88" s="304"/>
      <c r="C88" s="322">
        <f t="shared" si="3"/>
        <v>0</v>
      </c>
      <c r="D88" s="322">
        <f t="shared" si="3"/>
        <v>0</v>
      </c>
      <c r="E88" s="32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0" t="str">
        <f t="shared" si="2"/>
        <v> </v>
      </c>
      <c r="B89" s="304"/>
      <c r="C89" s="322">
        <f t="shared" si="3"/>
        <v>0</v>
      </c>
      <c r="D89" s="322">
        <f t="shared" si="3"/>
        <v>0</v>
      </c>
      <c r="E89" s="322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0" t="str">
        <f t="shared" si="2"/>
        <v> </v>
      </c>
      <c r="B90" s="304"/>
      <c r="C90" s="322">
        <f aca="true" t="shared" si="4" ref="C90:E91">IF($E78&gt;$C$13,C78,)</f>
        <v>0</v>
      </c>
      <c r="D90" s="322">
        <f t="shared" si="4"/>
        <v>0</v>
      </c>
      <c r="E90" s="32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0" t="str">
        <f t="shared" si="2"/>
        <v> </v>
      </c>
      <c r="B91" s="304"/>
      <c r="C91" s="322">
        <f t="shared" si="4"/>
        <v>0</v>
      </c>
      <c r="D91" s="322">
        <f t="shared" si="4"/>
        <v>0</v>
      </c>
      <c r="E91" s="322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1" t="s">
        <v>232</v>
      </c>
      <c r="B92" s="304"/>
      <c r="C92" s="311">
        <f>SUM(C85:C91)</f>
        <v>0</v>
      </c>
      <c r="D92" s="311">
        <f>SUM(D85:D91)</f>
        <v>0</v>
      </c>
      <c r="E92" s="311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4" t="s">
        <v>296</v>
      </c>
      <c r="B93" s="304"/>
      <c r="C93" s="281">
        <f>C80-C92</f>
        <v>0</v>
      </c>
      <c r="D93" s="281">
        <f>D80-D92</f>
        <v>0</v>
      </c>
      <c r="E93" s="281">
        <f>E80-E92</f>
        <v>0</v>
      </c>
      <c r="F93" s="8"/>
      <c r="G93" s="51"/>
      <c r="H93" s="51"/>
      <c r="I93" s="51"/>
      <c r="J93" s="51"/>
      <c r="K93" s="51"/>
    </row>
    <row r="94" spans="1:11" ht="12.75">
      <c r="A94" s="304" t="s">
        <v>297</v>
      </c>
      <c r="B94" s="304"/>
      <c r="C94" s="281">
        <f>C92+C93</f>
        <v>0</v>
      </c>
      <c r="D94" s="281">
        <f>D92+D93</f>
        <v>0</v>
      </c>
      <c r="E94" s="281">
        <f>E92+E93</f>
        <v>0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28">
        <f>20554+244937</f>
        <v>265491</v>
      </c>
      <c r="D97" s="328"/>
      <c r="E97" s="303">
        <f>+C97-D97</f>
        <v>265491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28"/>
      <c r="D98" s="328"/>
      <c r="E98" s="30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28"/>
      <c r="D99" s="328"/>
      <c r="E99" s="30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28"/>
      <c r="D100" s="328"/>
      <c r="E100" s="303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28"/>
      <c r="D101" s="328"/>
      <c r="E101" s="319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28"/>
      <c r="D102" s="328"/>
      <c r="E102" s="303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28"/>
      <c r="D103" s="328"/>
      <c r="E103" s="315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529</v>
      </c>
      <c r="B104" s="8"/>
      <c r="C104" s="328"/>
      <c r="D104" s="328"/>
      <c r="E104" s="315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4">
        <f>'Tax Reserves'!C35</f>
        <v>0</v>
      </c>
      <c r="D105" s="364">
        <f>'Tax Reserves'!D35</f>
        <v>0</v>
      </c>
      <c r="E105" s="30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4">
        <f>'Tax Reserves'!C50</f>
        <v>0</v>
      </c>
      <c r="D106" s="364">
        <f>'Tax Reserves'!D50</f>
        <v>0</v>
      </c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28"/>
      <c r="D107" s="328"/>
      <c r="E107" s="303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28"/>
      <c r="D108" s="328"/>
      <c r="E108" s="303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28"/>
      <c r="D109" s="328"/>
      <c r="E109" s="315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1">
        <f>'TAXREC 2'!C146</f>
        <v>0</v>
      </c>
      <c r="D110" s="281">
        <f>'TAXREC 2'!D146</f>
        <v>0</v>
      </c>
      <c r="E110" s="281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1">
        <f>'TAXREC 2'!C147</f>
        <v>0</v>
      </c>
      <c r="D111" s="281">
        <f>'TAXREC 2'!D147</f>
        <v>0</v>
      </c>
      <c r="E111" s="281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7"/>
      <c r="F112" s="8"/>
      <c r="G112" s="51"/>
      <c r="H112" s="51"/>
      <c r="I112" s="29"/>
      <c r="J112" s="51"/>
      <c r="K112" s="86"/>
    </row>
    <row r="113" spans="1:11" ht="12.75">
      <c r="A113" s="4" t="s">
        <v>245</v>
      </c>
      <c r="B113" s="8" t="s">
        <v>275</v>
      </c>
      <c r="C113" s="281">
        <f>SUM(C97:C111)</f>
        <v>265491</v>
      </c>
      <c r="D113" s="281">
        <f>SUM(D97:D111)</f>
        <v>0</v>
      </c>
      <c r="E113" s="281">
        <f>SUM(E97:E111)</f>
        <v>265491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28"/>
      <c r="D115" s="328"/>
      <c r="E115" s="303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8" t="s">
        <v>333</v>
      </c>
      <c r="B116" s="8" t="s">
        <v>273</v>
      </c>
      <c r="C116" s="328"/>
      <c r="D116" s="328"/>
      <c r="E116" s="303">
        <f>+C116-D116</f>
        <v>0</v>
      </c>
      <c r="F116" s="8"/>
      <c r="G116" s="87"/>
      <c r="H116" s="88"/>
      <c r="I116" s="88"/>
      <c r="J116" s="88"/>
      <c r="K116" s="88"/>
    </row>
    <row r="117" spans="1:11" ht="25.5">
      <c r="A117" s="556" t="s">
        <v>636</v>
      </c>
      <c r="B117" s="8" t="s">
        <v>273</v>
      </c>
      <c r="C117" s="328">
        <v>338255</v>
      </c>
      <c r="D117" s="328"/>
      <c r="E117" s="303">
        <f>+C117-D117</f>
        <v>338255</v>
      </c>
      <c r="F117" s="8"/>
      <c r="G117" s="87"/>
      <c r="H117" s="88"/>
      <c r="I117" s="88"/>
      <c r="J117" s="88"/>
      <c r="K117" s="88"/>
    </row>
    <row r="118" spans="1:11" ht="12.75">
      <c r="A118" s="78" t="s">
        <v>557</v>
      </c>
      <c r="B118" s="8"/>
      <c r="C118" s="328">
        <v>0</v>
      </c>
      <c r="D118" s="328"/>
      <c r="E118" s="303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494"/>
      <c r="B119" s="8" t="s">
        <v>273</v>
      </c>
      <c r="C119" s="328"/>
      <c r="D119" s="328"/>
      <c r="E119" s="303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125</v>
      </c>
      <c r="B120" s="8" t="s">
        <v>275</v>
      </c>
      <c r="C120" s="281">
        <f>SUM(C114:C119)</f>
        <v>338255</v>
      </c>
      <c r="D120" s="281">
        <f>SUM(D114:D119)</f>
        <v>0</v>
      </c>
      <c r="E120" s="281">
        <f>SUM(E114:E119)</f>
        <v>338255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35</v>
      </c>
      <c r="B122" s="8" t="s">
        <v>275</v>
      </c>
      <c r="C122" s="281">
        <f>C113+C120</f>
        <v>603746</v>
      </c>
      <c r="D122" s="281">
        <f>D113+D120</f>
        <v>0</v>
      </c>
      <c r="E122" s="281">
        <f>+E113+E120</f>
        <v>603746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3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0" t="str">
        <f>IF($E115&gt;$C$13,A115," ")</f>
        <v> </v>
      </c>
      <c r="B125" s="304"/>
      <c r="C125" s="322">
        <f aca="true" t="shared" si="6" ref="C125:E129">IF($E115&gt;$C$13,C115,)</f>
        <v>0</v>
      </c>
      <c r="D125" s="322">
        <f>IF($E115&gt;$C$13,D115,)</f>
        <v>0</v>
      </c>
      <c r="E125" s="322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0" t="str">
        <f>IF($E116&gt;$C$13,A116," ")</f>
        <v> </v>
      </c>
      <c r="B126" s="304"/>
      <c r="C126" s="322">
        <f t="shared" si="6"/>
        <v>0</v>
      </c>
      <c r="D126" s="322">
        <f>IF($E116&gt;$C$13,D116,)</f>
        <v>0</v>
      </c>
      <c r="E126" s="322">
        <f>IF($E116&gt;$C$13,E116,)</f>
        <v>0</v>
      </c>
      <c r="F126" s="8"/>
      <c r="G126" s="51"/>
      <c r="H126" s="51"/>
      <c r="I126" s="51"/>
      <c r="J126" s="51"/>
      <c r="K126" s="51"/>
    </row>
    <row r="127" spans="1:11" ht="25.5">
      <c r="A127" s="320" t="str">
        <f>IF($E117&gt;$C$13,A117," ")</f>
        <v>PPAdj ($338,255), Gain on LTD ext ($338,000), ded'n 111(5.1) ($460,118)</v>
      </c>
      <c r="B127" s="304"/>
      <c r="C127" s="322">
        <f t="shared" si="6"/>
        <v>338255</v>
      </c>
      <c r="D127" s="322">
        <f t="shared" si="6"/>
        <v>0</v>
      </c>
      <c r="E127" s="322">
        <f t="shared" si="6"/>
        <v>338255</v>
      </c>
      <c r="F127" s="8"/>
      <c r="G127" s="51"/>
      <c r="H127" s="51"/>
      <c r="I127" s="51"/>
      <c r="J127" s="51"/>
      <c r="K127" s="51"/>
    </row>
    <row r="128" spans="1:11" ht="12.75">
      <c r="A128" s="320"/>
      <c r="B128" s="304"/>
      <c r="C128" s="322">
        <f t="shared" si="6"/>
        <v>0</v>
      </c>
      <c r="D128" s="322">
        <f t="shared" si="6"/>
        <v>0</v>
      </c>
      <c r="E128" s="322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0" t="str">
        <f>IF($E119&gt;$C$13,A119," ")</f>
        <v> </v>
      </c>
      <c r="B129" s="304"/>
      <c r="C129" s="322">
        <f t="shared" si="6"/>
        <v>0</v>
      </c>
      <c r="D129" s="322">
        <f t="shared" si="6"/>
        <v>0</v>
      </c>
      <c r="E129" s="322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1" t="s">
        <v>299</v>
      </c>
      <c r="B130" s="304"/>
      <c r="C130" s="281">
        <f>SUM(C125:C129)</f>
        <v>338255</v>
      </c>
      <c r="D130" s="281">
        <f>SUM(D125:D129)</f>
        <v>0</v>
      </c>
      <c r="E130" s="281">
        <f>SUM(E125:E129)</f>
        <v>338255</v>
      </c>
      <c r="F130" s="8"/>
      <c r="G130" s="51"/>
      <c r="H130" s="51"/>
      <c r="I130" s="51"/>
      <c r="J130" s="51"/>
      <c r="K130" s="51"/>
    </row>
    <row r="131" spans="1:11" ht="12.75">
      <c r="A131" s="304" t="s">
        <v>300</v>
      </c>
      <c r="B131" s="304"/>
      <c r="C131" s="281">
        <f>C120-C130</f>
        <v>0</v>
      </c>
      <c r="D131" s="281">
        <f>D120-D130</f>
        <v>0</v>
      </c>
      <c r="E131" s="281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04" t="s">
        <v>298</v>
      </c>
      <c r="B132" s="304"/>
      <c r="C132" s="281">
        <f>C130+C131</f>
        <v>338255</v>
      </c>
      <c r="D132" s="281">
        <f>D130+D131</f>
        <v>0</v>
      </c>
      <c r="E132" s="281">
        <f>E130+E131</f>
        <v>338255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1">
        <f>+C53+C82-C122</f>
        <v>69607</v>
      </c>
      <c r="D134" s="281">
        <f>D53+D82-D122</f>
        <v>0</v>
      </c>
      <c r="E134" s="281">
        <f>E53+E82-E122</f>
        <v>69607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593</v>
      </c>
      <c r="B136" s="8" t="s">
        <v>273</v>
      </c>
      <c r="C136" s="328"/>
      <c r="D136" s="328"/>
      <c r="E136" s="29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623</v>
      </c>
      <c r="B137" s="8" t="s">
        <v>273</v>
      </c>
      <c r="C137" s="355"/>
      <c r="D137" s="355"/>
      <c r="E137" s="439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55"/>
      <c r="D138" s="355"/>
      <c r="E138" s="439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2">
        <f>C134-C136-C137-C138</f>
        <v>69607</v>
      </c>
      <c r="D139" s="282">
        <f>D134-D136-D137-D138</f>
        <v>0</v>
      </c>
      <c r="E139" s="282">
        <f>E134-E136-E137-E138</f>
        <v>69607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594</v>
      </c>
      <c r="B142" s="8" t="s">
        <v>272</v>
      </c>
      <c r="C142" s="339">
        <v>0</v>
      </c>
      <c r="D142" s="339"/>
      <c r="E142" s="282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595</v>
      </c>
      <c r="B143" s="8" t="s">
        <v>272</v>
      </c>
      <c r="C143" s="521">
        <f>5922+323</f>
        <v>6245</v>
      </c>
      <c r="D143" s="339"/>
      <c r="E143" s="324">
        <f>C143-D143</f>
        <v>6245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2">
        <f>C142+C143</f>
        <v>6245</v>
      </c>
      <c r="D144" s="282">
        <f>D142+D143</f>
        <v>0</v>
      </c>
      <c r="E144" s="282">
        <f>E142+E143</f>
        <v>6245</v>
      </c>
      <c r="F144" s="8"/>
      <c r="G144" s="51"/>
      <c r="H144" s="51"/>
      <c r="I144" s="51"/>
      <c r="J144" s="51"/>
      <c r="K144" s="51"/>
    </row>
    <row r="145" spans="1:11" ht="12.75">
      <c r="A145" s="52" t="s">
        <v>596</v>
      </c>
      <c r="B145" s="8" t="s">
        <v>273</v>
      </c>
      <c r="C145" s="339"/>
      <c r="D145" s="339"/>
      <c r="E145" s="325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177</v>
      </c>
      <c r="B146" s="8" t="s">
        <v>275</v>
      </c>
      <c r="C146" s="282">
        <f>C144-C145</f>
        <v>6245</v>
      </c>
      <c r="D146" s="282">
        <f>D144-D145</f>
        <v>0</v>
      </c>
      <c r="E146" s="282">
        <f>E144-E145</f>
        <v>6245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558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597</v>
      </c>
      <c r="B149" s="8"/>
      <c r="C149" s="446">
        <f>'Tax Rates'!C50</f>
        <v>0.1312</v>
      </c>
      <c r="D149" s="5"/>
      <c r="E149" s="447">
        <f>C149</f>
        <v>0.1312</v>
      </c>
      <c r="F149" s="8"/>
      <c r="G149" s="51"/>
      <c r="H149" s="51"/>
      <c r="I149" s="51"/>
      <c r="J149" s="51"/>
      <c r="K149" s="51"/>
    </row>
    <row r="150" spans="1:11" ht="12.75">
      <c r="A150" s="52" t="s">
        <v>598</v>
      </c>
      <c r="B150" s="8"/>
      <c r="C150" s="446">
        <f>'Tax Rates'!C51</f>
        <v>0.055</v>
      </c>
      <c r="D150" s="5"/>
      <c r="E150" s="447">
        <f>C150</f>
        <v>0.055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47">
        <f>SUM(C149:C150)</f>
        <v>0.1862</v>
      </c>
      <c r="D151" s="5"/>
      <c r="E151" s="447">
        <f>SUM(E149:E150)</f>
        <v>0.1862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5" t="s">
        <v>272</v>
      </c>
      <c r="C159" s="328">
        <v>10</v>
      </c>
      <c r="D159" s="328"/>
      <c r="E159" s="303">
        <f>C159-D159</f>
        <v>10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5" t="s">
        <v>278</v>
      </c>
      <c r="C160" s="328">
        <v>-42477</v>
      </c>
      <c r="D160" s="328"/>
      <c r="E160" s="303">
        <f aca="true" t="shared" si="7" ref="E160:E172">C160-D160</f>
        <v>-42477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5" t="s">
        <v>272</v>
      </c>
      <c r="C161" s="328"/>
      <c r="D161" s="328"/>
      <c r="E161" s="30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5" t="s">
        <v>272</v>
      </c>
      <c r="C162" s="328"/>
      <c r="D162" s="328"/>
      <c r="E162" s="30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5" t="s">
        <v>272</v>
      </c>
      <c r="C163" s="328">
        <v>2054898</v>
      </c>
      <c r="D163" s="328"/>
      <c r="E163" s="303">
        <f t="shared" si="7"/>
        <v>2054898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5" t="s">
        <v>272</v>
      </c>
      <c r="C164" s="328"/>
      <c r="D164" s="328"/>
      <c r="E164" s="30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5" t="s">
        <v>272</v>
      </c>
      <c r="C165" s="328"/>
      <c r="D165" s="328"/>
      <c r="E165" s="30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5" t="s">
        <v>272</v>
      </c>
      <c r="C166" s="328"/>
      <c r="D166" s="328"/>
      <c r="E166" s="30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5" t="s">
        <v>272</v>
      </c>
      <c r="C167" s="328"/>
      <c r="D167" s="328"/>
      <c r="E167" s="30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5" t="s">
        <v>272</v>
      </c>
      <c r="C168" s="328"/>
      <c r="D168" s="328"/>
      <c r="E168" s="30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5" t="s">
        <v>272</v>
      </c>
      <c r="C169" s="328"/>
      <c r="D169" s="328"/>
      <c r="E169" s="303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5" t="s">
        <v>272</v>
      </c>
      <c r="C170" s="328"/>
      <c r="D170" s="328"/>
      <c r="E170" s="303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5" t="s">
        <v>272</v>
      </c>
      <c r="C171" s="328"/>
      <c r="D171" s="328"/>
      <c r="E171" s="303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5" t="s">
        <v>272</v>
      </c>
      <c r="C172" s="328"/>
      <c r="D172" s="328"/>
      <c r="E172" s="303">
        <f t="shared" si="7"/>
        <v>0</v>
      </c>
      <c r="F172" s="8"/>
    </row>
    <row r="173" spans="1:6" ht="12.75">
      <c r="A173" t="s">
        <v>75</v>
      </c>
      <c r="B173" s="75" t="s">
        <v>275</v>
      </c>
      <c r="C173" s="281">
        <f>SUM(C159:C172)</f>
        <v>2012431</v>
      </c>
      <c r="D173" s="281">
        <f>SUM(D159:D172)</f>
        <v>0</v>
      </c>
      <c r="E173" s="281">
        <f>SUM(E159:E172)</f>
        <v>2012431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4" t="s">
        <v>280</v>
      </c>
      <c r="B175" s="75" t="s">
        <v>273</v>
      </c>
      <c r="C175" s="329">
        <v>816298</v>
      </c>
      <c r="D175" s="329"/>
      <c r="E175" s="326">
        <f>C175-D175</f>
        <v>816298</v>
      </c>
      <c r="F175" s="8"/>
    </row>
    <row r="176" spans="1:6" ht="25.5">
      <c r="A176" s="91" t="s">
        <v>268</v>
      </c>
      <c r="B176" s="75" t="s">
        <v>273</v>
      </c>
      <c r="C176" s="329"/>
      <c r="D176" s="329"/>
      <c r="E176" s="326">
        <f>C176-D176</f>
        <v>0</v>
      </c>
      <c r="F176" s="8"/>
    </row>
    <row r="177" spans="1:6" ht="12.75">
      <c r="A177" s="2" t="s">
        <v>120</v>
      </c>
      <c r="B177" s="75" t="s">
        <v>275</v>
      </c>
      <c r="C177" s="327">
        <f>C173-C175-C176</f>
        <v>1196133</v>
      </c>
      <c r="D177" s="327">
        <f>D173-D175-D176</f>
        <v>0</v>
      </c>
      <c r="E177" s="281">
        <f>E173-E175-E176</f>
        <v>1196133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5" t="s">
        <v>272</v>
      </c>
      <c r="C181" s="328"/>
      <c r="D181" s="328"/>
      <c r="E181" s="303">
        <f aca="true" t="shared" si="8" ref="E181:E186">C181-D181</f>
        <v>0</v>
      </c>
      <c r="F181" s="8"/>
    </row>
    <row r="182" spans="1:6" ht="12.75">
      <c r="A182" t="s">
        <v>79</v>
      </c>
      <c r="B182" s="75" t="s">
        <v>272</v>
      </c>
      <c r="C182" s="328"/>
      <c r="D182" s="328"/>
      <c r="E182" s="303">
        <f t="shared" si="8"/>
        <v>0</v>
      </c>
      <c r="F182" s="8"/>
    </row>
    <row r="183" spans="1:6" ht="12.75">
      <c r="A183" t="s">
        <v>80</v>
      </c>
      <c r="B183" s="75" t="s">
        <v>272</v>
      </c>
      <c r="C183" s="328"/>
      <c r="D183" s="328"/>
      <c r="E183" s="303">
        <f t="shared" si="8"/>
        <v>0</v>
      </c>
      <c r="F183" s="8"/>
    </row>
    <row r="184" spans="1:6" ht="12.75">
      <c r="A184" t="s">
        <v>81</v>
      </c>
      <c r="B184" s="75" t="s">
        <v>272</v>
      </c>
      <c r="C184" s="328"/>
      <c r="D184" s="328"/>
      <c r="E184" s="303">
        <f t="shared" si="8"/>
        <v>0</v>
      </c>
      <c r="F184" s="8"/>
    </row>
    <row r="185" spans="1:6" ht="12.75">
      <c r="A185" t="s">
        <v>276</v>
      </c>
      <c r="B185" s="75" t="s">
        <v>272</v>
      </c>
      <c r="C185" s="328"/>
      <c r="D185" s="328"/>
      <c r="E185" s="303">
        <f t="shared" si="8"/>
        <v>0</v>
      </c>
      <c r="F185" s="8"/>
    </row>
    <row r="186" spans="1:6" ht="12.75">
      <c r="A186" t="s">
        <v>282</v>
      </c>
      <c r="B186" s="75" t="s">
        <v>272</v>
      </c>
      <c r="C186" s="328"/>
      <c r="D186" s="328"/>
      <c r="E186" s="303">
        <f t="shared" si="8"/>
        <v>0</v>
      </c>
      <c r="F186" s="8"/>
    </row>
    <row r="187" spans="2:6" ht="12.75">
      <c r="B187" s="8"/>
      <c r="C187" s="28"/>
      <c r="D187" s="28"/>
      <c r="E187" s="257"/>
      <c r="F187" s="8"/>
    </row>
    <row r="188" spans="1:6" ht="12.75">
      <c r="A188" s="2" t="s">
        <v>82</v>
      </c>
      <c r="B188" s="75" t="s">
        <v>275</v>
      </c>
      <c r="C188" s="281">
        <f>SUM(C181:C186)</f>
        <v>0</v>
      </c>
      <c r="D188" s="281">
        <f>SUM(D181:D187)</f>
        <v>0</v>
      </c>
      <c r="E188" s="281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5" t="s">
        <v>272</v>
      </c>
      <c r="C193" s="328">
        <v>4251048</v>
      </c>
      <c r="D193" s="328"/>
      <c r="E193" s="303">
        <f>C193-D193</f>
        <v>4251048</v>
      </c>
      <c r="F193" s="8"/>
    </row>
    <row r="194" spans="1:6" ht="12.75">
      <c r="A194" t="s">
        <v>269</v>
      </c>
      <c r="B194" s="75" t="s">
        <v>272</v>
      </c>
      <c r="C194" s="328"/>
      <c r="D194" s="328"/>
      <c r="E194" s="303">
        <f>C194-D194</f>
        <v>0</v>
      </c>
      <c r="F194" s="8"/>
    </row>
    <row r="195" spans="1:7" ht="12.75">
      <c r="A195" t="s">
        <v>270</v>
      </c>
      <c r="B195" s="75" t="s">
        <v>272</v>
      </c>
      <c r="C195" s="328"/>
      <c r="D195" s="328"/>
      <c r="E195" s="303">
        <f>C195-D195</f>
        <v>0</v>
      </c>
      <c r="F195" s="8"/>
      <c r="G195" s="28" t="s">
        <v>180</v>
      </c>
    </row>
    <row r="196" spans="1:6" ht="12.75">
      <c r="A196" t="s">
        <v>271</v>
      </c>
      <c r="B196" s="75" t="s">
        <v>273</v>
      </c>
      <c r="C196" s="328"/>
      <c r="D196" s="328"/>
      <c r="E196" s="303">
        <f>C196-D196</f>
        <v>0</v>
      </c>
      <c r="F196" s="8"/>
    </row>
    <row r="197" spans="2:6" ht="12.75">
      <c r="B197" s="8"/>
      <c r="C197" s="340"/>
      <c r="D197" s="340"/>
      <c r="E197" s="205"/>
      <c r="F197" s="8"/>
    </row>
    <row r="198" spans="1:6" ht="12.75">
      <c r="A198" s="2" t="s">
        <v>85</v>
      </c>
      <c r="B198" s="75" t="s">
        <v>275</v>
      </c>
      <c r="C198" s="281">
        <f>C193+C194+C195-C196</f>
        <v>4251048</v>
      </c>
      <c r="D198" s="281">
        <f>D193+D194+D195-D196</f>
        <v>0</v>
      </c>
      <c r="E198" s="281">
        <f>E193+E194+E195-E196</f>
        <v>4251048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5" t="s">
        <v>272</v>
      </c>
      <c r="C201" s="328"/>
      <c r="D201" s="328"/>
      <c r="E201" s="303">
        <f aca="true" t="shared" si="9" ref="E201:E207">C201-D201</f>
        <v>0</v>
      </c>
      <c r="F201" s="8"/>
    </row>
    <row r="202" spans="1:6" ht="12.75">
      <c r="A202" t="s">
        <v>87</v>
      </c>
      <c r="B202" s="75" t="s">
        <v>272</v>
      </c>
      <c r="C202" s="328"/>
      <c r="D202" s="328"/>
      <c r="E202" s="303">
        <f t="shared" si="9"/>
        <v>0</v>
      </c>
      <c r="F202" s="8"/>
    </row>
    <row r="203" spans="1:6" ht="12.75">
      <c r="A203" t="s">
        <v>88</v>
      </c>
      <c r="B203" s="8"/>
      <c r="C203" s="328"/>
      <c r="D203" s="328"/>
      <c r="E203" s="303">
        <f t="shared" si="9"/>
        <v>0</v>
      </c>
      <c r="F203" s="8"/>
    </row>
    <row r="204" spans="1:6" ht="25.5">
      <c r="A204" s="74" t="s">
        <v>280</v>
      </c>
      <c r="B204" s="77" t="s">
        <v>273</v>
      </c>
      <c r="C204" s="329"/>
      <c r="D204" s="329"/>
      <c r="E204" s="326">
        <f t="shared" si="9"/>
        <v>0</v>
      </c>
      <c r="F204" s="8"/>
    </row>
    <row r="205" spans="1:6" ht="25.5">
      <c r="A205" s="74" t="s">
        <v>279</v>
      </c>
      <c r="B205" s="75" t="s">
        <v>273</v>
      </c>
      <c r="C205" s="328"/>
      <c r="D205" s="328"/>
      <c r="E205" s="303">
        <f t="shared" si="9"/>
        <v>0</v>
      </c>
      <c r="F205" s="8"/>
    </row>
    <row r="206" spans="1:5" ht="12.75">
      <c r="A206" t="s">
        <v>89</v>
      </c>
      <c r="B206" s="75" t="s">
        <v>273</v>
      </c>
      <c r="C206" s="328"/>
      <c r="D206" s="328"/>
      <c r="E206" s="303">
        <f t="shared" si="9"/>
        <v>0</v>
      </c>
    </row>
    <row r="207" spans="1:5" ht="12.75">
      <c r="A207" t="s">
        <v>90</v>
      </c>
      <c r="B207" s="75" t="s">
        <v>278</v>
      </c>
      <c r="C207" s="328"/>
      <c r="D207" s="328"/>
      <c r="E207" s="303">
        <f t="shared" si="9"/>
        <v>0</v>
      </c>
    </row>
    <row r="208" spans="2:5" ht="12.75">
      <c r="B208" s="8"/>
      <c r="C208" s="28"/>
      <c r="D208" s="28"/>
      <c r="E208" s="205"/>
    </row>
    <row r="209" spans="1:5" ht="12.75">
      <c r="A209" s="2" t="s">
        <v>91</v>
      </c>
      <c r="B209" s="8" t="s">
        <v>275</v>
      </c>
      <c r="C209" s="327">
        <f>C198+C201+C202-C204-C205-C206+C207</f>
        <v>4251048</v>
      </c>
      <c r="D209" s="327">
        <f>D198+D201+D202-D204-D205-D206+D207</f>
        <v>0</v>
      </c>
      <c r="E209" s="281">
        <f>E198+E201+E202-E204-E205-E206+E207</f>
        <v>4251048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1">
        <f>IF(C209=0,0,IF(((C188/C209)*C177)&lt;0,0,IF((C188/C209)*C177&gt;C188,C188,C188/C209*C177)))</f>
        <v>0</v>
      </c>
      <c r="D212" s="281">
        <f>IF(D209=0,0,IF(((D188/D209)*D177)&lt;0,0,IF((D188/D209)*D177&gt;D188,D188,D188/D209*D177)))</f>
        <v>0</v>
      </c>
      <c r="E212" s="281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5" t="s">
        <v>272</v>
      </c>
      <c r="C216" s="311">
        <f>+C177</f>
        <v>1196133</v>
      </c>
      <c r="D216" s="311">
        <f>+D177</f>
        <v>0</v>
      </c>
      <c r="E216" s="315">
        <f>+C216-D216</f>
        <v>1196133</v>
      </c>
      <c r="F216" s="8"/>
    </row>
    <row r="217" spans="1:6" ht="12.75">
      <c r="A217" s="4" t="s">
        <v>94</v>
      </c>
      <c r="B217" s="75" t="s">
        <v>273</v>
      </c>
      <c r="C217" s="281">
        <f>C212</f>
        <v>0</v>
      </c>
      <c r="D217" s="281">
        <f>D212</f>
        <v>0</v>
      </c>
      <c r="E217" s="281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180</v>
      </c>
      <c r="F218" s="8"/>
    </row>
    <row r="219" spans="1:6" ht="12.75">
      <c r="A219" s="4" t="s">
        <v>95</v>
      </c>
      <c r="B219" s="8" t="s">
        <v>275</v>
      </c>
      <c r="C219" s="281">
        <f>IF(C216&gt;C217,C216-C217,0)</f>
        <v>1196133</v>
      </c>
      <c r="D219" s="281">
        <f>IF(D216&gt;D217,D216-D217,0)</f>
        <v>0</v>
      </c>
      <c r="E219" s="281">
        <f>IF(E216&gt;E217,E216-E217,0)</f>
        <v>1196133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519</v>
      </c>
      <c r="B222" s="8"/>
      <c r="C222" s="284">
        <f>IF(C219&gt;0,'Tax Rates'!C57,0)</f>
        <v>0</v>
      </c>
      <c r="D222" s="328">
        <v>0</v>
      </c>
      <c r="E222" s="303">
        <f>+C222-D222</f>
        <v>0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1">
        <f>IF(C219&gt;C222,C219-C222,0)</f>
        <v>1196133</v>
      </c>
      <c r="D224" s="281">
        <f>D219-D222</f>
        <v>0</v>
      </c>
      <c r="E224" s="281">
        <f>E219-E222</f>
        <v>1196133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0">
        <f>'Tax Rates'!C54</f>
        <v>0.003</v>
      </c>
      <c r="D226" s="330">
        <f>C226</f>
        <v>0.003</v>
      </c>
      <c r="E226" s="330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2">
        <v>61</v>
      </c>
      <c r="D228" s="282">
        <f>C228</f>
        <v>61</v>
      </c>
      <c r="E228" s="282">
        <f>C228</f>
        <v>61</v>
      </c>
      <c r="F228" s="8"/>
    </row>
    <row r="229" spans="1:6" ht="12.75">
      <c r="A229" s="4" t="s">
        <v>518</v>
      </c>
      <c r="B229" s="8"/>
      <c r="C229" s="331">
        <f>+C228/REGINFO!B7</f>
        <v>0.16712328767123288</v>
      </c>
      <c r="D229" s="331">
        <f>+D228/REGINFO!B7</f>
        <v>0.16712328767123288</v>
      </c>
      <c r="E229" s="331">
        <f>+E228/REGINFO!B7</f>
        <v>0.16712328767123288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547</v>
      </c>
      <c r="B231" s="8"/>
      <c r="C231" s="493">
        <f>C224*C226*C229</f>
        <v>599.7050383561644</v>
      </c>
      <c r="D231" s="281">
        <f>+D222*D224*D227</f>
        <v>0</v>
      </c>
      <c r="E231" s="281">
        <f>C231-D231</f>
        <v>599.7050383561644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592</v>
      </c>
      <c r="B233" s="8"/>
      <c r="C233" s="336">
        <v>600</v>
      </c>
      <c r="D233" s="336">
        <f>+D224*D226*D229</f>
        <v>0</v>
      </c>
      <c r="E233" s="281">
        <f>C233-D233</f>
        <v>600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630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631</v>
      </c>
      <c r="B237" s="8"/>
      <c r="C237" s="5"/>
      <c r="D237" s="5"/>
      <c r="E237" s="5"/>
      <c r="F237" s="8"/>
    </row>
    <row r="238" spans="1:6" ht="12.75">
      <c r="A238" s="101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4" t="s">
        <v>283</v>
      </c>
      <c r="B241" s="77" t="s">
        <v>272</v>
      </c>
      <c r="C241" s="332"/>
      <c r="D241" s="332"/>
      <c r="E241" s="326">
        <f>+C241-D241</f>
        <v>0</v>
      </c>
      <c r="F241" s="8"/>
    </row>
    <row r="242" spans="1:6" ht="12.75">
      <c r="A242" s="74" t="s">
        <v>100</v>
      </c>
      <c r="B242" s="77" t="s">
        <v>272</v>
      </c>
      <c r="C242" s="336">
        <v>10</v>
      </c>
      <c r="D242" s="336"/>
      <c r="E242" s="303">
        <f aca="true" t="shared" si="10" ref="E242:E250">+C242-D242</f>
        <v>10</v>
      </c>
      <c r="F242" s="8"/>
    </row>
    <row r="243" spans="1:6" ht="12.75">
      <c r="A243" s="74" t="s">
        <v>101</v>
      </c>
      <c r="B243" s="77" t="s">
        <v>272</v>
      </c>
      <c r="C243" s="333"/>
      <c r="D243" s="333"/>
      <c r="E243" s="303">
        <f t="shared" si="10"/>
        <v>0</v>
      </c>
      <c r="F243" s="8"/>
    </row>
    <row r="244" spans="1:6" ht="12.75">
      <c r="A244" s="74" t="s">
        <v>102</v>
      </c>
      <c r="B244" s="77" t="s">
        <v>272</v>
      </c>
      <c r="C244" s="334"/>
      <c r="D244" s="334"/>
      <c r="E244" s="303">
        <f t="shared" si="10"/>
        <v>0</v>
      </c>
      <c r="F244" s="8"/>
    </row>
    <row r="245" spans="1:6" ht="12.75">
      <c r="A245" s="74" t="s">
        <v>103</v>
      </c>
      <c r="B245" s="77" t="s">
        <v>272</v>
      </c>
      <c r="C245" s="334"/>
      <c r="D245" s="334"/>
      <c r="E245" s="303">
        <f t="shared" si="10"/>
        <v>0</v>
      </c>
      <c r="F245" s="8"/>
    </row>
    <row r="246" spans="1:6" ht="12.75">
      <c r="A246" s="74" t="s">
        <v>104</v>
      </c>
      <c r="B246" s="77" t="s">
        <v>272</v>
      </c>
      <c r="C246" s="334"/>
      <c r="D246" s="334"/>
      <c r="E246" s="303">
        <f t="shared" si="10"/>
        <v>0</v>
      </c>
      <c r="F246" s="8"/>
    </row>
    <row r="247" spans="1:6" ht="12.75">
      <c r="A247" s="74" t="s">
        <v>105</v>
      </c>
      <c r="B247" s="77" t="s">
        <v>272</v>
      </c>
      <c r="C247" s="334">
        <v>2054878</v>
      </c>
      <c r="D247" s="334"/>
      <c r="E247" s="303">
        <f t="shared" si="10"/>
        <v>2054878</v>
      </c>
      <c r="F247" s="8"/>
    </row>
    <row r="248" spans="1:6" ht="25.5">
      <c r="A248" s="74" t="s">
        <v>286</v>
      </c>
      <c r="B248" s="77" t="s">
        <v>272</v>
      </c>
      <c r="C248" s="332"/>
      <c r="D248" s="332"/>
      <c r="E248" s="326">
        <f t="shared" si="10"/>
        <v>0</v>
      </c>
      <c r="F248" s="8"/>
    </row>
    <row r="249" spans="1:6" ht="12.75">
      <c r="A249" s="74" t="s">
        <v>106</v>
      </c>
      <c r="B249" s="77" t="s">
        <v>272</v>
      </c>
      <c r="C249" s="334"/>
      <c r="D249" s="334"/>
      <c r="E249" s="303">
        <f t="shared" si="10"/>
        <v>0</v>
      </c>
      <c r="F249" s="8"/>
    </row>
    <row r="250" spans="1:6" ht="12.75">
      <c r="A250" s="74" t="s">
        <v>287</v>
      </c>
      <c r="B250" s="77" t="s">
        <v>272</v>
      </c>
      <c r="C250" s="334"/>
      <c r="D250" s="334"/>
      <c r="E250" s="303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1">
        <f>SUM(C241:C251)</f>
        <v>2054888</v>
      </c>
      <c r="D252" s="281">
        <f>SUM(D241:D251)</f>
        <v>0</v>
      </c>
      <c r="E252" s="281">
        <f>SUM(E241:E251)</f>
        <v>2054888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5" t="s">
        <v>273</v>
      </c>
      <c r="C255" s="328"/>
      <c r="D255" s="328"/>
      <c r="E255" s="303">
        <f>+C255-D255</f>
        <v>0</v>
      </c>
      <c r="F255" s="8"/>
    </row>
    <row r="256" spans="1:6" ht="12.75">
      <c r="A256" t="s">
        <v>284</v>
      </c>
      <c r="B256" s="75" t="s">
        <v>273</v>
      </c>
      <c r="C256" s="328">
        <v>42477</v>
      </c>
      <c r="D256" s="328"/>
      <c r="E256" s="303">
        <f>+C256-D256</f>
        <v>42477</v>
      </c>
      <c r="F256" s="8"/>
    </row>
    <row r="257" spans="1:6" ht="25.5">
      <c r="A257" s="76" t="s">
        <v>285</v>
      </c>
      <c r="B257" s="75" t="s">
        <v>273</v>
      </c>
      <c r="C257" s="329"/>
      <c r="D257" s="329"/>
      <c r="E257" s="326">
        <f>+C257-D257</f>
        <v>0</v>
      </c>
      <c r="F257" s="8"/>
    </row>
    <row r="258" spans="1:6" ht="12.75">
      <c r="A258" t="s">
        <v>109</v>
      </c>
      <c r="B258" s="75" t="s">
        <v>273</v>
      </c>
      <c r="C258" s="328"/>
      <c r="D258" s="328"/>
      <c r="E258" s="303">
        <f>+C258-D258</f>
        <v>0</v>
      </c>
      <c r="F258" s="8"/>
    </row>
    <row r="259" spans="2:6" ht="12.75">
      <c r="B259" s="8"/>
      <c r="C259" s="28"/>
      <c r="D259" s="28"/>
      <c r="E259" s="281"/>
      <c r="F259" s="8"/>
    </row>
    <row r="260" spans="1:6" ht="12.75">
      <c r="A260" t="s">
        <v>9</v>
      </c>
      <c r="B260" s="8" t="s">
        <v>275</v>
      </c>
      <c r="C260" s="281">
        <f>SUM(C255:C259)</f>
        <v>42477</v>
      </c>
      <c r="D260" s="281">
        <f>SUM(D255:D259)</f>
        <v>0</v>
      </c>
      <c r="E260" s="281">
        <f>SUM(E255:E259)</f>
        <v>42477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1">
        <f>+C252-C260</f>
        <v>2012411</v>
      </c>
      <c r="D262" s="281">
        <f>+D252-D260</f>
        <v>0</v>
      </c>
      <c r="E262" s="281">
        <f>+E252-E260</f>
        <v>2012411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5" t="s">
        <v>272</v>
      </c>
      <c r="C266" s="328"/>
      <c r="D266" s="328"/>
      <c r="E266" s="303">
        <f>C266-D266</f>
        <v>0</v>
      </c>
      <c r="F266" s="8"/>
    </row>
    <row r="267" spans="1:6" ht="12.75">
      <c r="A267" s="4" t="s">
        <v>112</v>
      </c>
      <c r="B267" s="75" t="s">
        <v>272</v>
      </c>
      <c r="C267" s="328"/>
      <c r="D267" s="328"/>
      <c r="E267" s="303">
        <f aca="true" t="shared" si="11" ref="E267:E273">C267-D267</f>
        <v>0</v>
      </c>
      <c r="F267" s="8"/>
    </row>
    <row r="268" spans="1:6" ht="12.75">
      <c r="A268" s="4" t="s">
        <v>113</v>
      </c>
      <c r="B268" s="75" t="s">
        <v>272</v>
      </c>
      <c r="C268" s="328"/>
      <c r="D268" s="328"/>
      <c r="E268" s="303">
        <f t="shared" si="11"/>
        <v>0</v>
      </c>
      <c r="F268" s="8"/>
    </row>
    <row r="269" spans="1:6" ht="12.75">
      <c r="A269" s="4" t="s">
        <v>114</v>
      </c>
      <c r="B269" s="75" t="s">
        <v>272</v>
      </c>
      <c r="C269" s="328"/>
      <c r="D269" s="328"/>
      <c r="E269" s="303">
        <f t="shared" si="11"/>
        <v>0</v>
      </c>
      <c r="F269" s="8"/>
    </row>
    <row r="270" spans="1:6" ht="12.75">
      <c r="A270" s="4" t="s">
        <v>115</v>
      </c>
      <c r="B270" s="75" t="s">
        <v>272</v>
      </c>
      <c r="C270" s="328"/>
      <c r="D270" s="328"/>
      <c r="E270" s="303">
        <f t="shared" si="11"/>
        <v>0</v>
      </c>
      <c r="F270" s="8"/>
    </row>
    <row r="271" spans="1:6" ht="12.75">
      <c r="A271" s="4" t="s">
        <v>116</v>
      </c>
      <c r="B271" s="75" t="s">
        <v>272</v>
      </c>
      <c r="C271" s="328"/>
      <c r="D271" s="328"/>
      <c r="E271" s="303">
        <f t="shared" si="11"/>
        <v>0</v>
      </c>
      <c r="F271" s="8"/>
    </row>
    <row r="272" spans="1:6" ht="25.5">
      <c r="A272" s="78" t="s">
        <v>288</v>
      </c>
      <c r="B272" s="77" t="s">
        <v>272</v>
      </c>
      <c r="C272" s="329"/>
      <c r="D272" s="329"/>
      <c r="E272" s="326">
        <f t="shared" si="11"/>
        <v>0</v>
      </c>
      <c r="F272" s="8"/>
    </row>
    <row r="273" spans="1:6" ht="12.75">
      <c r="A273" s="4" t="s">
        <v>117</v>
      </c>
      <c r="B273" s="75" t="s">
        <v>272</v>
      </c>
      <c r="C273" s="328"/>
      <c r="D273" s="328"/>
      <c r="E273" s="303">
        <f t="shared" si="11"/>
        <v>0</v>
      </c>
      <c r="F273" s="8"/>
    </row>
    <row r="274" spans="1:6" ht="12.75">
      <c r="A274" s="4"/>
      <c r="B274" s="8"/>
      <c r="C274" s="28"/>
      <c r="D274" s="28"/>
      <c r="E274" s="281"/>
      <c r="F274" s="8"/>
    </row>
    <row r="275" spans="1:6" ht="12.75">
      <c r="A275" s="2" t="s">
        <v>10</v>
      </c>
      <c r="B275" s="8" t="s">
        <v>275</v>
      </c>
      <c r="C275" s="327">
        <f>SUM(C266:C274)</f>
        <v>0</v>
      </c>
      <c r="D275" s="335">
        <f>SUM(D266:D274)</f>
        <v>0</v>
      </c>
      <c r="E275" s="281">
        <f>SUM(E266:E274)</f>
        <v>0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1">
        <f>+C262</f>
        <v>2012411</v>
      </c>
      <c r="D280" s="281">
        <f>+D262</f>
        <v>0</v>
      </c>
      <c r="E280" s="303">
        <f>+E262</f>
        <v>2012411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14</v>
      </c>
      <c r="B282" s="8" t="s">
        <v>273</v>
      </c>
      <c r="C282" s="281">
        <f>+C275</f>
        <v>0</v>
      </c>
      <c r="D282" s="281">
        <f>+D275</f>
        <v>0</v>
      </c>
      <c r="E282" s="303">
        <f>+C282-D282</f>
        <v>0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" t="s">
        <v>15</v>
      </c>
      <c r="B284" s="75" t="s">
        <v>275</v>
      </c>
      <c r="C284" s="281">
        <f>IF(C280&gt;C282,C280-C282,0)</f>
        <v>2012411</v>
      </c>
      <c r="D284" s="281">
        <f>IF(D280&gt;D282,D280-D282,0)</f>
        <v>0</v>
      </c>
      <c r="E284" s="281">
        <f>IF(E280&gt;E282,E280-E282,0)</f>
        <v>2012411</v>
      </c>
      <c r="F284" s="8"/>
    </row>
    <row r="285" spans="1:6" ht="12.75">
      <c r="A285" s="4"/>
      <c r="B285" s="8"/>
      <c r="C285" s="71"/>
      <c r="D285" s="71"/>
      <c r="E285" s="71"/>
      <c r="F285" s="8"/>
    </row>
    <row r="286" spans="1:6" ht="12.75">
      <c r="A286" s="4" t="s">
        <v>419</v>
      </c>
      <c r="B286" s="75" t="s">
        <v>273</v>
      </c>
      <c r="C286" s="425">
        <f>IF(C284&gt;0,'Tax Rates'!C58,0)</f>
        <v>0</v>
      </c>
      <c r="D286" s="336">
        <v>0</v>
      </c>
      <c r="E286" s="303">
        <f>+C286-D286</f>
        <v>0</v>
      </c>
      <c r="F286" s="8"/>
    </row>
    <row r="287" spans="1:6" ht="12.75">
      <c r="A287" s="2" t="s">
        <v>591</v>
      </c>
      <c r="B287" s="8"/>
      <c r="C287" s="71"/>
      <c r="D287" s="71"/>
      <c r="E287" s="71"/>
      <c r="F287" s="8"/>
    </row>
    <row r="288" spans="1:6" ht="12.75">
      <c r="A288" s="2" t="s">
        <v>12</v>
      </c>
      <c r="B288" s="8" t="s">
        <v>275</v>
      </c>
      <c r="C288" s="281">
        <f>IF(C284&gt;C286,C284-C286,0)</f>
        <v>2012411</v>
      </c>
      <c r="D288" s="281">
        <f>IF(D284&gt;D286,D284-D286,0)</f>
        <v>0</v>
      </c>
      <c r="E288" s="281">
        <f>IF(E284&gt;E286,E284-E286,0)</f>
        <v>2012411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86" t="s">
        <v>520</v>
      </c>
      <c r="B290" s="8"/>
      <c r="C290" s="341">
        <f>'Tax Rates'!C55</f>
        <v>0.00175</v>
      </c>
      <c r="D290" s="341">
        <f>C290</f>
        <v>0.00175</v>
      </c>
      <c r="E290" s="342">
        <f>C290</f>
        <v>0.00175</v>
      </c>
      <c r="F290" s="8"/>
    </row>
    <row r="291" spans="1:6" ht="12.75">
      <c r="A291" s="4"/>
      <c r="B291" s="8"/>
      <c r="C291" s="72"/>
      <c r="D291" s="72"/>
      <c r="E291" s="72"/>
      <c r="F291" s="8"/>
    </row>
    <row r="292" spans="1:6" ht="12.75">
      <c r="A292" s="4" t="s">
        <v>127</v>
      </c>
      <c r="B292" s="8"/>
      <c r="C292" s="282">
        <v>61</v>
      </c>
      <c r="D292" s="282">
        <f>C11</f>
        <v>365</v>
      </c>
      <c r="E292" s="282">
        <f>C11</f>
        <v>365</v>
      </c>
      <c r="F292" s="8"/>
    </row>
    <row r="293" spans="1:6" ht="12.75">
      <c r="A293" s="4" t="s">
        <v>518</v>
      </c>
      <c r="B293" s="8"/>
      <c r="C293" s="343">
        <f>+C292/REGINFO!B7</f>
        <v>0.16712328767123288</v>
      </c>
      <c r="D293" s="343">
        <f>+D292/REGINFO!B7</f>
        <v>1</v>
      </c>
      <c r="E293" s="343">
        <f>+E292/REGINFO!B7</f>
        <v>1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2" t="s">
        <v>590</v>
      </c>
      <c r="B295" s="8" t="s">
        <v>275</v>
      </c>
      <c r="C295" s="281">
        <f>C288*C290*C293</f>
        <v>588.5612993150685</v>
      </c>
      <c r="D295" s="281">
        <f>D288*D290*D293</f>
        <v>0</v>
      </c>
      <c r="E295" s="281">
        <f>E288*E290*E293</f>
        <v>3521.71925</v>
      </c>
      <c r="F295" s="8"/>
    </row>
    <row r="296" spans="1:6" ht="12.75">
      <c r="A296" s="4"/>
      <c r="B296" s="8"/>
      <c r="C296" s="72"/>
      <c r="D296" s="70"/>
      <c r="E296" s="72"/>
      <c r="F296" s="8"/>
    </row>
    <row r="297" spans="1:6" ht="12.75">
      <c r="A297" s="4" t="s">
        <v>129</v>
      </c>
      <c r="B297" s="8"/>
      <c r="C297" s="330">
        <f>'Tax Rates'!C56</f>
        <v>0.0112</v>
      </c>
      <c r="D297" s="330">
        <f>C297</f>
        <v>0.0112</v>
      </c>
      <c r="E297" s="330">
        <f>C297</f>
        <v>0.0112</v>
      </c>
      <c r="F297" s="8"/>
    </row>
    <row r="298" spans="2:6" ht="12.75">
      <c r="B298" s="8"/>
      <c r="C298" s="70"/>
      <c r="D298" s="70"/>
      <c r="E298" s="70"/>
      <c r="F298" s="8"/>
    </row>
    <row r="299" spans="1:6" ht="12.75">
      <c r="A299" t="s">
        <v>589</v>
      </c>
      <c r="B299" s="75" t="s">
        <v>273</v>
      </c>
      <c r="C299" s="336"/>
      <c r="D299" s="336"/>
      <c r="E299" s="281">
        <f>C299-D299</f>
        <v>0</v>
      </c>
      <c r="F299" s="8"/>
    </row>
    <row r="300" spans="2:6" ht="12.75">
      <c r="B300" s="8"/>
      <c r="C300" s="71"/>
      <c r="D300" s="71"/>
      <c r="E300" s="71"/>
      <c r="F300" s="8"/>
    </row>
    <row r="301" spans="1:6" ht="12.75">
      <c r="A301" s="2" t="s">
        <v>433</v>
      </c>
      <c r="B301" s="8" t="s">
        <v>275</v>
      </c>
      <c r="C301" s="281">
        <f>IF(C295&gt;C299,C295-C299,0)</f>
        <v>588.5612993150685</v>
      </c>
      <c r="D301" s="281">
        <f>IF(D295&gt;D299,D295-D299,0)</f>
        <v>0</v>
      </c>
      <c r="E301" s="281">
        <f>IF(E295&gt;E299,E295-E299,0)</f>
        <v>3521.71925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7" t="s">
        <v>272</v>
      </c>
      <c r="C307" s="281">
        <f>C146</f>
        <v>6245</v>
      </c>
      <c r="D307" s="281">
        <f>D146</f>
        <v>0</v>
      </c>
      <c r="E307" s="281">
        <f>E146</f>
        <v>6245</v>
      </c>
    </row>
    <row r="308" spans="1:5" ht="12.75">
      <c r="A308" t="s">
        <v>36</v>
      </c>
      <c r="B308" s="97" t="s">
        <v>272</v>
      </c>
      <c r="C308" s="281">
        <f>C233</f>
        <v>600</v>
      </c>
      <c r="D308" s="281">
        <f>D233</f>
        <v>0</v>
      </c>
      <c r="E308" s="281">
        <f>E233</f>
        <v>600</v>
      </c>
    </row>
    <row r="309" spans="1:5" ht="12.75">
      <c r="A309" t="s">
        <v>326</v>
      </c>
      <c r="B309" s="97" t="s">
        <v>272</v>
      </c>
      <c r="C309" s="281">
        <f>C301</f>
        <v>588.5612993150685</v>
      </c>
      <c r="D309" s="281">
        <f>D301</f>
        <v>0</v>
      </c>
      <c r="E309" s="281">
        <f>E301</f>
        <v>3521.71925</v>
      </c>
    </row>
    <row r="310" ht="12.75">
      <c r="B310" s="8"/>
    </row>
    <row r="311" spans="1:5" ht="12.75">
      <c r="A311" s="2" t="s">
        <v>412</v>
      </c>
      <c r="B311" s="75" t="s">
        <v>275</v>
      </c>
      <c r="C311" s="281">
        <f>C307+C308+C309</f>
        <v>7433.561299315068</v>
      </c>
      <c r="D311" s="281">
        <f>D307+D308+D309</f>
        <v>0</v>
      </c>
      <c r="E311" s="281">
        <f>E307+E308+E309</f>
        <v>10366.71925</v>
      </c>
    </row>
    <row r="312" ht="12.75">
      <c r="C312" s="96"/>
    </row>
    <row r="313" ht="12.75">
      <c r="C313" s="8"/>
    </row>
    <row r="314" ht="12.75">
      <c r="E314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headings="1"/>
  <pageMargins left="0.75" right="0.25" top="0.43" bottom="0.25" header="0.5" footer="0"/>
  <pageSetup horizontalDpi="600" verticalDpi="600" orientation="portrait" scale="57" r:id="rId3"/>
  <rowBreaks count="3" manualBreakCount="3">
    <brk id="95" max="5" man="1"/>
    <brk id="177" max="5" man="1"/>
    <brk id="25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55">
      <selection activeCell="D3" sqref="D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17" t="s">
        <v>633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4" t="str">
        <f>REGINFO!A3</f>
        <v>Utility Name:  West Nipissing Energy Services Ltd</v>
      </c>
      <c r="B7" s="26"/>
      <c r="C7" s="31"/>
      <c r="D7" s="31"/>
      <c r="E7" s="31"/>
      <c r="F7" s="26"/>
    </row>
    <row r="8" spans="1:6" ht="12.75">
      <c r="A8" s="344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7" t="s">
        <v>388</v>
      </c>
      <c r="B12" s="67"/>
      <c r="C12" s="356"/>
      <c r="D12" s="356"/>
      <c r="E12" s="67"/>
    </row>
    <row r="13" spans="1:5" ht="12.75">
      <c r="A13" s="67"/>
      <c r="B13" s="67"/>
      <c r="C13" s="328"/>
      <c r="D13" s="328"/>
      <c r="E13" s="281">
        <f>C13-D13</f>
        <v>0</v>
      </c>
    </row>
    <row r="14" spans="1:5" ht="12.75">
      <c r="A14" s="67" t="s">
        <v>395</v>
      </c>
      <c r="B14" s="67"/>
      <c r="C14" s="328"/>
      <c r="D14" s="328"/>
      <c r="E14" s="281">
        <f aca="true" t="shared" si="0" ref="E14:E21">C14-D14</f>
        <v>0</v>
      </c>
    </row>
    <row r="15" spans="1:5" ht="12.75">
      <c r="A15" s="67" t="s">
        <v>396</v>
      </c>
      <c r="B15" s="67"/>
      <c r="C15" s="328"/>
      <c r="D15" s="328"/>
      <c r="E15" s="281">
        <f t="shared" si="0"/>
        <v>0</v>
      </c>
    </row>
    <row r="16" spans="1:5" ht="12.75">
      <c r="A16" s="67" t="s">
        <v>397</v>
      </c>
      <c r="B16" s="67"/>
      <c r="C16" s="328"/>
      <c r="D16" s="328"/>
      <c r="E16" s="281">
        <f t="shared" si="0"/>
        <v>0</v>
      </c>
    </row>
    <row r="17" spans="1:5" ht="12.75">
      <c r="A17" s="67" t="s">
        <v>398</v>
      </c>
      <c r="B17" s="67"/>
      <c r="C17" s="328"/>
      <c r="D17" s="328"/>
      <c r="E17" s="281">
        <f t="shared" si="0"/>
        <v>0</v>
      </c>
    </row>
    <row r="18" spans="1:5" ht="12.75">
      <c r="A18" s="67" t="s">
        <v>385</v>
      </c>
      <c r="B18" s="67"/>
      <c r="C18" s="328"/>
      <c r="D18" s="328"/>
      <c r="E18" s="281">
        <f t="shared" si="0"/>
        <v>0</v>
      </c>
    </row>
    <row r="19" spans="1:5" ht="12.75">
      <c r="A19" s="67" t="s">
        <v>385</v>
      </c>
      <c r="B19" s="67"/>
      <c r="C19" s="328"/>
      <c r="D19" s="328"/>
      <c r="E19" s="281">
        <f t="shared" si="0"/>
        <v>0</v>
      </c>
    </row>
    <row r="20" spans="1:5" ht="12.75">
      <c r="A20" s="67"/>
      <c r="B20" s="67"/>
      <c r="C20" s="328"/>
      <c r="D20" s="328"/>
      <c r="E20" s="281">
        <f t="shared" si="0"/>
        <v>0</v>
      </c>
    </row>
    <row r="21" spans="1:5" ht="12.75">
      <c r="A21" s="67"/>
      <c r="B21" s="67"/>
      <c r="C21" s="355"/>
      <c r="D21" s="355"/>
      <c r="E21" s="311">
        <f t="shared" si="0"/>
        <v>0</v>
      </c>
    </row>
    <row r="22" spans="1:5" ht="12.75">
      <c r="A22" s="2" t="s">
        <v>261</v>
      </c>
      <c r="C22" s="281">
        <f>SUM(C13:C21)</f>
        <v>0</v>
      </c>
      <c r="D22" s="281">
        <f>SUM(D13:D21)</f>
        <v>0</v>
      </c>
      <c r="E22" s="28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7" t="s">
        <v>387</v>
      </c>
      <c r="B24" s="67"/>
      <c r="C24" s="103"/>
      <c r="D24" s="103"/>
      <c r="E24" s="103"/>
    </row>
    <row r="25" spans="1:5" ht="12.75">
      <c r="A25" s="67"/>
      <c r="B25" s="67"/>
      <c r="C25" s="328"/>
      <c r="D25" s="328"/>
      <c r="E25" s="281">
        <f>C25-D25</f>
        <v>0</v>
      </c>
    </row>
    <row r="26" spans="1:5" ht="12.75">
      <c r="A26" s="67" t="s">
        <v>395</v>
      </c>
      <c r="B26" s="67"/>
      <c r="C26" s="328"/>
      <c r="D26" s="328"/>
      <c r="E26" s="281">
        <f aca="true" t="shared" si="1" ref="E26:E33">C26-D26</f>
        <v>0</v>
      </c>
    </row>
    <row r="27" spans="1:5" ht="12.75">
      <c r="A27" s="67" t="s">
        <v>396</v>
      </c>
      <c r="B27" s="67"/>
      <c r="C27" s="328"/>
      <c r="D27" s="328"/>
      <c r="E27" s="281">
        <f t="shared" si="1"/>
        <v>0</v>
      </c>
    </row>
    <row r="28" spans="1:5" ht="12.75">
      <c r="A28" s="67" t="s">
        <v>397</v>
      </c>
      <c r="B28" s="67"/>
      <c r="C28" s="328"/>
      <c r="D28" s="328"/>
      <c r="E28" s="281">
        <f t="shared" si="1"/>
        <v>0</v>
      </c>
    </row>
    <row r="29" spans="1:5" ht="12.75">
      <c r="A29" s="67" t="s">
        <v>398</v>
      </c>
      <c r="B29" s="67"/>
      <c r="C29" s="328"/>
      <c r="D29" s="328"/>
      <c r="E29" s="281">
        <f t="shared" si="1"/>
        <v>0</v>
      </c>
    </row>
    <row r="30" spans="1:5" ht="12.75">
      <c r="A30" s="67" t="s">
        <v>385</v>
      </c>
      <c r="B30" s="67"/>
      <c r="C30" s="328"/>
      <c r="D30" s="328"/>
      <c r="E30" s="281">
        <f t="shared" si="1"/>
        <v>0</v>
      </c>
    </row>
    <row r="31" spans="1:5" ht="12.75">
      <c r="A31" s="67" t="s">
        <v>385</v>
      </c>
      <c r="B31" s="67"/>
      <c r="C31" s="328"/>
      <c r="D31" s="328"/>
      <c r="E31" s="281">
        <f t="shared" si="1"/>
        <v>0</v>
      </c>
    </row>
    <row r="32" spans="1:5" ht="12.75">
      <c r="A32" s="67"/>
      <c r="B32" s="67"/>
      <c r="C32" s="328"/>
      <c r="D32" s="328"/>
      <c r="E32" s="281">
        <f t="shared" si="1"/>
        <v>0</v>
      </c>
    </row>
    <row r="33" spans="1:5" ht="13.5" thickBot="1">
      <c r="A33" s="68"/>
      <c r="B33" s="67"/>
      <c r="C33" s="328"/>
      <c r="D33" s="328"/>
      <c r="E33" s="281">
        <f t="shared" si="1"/>
        <v>0</v>
      </c>
    </row>
    <row r="34" spans="1:5" ht="12.75">
      <c r="A34" s="62" t="s">
        <v>211</v>
      </c>
      <c r="C34" s="28"/>
      <c r="D34" s="28"/>
      <c r="E34" s="311"/>
    </row>
    <row r="35" spans="1:5" ht="12.75">
      <c r="A35" s="2" t="s">
        <v>261</v>
      </c>
      <c r="C35" s="281">
        <f>SUM(C25:C33)</f>
        <v>0</v>
      </c>
      <c r="D35" s="281">
        <f>SUM(D25:D33)</f>
        <v>0</v>
      </c>
      <c r="E35" s="28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7" t="s">
        <v>388</v>
      </c>
      <c r="B40" s="67"/>
      <c r="C40" s="103"/>
      <c r="D40" s="103"/>
      <c r="E40" s="103"/>
    </row>
    <row r="41" spans="1:5" ht="12.75">
      <c r="A41" s="67"/>
      <c r="B41" s="67"/>
      <c r="C41" s="328"/>
      <c r="D41" s="328"/>
      <c r="E41" s="281">
        <f>C41-D41</f>
        <v>0</v>
      </c>
    </row>
    <row r="42" spans="1:5" ht="12.75">
      <c r="A42" s="67"/>
      <c r="B42" s="67"/>
      <c r="C42" s="328"/>
      <c r="D42" s="328"/>
      <c r="E42" s="281">
        <f aca="true" t="shared" si="2" ref="E42:E49">C42-D42</f>
        <v>0</v>
      </c>
    </row>
    <row r="43" spans="1:5" ht="12.75">
      <c r="A43" s="67" t="s">
        <v>381</v>
      </c>
      <c r="B43" s="67"/>
      <c r="C43" s="328"/>
      <c r="D43" s="328"/>
      <c r="E43" s="281">
        <f t="shared" si="2"/>
        <v>0</v>
      </c>
    </row>
    <row r="44" spans="1:5" ht="12.75">
      <c r="A44" s="67" t="s">
        <v>382</v>
      </c>
      <c r="B44" s="67"/>
      <c r="C44" s="328"/>
      <c r="D44" s="328"/>
      <c r="E44" s="281">
        <f t="shared" si="2"/>
        <v>0</v>
      </c>
    </row>
    <row r="45" spans="1:5" ht="12.75">
      <c r="A45" s="67" t="s">
        <v>383</v>
      </c>
      <c r="B45" s="67"/>
      <c r="C45" s="328"/>
      <c r="D45" s="328"/>
      <c r="E45" s="281">
        <f t="shared" si="2"/>
        <v>0</v>
      </c>
    </row>
    <row r="46" spans="1:5" ht="12.75">
      <c r="A46" s="67" t="s">
        <v>384</v>
      </c>
      <c r="B46" s="67"/>
      <c r="C46" s="328"/>
      <c r="D46" s="328"/>
      <c r="E46" s="281">
        <f t="shared" si="2"/>
        <v>0</v>
      </c>
    </row>
    <row r="47" spans="1:5" ht="12.75">
      <c r="A47" s="67" t="s">
        <v>385</v>
      </c>
      <c r="B47" s="67"/>
      <c r="C47" s="328"/>
      <c r="D47" s="328"/>
      <c r="E47" s="281">
        <f t="shared" si="2"/>
        <v>0</v>
      </c>
    </row>
    <row r="48" spans="1:5" ht="12.75">
      <c r="A48" s="67" t="s">
        <v>385</v>
      </c>
      <c r="B48" s="67"/>
      <c r="C48" s="328"/>
      <c r="D48" s="328"/>
      <c r="E48" s="281">
        <f t="shared" si="2"/>
        <v>0</v>
      </c>
    </row>
    <row r="49" spans="1:5" ht="12.75">
      <c r="A49" s="67"/>
      <c r="B49" s="67"/>
      <c r="C49" s="355"/>
      <c r="D49" s="355"/>
      <c r="E49" s="311">
        <f t="shared" si="2"/>
        <v>0</v>
      </c>
    </row>
    <row r="50" spans="1:5" ht="12.75">
      <c r="A50" s="2" t="s">
        <v>261</v>
      </c>
      <c r="C50" s="281">
        <f>SUM(C41:C49)</f>
        <v>0</v>
      </c>
      <c r="D50" s="281">
        <f>SUM(D41:D49)</f>
        <v>0</v>
      </c>
      <c r="E50" s="281">
        <f>SUM(E41:E49)</f>
        <v>0</v>
      </c>
    </row>
    <row r="51" spans="3:5" ht="12.75">
      <c r="C51" s="28"/>
      <c r="D51" s="28"/>
      <c r="E51" s="28"/>
    </row>
    <row r="52" spans="1:5" ht="12.75">
      <c r="A52" s="277" t="s">
        <v>387</v>
      </c>
      <c r="B52" s="67"/>
      <c r="C52" s="103"/>
      <c r="D52" s="103"/>
      <c r="E52" s="103"/>
    </row>
    <row r="53" spans="1:5" ht="12.75">
      <c r="A53" s="67"/>
      <c r="B53" s="67"/>
      <c r="C53" s="328"/>
      <c r="D53" s="328"/>
      <c r="E53" s="281">
        <f>C53-D53</f>
        <v>0</v>
      </c>
    </row>
    <row r="54" spans="1:5" ht="12.75">
      <c r="A54" s="276"/>
      <c r="B54" s="67"/>
      <c r="C54" s="328"/>
      <c r="D54" s="328"/>
      <c r="E54" s="281">
        <f aca="true" t="shared" si="3" ref="E54:E61">C54-D54</f>
        <v>0</v>
      </c>
    </row>
    <row r="55" spans="1:5" ht="12.75">
      <c r="A55" s="276" t="s">
        <v>381</v>
      </c>
      <c r="B55" s="67"/>
      <c r="C55" s="328"/>
      <c r="D55" s="328"/>
      <c r="E55" s="281">
        <f t="shared" si="3"/>
        <v>0</v>
      </c>
    </row>
    <row r="56" spans="1:5" ht="12.75">
      <c r="A56" s="276" t="s">
        <v>382</v>
      </c>
      <c r="B56" s="67"/>
      <c r="C56" s="328"/>
      <c r="D56" s="328"/>
      <c r="E56" s="281">
        <f t="shared" si="3"/>
        <v>0</v>
      </c>
    </row>
    <row r="57" spans="1:5" ht="12.75">
      <c r="A57" s="276" t="s">
        <v>383</v>
      </c>
      <c r="B57" s="67"/>
      <c r="C57" s="328"/>
      <c r="D57" s="328"/>
      <c r="E57" s="281">
        <f t="shared" si="3"/>
        <v>0</v>
      </c>
    </row>
    <row r="58" spans="1:5" ht="12.75">
      <c r="A58" s="276" t="s">
        <v>384</v>
      </c>
      <c r="B58" s="67"/>
      <c r="C58" s="328"/>
      <c r="D58" s="328"/>
      <c r="E58" s="281">
        <f t="shared" si="3"/>
        <v>0</v>
      </c>
    </row>
    <row r="59" spans="1:5" ht="12.75">
      <c r="A59" s="67" t="s">
        <v>385</v>
      </c>
      <c r="B59" s="67"/>
      <c r="C59" s="328"/>
      <c r="D59" s="328"/>
      <c r="E59" s="281">
        <f t="shared" si="3"/>
        <v>0</v>
      </c>
    </row>
    <row r="60" spans="1:5" ht="12.75">
      <c r="A60" s="67" t="s">
        <v>385</v>
      </c>
      <c r="B60" s="67"/>
      <c r="C60" s="328"/>
      <c r="D60" s="328"/>
      <c r="E60" s="281">
        <f t="shared" si="3"/>
        <v>0</v>
      </c>
    </row>
    <row r="61" spans="1:5" ht="13.5" thickBot="1">
      <c r="A61" s="68"/>
      <c r="B61" s="67"/>
      <c r="C61" s="328"/>
      <c r="D61" s="328"/>
      <c r="E61" s="281">
        <f t="shared" si="3"/>
        <v>0</v>
      </c>
    </row>
    <row r="62" spans="1:5" ht="12.75">
      <c r="A62" s="62" t="s">
        <v>211</v>
      </c>
      <c r="C62" s="28"/>
      <c r="D62" s="28"/>
      <c r="E62" s="311"/>
    </row>
    <row r="63" spans="1:5" ht="12.75">
      <c r="A63" s="2" t="s">
        <v>261</v>
      </c>
      <c r="C63" s="281">
        <f>SUM(C53:C61)</f>
        <v>0</v>
      </c>
      <c r="D63" s="281">
        <f>SUM(D53:D61)</f>
        <v>0</v>
      </c>
      <c r="E63" s="281">
        <f>SUM(E53:E61)</f>
        <v>0</v>
      </c>
    </row>
  </sheetData>
  <sheetProtection/>
  <printOptions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17" t="s">
        <v>633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15" t="str">
        <f>REGINFO!A3</f>
        <v>Utility Name:  West Nipissing Energy Services Ltd</v>
      </c>
      <c r="B8" s="26"/>
      <c r="C8" s="31"/>
      <c r="D8" s="31"/>
      <c r="E8" s="31"/>
      <c r="F8" s="26"/>
    </row>
    <row r="9" spans="1:6" ht="12.75">
      <c r="A9" s="515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2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3">
        <f>TAXREC!C13</f>
        <v>3763.045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29"/>
      <c r="D15" s="329"/>
      <c r="E15" s="358">
        <f>C15-D15</f>
        <v>0</v>
      </c>
    </row>
    <row r="16" spans="1:5" ht="12.75">
      <c r="A16" s="78" t="s">
        <v>363</v>
      </c>
      <c r="B16" t="s">
        <v>272</v>
      </c>
      <c r="C16" s="329"/>
      <c r="D16" s="329"/>
      <c r="E16" s="358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29"/>
      <c r="D17" s="329"/>
      <c r="E17" s="358">
        <f t="shared" si="0"/>
        <v>0</v>
      </c>
    </row>
    <row r="18" spans="1:5" ht="12.75">
      <c r="A18" s="78" t="s">
        <v>213</v>
      </c>
      <c r="B18" t="s">
        <v>272</v>
      </c>
      <c r="C18" s="329"/>
      <c r="D18" s="359"/>
      <c r="E18" s="358">
        <f t="shared" si="0"/>
        <v>0</v>
      </c>
    </row>
    <row r="19" spans="1:5" ht="12.75">
      <c r="A19" s="78" t="s">
        <v>214</v>
      </c>
      <c r="B19" t="s">
        <v>272</v>
      </c>
      <c r="C19" s="329"/>
      <c r="D19" s="329"/>
      <c r="E19" s="358">
        <f t="shared" si="0"/>
        <v>0</v>
      </c>
    </row>
    <row r="20" spans="1:5" ht="12.75">
      <c r="A20" s="78" t="s">
        <v>215</v>
      </c>
      <c r="B20" t="s">
        <v>272</v>
      </c>
      <c r="C20" s="329"/>
      <c r="D20" s="329"/>
      <c r="E20" s="358">
        <f t="shared" si="0"/>
        <v>0</v>
      </c>
    </row>
    <row r="21" spans="1:5" ht="12.75">
      <c r="A21" s="78" t="s">
        <v>24</v>
      </c>
      <c r="B21" t="s">
        <v>272</v>
      </c>
      <c r="C21" s="329"/>
      <c r="D21" s="329"/>
      <c r="E21" s="358">
        <f t="shared" si="0"/>
        <v>0</v>
      </c>
    </row>
    <row r="22" spans="1:5" ht="12.75">
      <c r="A22" s="78" t="s">
        <v>216</v>
      </c>
      <c r="B22" t="s">
        <v>272</v>
      </c>
      <c r="C22" s="329"/>
      <c r="D22" s="329"/>
      <c r="E22" s="358">
        <f t="shared" si="0"/>
        <v>0</v>
      </c>
    </row>
    <row r="23" spans="1:5" ht="12.75">
      <c r="A23" s="78" t="s">
        <v>217</v>
      </c>
      <c r="B23" t="s">
        <v>272</v>
      </c>
      <c r="C23" s="329"/>
      <c r="D23" s="329"/>
      <c r="E23" s="358">
        <f t="shared" si="0"/>
        <v>0</v>
      </c>
    </row>
    <row r="24" spans="1:5" ht="12.75">
      <c r="A24" s="78" t="s">
        <v>218</v>
      </c>
      <c r="B24" t="s">
        <v>272</v>
      </c>
      <c r="C24" s="329"/>
      <c r="D24" s="329"/>
      <c r="E24" s="358">
        <f t="shared" si="0"/>
        <v>0</v>
      </c>
    </row>
    <row r="25" spans="1:5" ht="12.75">
      <c r="A25" s="78" t="s">
        <v>25</v>
      </c>
      <c r="B25" t="s">
        <v>272</v>
      </c>
      <c r="C25" s="329"/>
      <c r="D25" s="329"/>
      <c r="E25" s="358">
        <f t="shared" si="0"/>
        <v>0</v>
      </c>
    </row>
    <row r="26" spans="1:5" ht="12.75">
      <c r="A26" s="78" t="s">
        <v>219</v>
      </c>
      <c r="B26" t="s">
        <v>272</v>
      </c>
      <c r="C26" s="329"/>
      <c r="D26" s="329"/>
      <c r="E26" s="358">
        <f t="shared" si="0"/>
        <v>0</v>
      </c>
    </row>
    <row r="27" spans="1:5" ht="12.75">
      <c r="A27" s="78" t="s">
        <v>220</v>
      </c>
      <c r="B27" t="s">
        <v>272</v>
      </c>
      <c r="C27" s="329"/>
      <c r="D27" s="329"/>
      <c r="E27" s="358">
        <f t="shared" si="0"/>
        <v>0</v>
      </c>
    </row>
    <row r="28" spans="1:5" ht="12.75">
      <c r="A28" s="78" t="s">
        <v>364</v>
      </c>
      <c r="B28" t="s">
        <v>272</v>
      </c>
      <c r="C28" s="329"/>
      <c r="D28" s="329"/>
      <c r="E28" s="358">
        <f t="shared" si="0"/>
        <v>0</v>
      </c>
    </row>
    <row r="29" spans="1:5" ht="12.75">
      <c r="A29" s="78" t="s">
        <v>290</v>
      </c>
      <c r="B29" t="s">
        <v>272</v>
      </c>
      <c r="C29" s="329"/>
      <c r="D29" s="329"/>
      <c r="E29" s="358">
        <f t="shared" si="0"/>
        <v>0</v>
      </c>
    </row>
    <row r="30" spans="1:5" ht="12.75">
      <c r="A30" s="78" t="s">
        <v>414</v>
      </c>
      <c r="B30" t="s">
        <v>272</v>
      </c>
      <c r="C30" s="329"/>
      <c r="D30" s="329"/>
      <c r="E30" s="358">
        <f t="shared" si="0"/>
        <v>0</v>
      </c>
    </row>
    <row r="31" spans="1:5" ht="12.75">
      <c r="A31" s="78" t="s">
        <v>291</v>
      </c>
      <c r="B31" t="s">
        <v>272</v>
      </c>
      <c r="C31" s="329"/>
      <c r="D31" s="329"/>
      <c r="E31" s="358">
        <f t="shared" si="0"/>
        <v>0</v>
      </c>
    </row>
    <row r="32" spans="1:5" ht="12.75">
      <c r="A32" s="78" t="s">
        <v>23</v>
      </c>
      <c r="B32" t="s">
        <v>272</v>
      </c>
      <c r="C32" s="329"/>
      <c r="D32" s="329"/>
      <c r="E32" s="358">
        <f t="shared" si="0"/>
        <v>0</v>
      </c>
    </row>
    <row r="33" spans="1:5" ht="12.75">
      <c r="A33" s="78" t="s">
        <v>203</v>
      </c>
      <c r="B33" t="s">
        <v>272</v>
      </c>
      <c r="C33" s="329"/>
      <c r="D33" s="329"/>
      <c r="E33" s="358">
        <f t="shared" si="0"/>
        <v>0</v>
      </c>
    </row>
    <row r="34" spans="1:5" ht="12.75">
      <c r="A34" s="78" t="s">
        <v>204</v>
      </c>
      <c r="B34" t="s">
        <v>272</v>
      </c>
      <c r="C34" s="329"/>
      <c r="D34" s="329"/>
      <c r="E34" s="358">
        <f t="shared" si="0"/>
        <v>0</v>
      </c>
    </row>
    <row r="35" spans="1:5" ht="12.75">
      <c r="A35" s="78" t="s">
        <v>292</v>
      </c>
      <c r="B35" t="s">
        <v>272</v>
      </c>
      <c r="C35" s="329"/>
      <c r="D35" s="329"/>
      <c r="E35" s="358">
        <f t="shared" si="0"/>
        <v>0</v>
      </c>
    </row>
    <row r="36" spans="1:5" ht="12.75">
      <c r="A36" s="78" t="s">
        <v>221</v>
      </c>
      <c r="B36" t="s">
        <v>272</v>
      </c>
      <c r="C36" s="329"/>
      <c r="D36" s="329"/>
      <c r="E36" s="281">
        <f t="shared" si="0"/>
        <v>0</v>
      </c>
    </row>
    <row r="37" spans="1:5" ht="12.75">
      <c r="A37" s="78" t="s">
        <v>222</v>
      </c>
      <c r="B37" t="s">
        <v>272</v>
      </c>
      <c r="C37" s="329"/>
      <c r="D37" s="329"/>
      <c r="E37" s="281">
        <f t="shared" si="0"/>
        <v>0</v>
      </c>
    </row>
    <row r="38" spans="1:5" ht="12.75">
      <c r="A38" s="78" t="s">
        <v>365</v>
      </c>
      <c r="B38" t="s">
        <v>272</v>
      </c>
      <c r="C38" s="329"/>
      <c r="D38" s="329"/>
      <c r="E38" s="281">
        <f t="shared" si="0"/>
        <v>0</v>
      </c>
    </row>
    <row r="39" spans="1:5" ht="12.75">
      <c r="A39" s="78" t="s">
        <v>223</v>
      </c>
      <c r="B39" t="s">
        <v>272</v>
      </c>
      <c r="C39" s="329"/>
      <c r="D39" s="329"/>
      <c r="E39" s="281">
        <f t="shared" si="0"/>
        <v>0</v>
      </c>
    </row>
    <row r="40" spans="1:5" ht="12.75">
      <c r="A40" s="78" t="s">
        <v>224</v>
      </c>
      <c r="B40" t="s">
        <v>272</v>
      </c>
      <c r="C40" s="329"/>
      <c r="D40" s="329"/>
      <c r="E40" s="281">
        <f t="shared" si="0"/>
        <v>0</v>
      </c>
    </row>
    <row r="41" spans="1:5" ht="12.75">
      <c r="A41" s="78" t="s">
        <v>225</v>
      </c>
      <c r="B41" t="s">
        <v>272</v>
      </c>
      <c r="C41" s="328"/>
      <c r="D41" s="329"/>
      <c r="E41" s="281">
        <f t="shared" si="0"/>
        <v>0</v>
      </c>
    </row>
    <row r="42" spans="1:5" ht="12.75">
      <c r="A42" s="78" t="s">
        <v>293</v>
      </c>
      <c r="B42" t="s">
        <v>272</v>
      </c>
      <c r="C42" s="328"/>
      <c r="D42" s="329"/>
      <c r="E42" s="281">
        <f t="shared" si="0"/>
        <v>0</v>
      </c>
    </row>
    <row r="43" spans="1:5" ht="12.75">
      <c r="A43" s="79" t="s">
        <v>304</v>
      </c>
      <c r="B43" t="s">
        <v>272</v>
      </c>
      <c r="C43" s="328"/>
      <c r="D43" s="328"/>
      <c r="E43" s="281">
        <f t="shared" si="0"/>
        <v>0</v>
      </c>
    </row>
    <row r="44" spans="1:5" ht="12.75">
      <c r="A44" s="78" t="s">
        <v>415</v>
      </c>
      <c r="B44" t="s">
        <v>272</v>
      </c>
      <c r="C44" s="328"/>
      <c r="D44" s="328"/>
      <c r="E44" s="281">
        <f t="shared" si="0"/>
        <v>0</v>
      </c>
    </row>
    <row r="45" spans="1:5" ht="12.75">
      <c r="A45" s="78"/>
      <c r="B45" t="s">
        <v>272</v>
      </c>
      <c r="C45" s="328"/>
      <c r="D45" s="328"/>
      <c r="E45" s="281">
        <f t="shared" si="0"/>
        <v>0</v>
      </c>
    </row>
    <row r="46" spans="1:5" ht="12.75">
      <c r="A46" s="78"/>
      <c r="B46" t="s">
        <v>272</v>
      </c>
      <c r="C46" s="328"/>
      <c r="D46" s="328"/>
      <c r="E46" s="281">
        <f t="shared" si="0"/>
        <v>0</v>
      </c>
    </row>
    <row r="47" spans="1:5" ht="12.75">
      <c r="A47" s="78" t="s">
        <v>625</v>
      </c>
      <c r="B47" t="s">
        <v>272</v>
      </c>
      <c r="C47" s="328"/>
      <c r="D47" s="328"/>
      <c r="E47" s="281">
        <f t="shared" si="0"/>
        <v>0</v>
      </c>
    </row>
    <row r="48" spans="1:5" ht="12.75">
      <c r="A48" s="78"/>
      <c r="B48" t="s">
        <v>272</v>
      </c>
      <c r="C48" s="328"/>
      <c r="D48" s="328"/>
      <c r="E48" s="281">
        <f t="shared" si="0"/>
        <v>0</v>
      </c>
    </row>
    <row r="49" spans="1:5" ht="12.75">
      <c r="A49" s="78"/>
      <c r="B49" t="s">
        <v>272</v>
      </c>
      <c r="C49" s="328"/>
      <c r="D49" s="328"/>
      <c r="E49" s="281">
        <f t="shared" si="0"/>
        <v>0</v>
      </c>
    </row>
    <row r="50" spans="1:5" ht="12.75">
      <c r="A50" s="78"/>
      <c r="B50" t="s">
        <v>272</v>
      </c>
      <c r="C50" s="328"/>
      <c r="D50" s="328"/>
      <c r="E50" s="281">
        <f t="shared" si="0"/>
        <v>0</v>
      </c>
    </row>
    <row r="51" spans="1:5" ht="12.75">
      <c r="A51" s="78"/>
      <c r="B51" t="s">
        <v>272</v>
      </c>
      <c r="C51" s="328"/>
      <c r="D51" s="328"/>
      <c r="E51" s="281">
        <f t="shared" si="0"/>
        <v>0</v>
      </c>
    </row>
    <row r="52" spans="1:5" ht="12.75">
      <c r="A52" s="78"/>
      <c r="B52" t="s">
        <v>272</v>
      </c>
      <c r="C52" s="328"/>
      <c r="D52" s="328"/>
      <c r="E52" s="281">
        <f t="shared" si="0"/>
        <v>0</v>
      </c>
    </row>
    <row r="53" spans="1:5" ht="12.75">
      <c r="A53" s="78"/>
      <c r="B53" t="s">
        <v>272</v>
      </c>
      <c r="C53" s="328"/>
      <c r="D53" s="328"/>
      <c r="E53" s="311"/>
    </row>
    <row r="54" spans="1:5" ht="12.75">
      <c r="A54" s="81" t="s">
        <v>251</v>
      </c>
      <c r="B54" t="s">
        <v>275</v>
      </c>
      <c r="C54" s="281">
        <f>SUM(C15:C53)</f>
        <v>0</v>
      </c>
      <c r="D54" s="281">
        <f>SUM(D15:D53)</f>
        <v>0</v>
      </c>
      <c r="E54" s="281">
        <f>SUM(E15:E53)</f>
        <v>0</v>
      </c>
    </row>
    <row r="55" ht="12.75">
      <c r="A55" s="78"/>
    </row>
    <row r="56" ht="12.75">
      <c r="A56" s="78" t="s">
        <v>253</v>
      </c>
    </row>
    <row r="57" spans="1:5" ht="12.75">
      <c r="A57" s="306" t="str">
        <f aca="true" t="shared" si="1" ref="A57:A71">IF($E15&gt;$C$11,A15," ")</f>
        <v> </v>
      </c>
      <c r="B57" s="304"/>
      <c r="C57" s="281">
        <f aca="true" t="shared" si="2" ref="C57:E71">IF($E15&gt;$C$11,C15,)</f>
        <v>0</v>
      </c>
      <c r="D57" s="281">
        <f t="shared" si="2"/>
        <v>0</v>
      </c>
      <c r="E57" s="281">
        <f t="shared" si="2"/>
        <v>0</v>
      </c>
    </row>
    <row r="58" spans="1:5" ht="12.75">
      <c r="A58" s="306" t="str">
        <f t="shared" si="1"/>
        <v> </v>
      </c>
      <c r="B58" s="304"/>
      <c r="C58" s="281">
        <f t="shared" si="2"/>
        <v>0</v>
      </c>
      <c r="D58" s="281">
        <f t="shared" si="2"/>
        <v>0</v>
      </c>
      <c r="E58" s="281">
        <f t="shared" si="2"/>
        <v>0</v>
      </c>
    </row>
    <row r="59" spans="1:5" ht="12.75">
      <c r="A59" s="306" t="str">
        <f t="shared" si="1"/>
        <v> </v>
      </c>
      <c r="B59" s="304"/>
      <c r="C59" s="281">
        <f t="shared" si="2"/>
        <v>0</v>
      </c>
      <c r="D59" s="281">
        <f t="shared" si="2"/>
        <v>0</v>
      </c>
      <c r="E59" s="281">
        <f t="shared" si="2"/>
        <v>0</v>
      </c>
    </row>
    <row r="60" spans="1:5" ht="12.75">
      <c r="A60" s="306" t="str">
        <f t="shared" si="1"/>
        <v> </v>
      </c>
      <c r="B60" s="304"/>
      <c r="C60" s="281">
        <f t="shared" si="2"/>
        <v>0</v>
      </c>
      <c r="D60" s="281">
        <f t="shared" si="2"/>
        <v>0</v>
      </c>
      <c r="E60" s="281">
        <f t="shared" si="2"/>
        <v>0</v>
      </c>
    </row>
    <row r="61" spans="1:5" ht="12.75">
      <c r="A61" s="306" t="str">
        <f t="shared" si="1"/>
        <v> </v>
      </c>
      <c r="B61" s="304"/>
      <c r="C61" s="281">
        <f t="shared" si="2"/>
        <v>0</v>
      </c>
      <c r="D61" s="281">
        <f t="shared" si="2"/>
        <v>0</v>
      </c>
      <c r="E61" s="281">
        <f t="shared" si="2"/>
        <v>0</v>
      </c>
    </row>
    <row r="62" spans="1:5" ht="12.75">
      <c r="A62" s="306" t="str">
        <f t="shared" si="1"/>
        <v> </v>
      </c>
      <c r="B62" s="304"/>
      <c r="C62" s="281">
        <f t="shared" si="2"/>
        <v>0</v>
      </c>
      <c r="D62" s="281">
        <f t="shared" si="2"/>
        <v>0</v>
      </c>
      <c r="E62" s="281">
        <f t="shared" si="2"/>
        <v>0</v>
      </c>
    </row>
    <row r="63" spans="1:5" ht="12.75">
      <c r="A63" s="306" t="str">
        <f t="shared" si="1"/>
        <v> </v>
      </c>
      <c r="B63" s="304"/>
      <c r="C63" s="281">
        <f t="shared" si="2"/>
        <v>0</v>
      </c>
      <c r="D63" s="281">
        <f t="shared" si="2"/>
        <v>0</v>
      </c>
      <c r="E63" s="281">
        <f t="shared" si="2"/>
        <v>0</v>
      </c>
    </row>
    <row r="64" spans="1:5" ht="12.75">
      <c r="A64" s="306" t="str">
        <f t="shared" si="1"/>
        <v> </v>
      </c>
      <c r="B64" s="304"/>
      <c r="C64" s="281">
        <f t="shared" si="2"/>
        <v>0</v>
      </c>
      <c r="D64" s="281">
        <f t="shared" si="2"/>
        <v>0</v>
      </c>
      <c r="E64" s="281">
        <f t="shared" si="2"/>
        <v>0</v>
      </c>
    </row>
    <row r="65" spans="1:5" ht="12.75">
      <c r="A65" s="306" t="str">
        <f t="shared" si="1"/>
        <v> </v>
      </c>
      <c r="B65" s="304"/>
      <c r="C65" s="281">
        <f t="shared" si="2"/>
        <v>0</v>
      </c>
      <c r="D65" s="281">
        <f t="shared" si="2"/>
        <v>0</v>
      </c>
      <c r="E65" s="281">
        <f t="shared" si="2"/>
        <v>0</v>
      </c>
    </row>
    <row r="66" spans="1:5" ht="12.75">
      <c r="A66" s="306" t="str">
        <f t="shared" si="1"/>
        <v> </v>
      </c>
      <c r="B66" s="304"/>
      <c r="C66" s="281">
        <f t="shared" si="2"/>
        <v>0</v>
      </c>
      <c r="D66" s="281">
        <f t="shared" si="2"/>
        <v>0</v>
      </c>
      <c r="E66" s="281">
        <f t="shared" si="2"/>
        <v>0</v>
      </c>
    </row>
    <row r="67" spans="1:5" ht="12.75">
      <c r="A67" s="306" t="str">
        <f t="shared" si="1"/>
        <v> </v>
      </c>
      <c r="B67" s="304"/>
      <c r="C67" s="281">
        <f t="shared" si="2"/>
        <v>0</v>
      </c>
      <c r="D67" s="281">
        <f t="shared" si="2"/>
        <v>0</v>
      </c>
      <c r="E67" s="281">
        <f t="shared" si="2"/>
        <v>0</v>
      </c>
    </row>
    <row r="68" spans="1:5" ht="12.75">
      <c r="A68" s="306" t="str">
        <f t="shared" si="1"/>
        <v> </v>
      </c>
      <c r="B68" s="304"/>
      <c r="C68" s="281">
        <f t="shared" si="2"/>
        <v>0</v>
      </c>
      <c r="D68" s="281">
        <f t="shared" si="2"/>
        <v>0</v>
      </c>
      <c r="E68" s="281">
        <f t="shared" si="2"/>
        <v>0</v>
      </c>
    </row>
    <row r="69" spans="1:5" ht="12.75">
      <c r="A69" s="306" t="str">
        <f t="shared" si="1"/>
        <v> </v>
      </c>
      <c r="B69" s="304"/>
      <c r="C69" s="281">
        <f t="shared" si="2"/>
        <v>0</v>
      </c>
      <c r="D69" s="281">
        <f t="shared" si="2"/>
        <v>0</v>
      </c>
      <c r="E69" s="281">
        <f t="shared" si="2"/>
        <v>0</v>
      </c>
    </row>
    <row r="70" spans="1:5" ht="12.75">
      <c r="A70" s="306" t="str">
        <f t="shared" si="1"/>
        <v> </v>
      </c>
      <c r="B70" s="304"/>
      <c r="C70" s="281">
        <f t="shared" si="2"/>
        <v>0</v>
      </c>
      <c r="D70" s="281">
        <f t="shared" si="2"/>
        <v>0</v>
      </c>
      <c r="E70" s="281">
        <f t="shared" si="2"/>
        <v>0</v>
      </c>
    </row>
    <row r="71" spans="1:5" ht="12.75">
      <c r="A71" s="306" t="str">
        <f t="shared" si="1"/>
        <v> </v>
      </c>
      <c r="B71" s="304"/>
      <c r="C71" s="281">
        <f t="shared" si="2"/>
        <v>0</v>
      </c>
      <c r="D71" s="281">
        <f t="shared" si="2"/>
        <v>0</v>
      </c>
      <c r="E71" s="281">
        <f t="shared" si="2"/>
        <v>0</v>
      </c>
    </row>
    <row r="72" spans="1:5" ht="12.75">
      <c r="A72" s="306" t="str">
        <f aca="true" t="shared" si="3" ref="A72:A93">IF($E31&gt;$C$11,A31," ")</f>
        <v> </v>
      </c>
      <c r="B72" s="304"/>
      <c r="C72" s="281">
        <f aca="true" t="shared" si="4" ref="C72:E76">IF($E31&gt;$C$11,C31,)</f>
        <v>0</v>
      </c>
      <c r="D72" s="281">
        <f t="shared" si="4"/>
        <v>0</v>
      </c>
      <c r="E72" s="281">
        <f t="shared" si="4"/>
        <v>0</v>
      </c>
    </row>
    <row r="73" spans="1:5" ht="12.75">
      <c r="A73" s="306" t="str">
        <f t="shared" si="3"/>
        <v> </v>
      </c>
      <c r="B73" s="304"/>
      <c r="C73" s="281">
        <f t="shared" si="4"/>
        <v>0</v>
      </c>
      <c r="D73" s="281">
        <f t="shared" si="4"/>
        <v>0</v>
      </c>
      <c r="E73" s="281">
        <f t="shared" si="4"/>
        <v>0</v>
      </c>
    </row>
    <row r="74" spans="1:5" ht="12.75">
      <c r="A74" s="306" t="str">
        <f t="shared" si="3"/>
        <v> </v>
      </c>
      <c r="B74" s="304"/>
      <c r="C74" s="281">
        <f t="shared" si="4"/>
        <v>0</v>
      </c>
      <c r="D74" s="281">
        <f t="shared" si="4"/>
        <v>0</v>
      </c>
      <c r="E74" s="281">
        <f t="shared" si="4"/>
        <v>0</v>
      </c>
    </row>
    <row r="75" spans="1:5" ht="12.75">
      <c r="A75" s="306" t="str">
        <f t="shared" si="3"/>
        <v> </v>
      </c>
      <c r="B75" s="304"/>
      <c r="C75" s="281">
        <f t="shared" si="4"/>
        <v>0</v>
      </c>
      <c r="D75" s="281">
        <f t="shared" si="4"/>
        <v>0</v>
      </c>
      <c r="E75" s="281">
        <f t="shared" si="4"/>
        <v>0</v>
      </c>
    </row>
    <row r="76" spans="1:5" ht="12.75">
      <c r="A76" s="306" t="str">
        <f t="shared" si="3"/>
        <v> </v>
      </c>
      <c r="B76" s="304"/>
      <c r="C76" s="281">
        <f t="shared" si="4"/>
        <v>0</v>
      </c>
      <c r="D76" s="281">
        <f t="shared" si="4"/>
        <v>0</v>
      </c>
      <c r="E76" s="281">
        <f t="shared" si="4"/>
        <v>0</v>
      </c>
    </row>
    <row r="77" spans="1:5" ht="12.75">
      <c r="A77" s="306" t="str">
        <f t="shared" si="3"/>
        <v> </v>
      </c>
      <c r="B77" s="304"/>
      <c r="C77" s="281">
        <f aca="true" t="shared" si="5" ref="C77:E91">IF($E36&gt;$C$11,C36,)</f>
        <v>0</v>
      </c>
      <c r="D77" s="281">
        <f t="shared" si="5"/>
        <v>0</v>
      </c>
      <c r="E77" s="281">
        <f t="shared" si="5"/>
        <v>0</v>
      </c>
    </row>
    <row r="78" spans="1:5" ht="12.75">
      <c r="A78" s="306" t="str">
        <f t="shared" si="3"/>
        <v> </v>
      </c>
      <c r="B78" s="304"/>
      <c r="C78" s="281">
        <f t="shared" si="5"/>
        <v>0</v>
      </c>
      <c r="D78" s="281">
        <f t="shared" si="5"/>
        <v>0</v>
      </c>
      <c r="E78" s="281">
        <f t="shared" si="5"/>
        <v>0</v>
      </c>
    </row>
    <row r="79" spans="1:5" ht="12.75">
      <c r="A79" s="306" t="str">
        <f t="shared" si="3"/>
        <v> </v>
      </c>
      <c r="B79" s="304"/>
      <c r="C79" s="281">
        <f t="shared" si="5"/>
        <v>0</v>
      </c>
      <c r="D79" s="281">
        <f t="shared" si="5"/>
        <v>0</v>
      </c>
      <c r="E79" s="281">
        <f t="shared" si="5"/>
        <v>0</v>
      </c>
    </row>
    <row r="80" spans="1:5" ht="12.75">
      <c r="A80" s="306" t="str">
        <f t="shared" si="3"/>
        <v> </v>
      </c>
      <c r="B80" s="304"/>
      <c r="C80" s="281">
        <f t="shared" si="5"/>
        <v>0</v>
      </c>
      <c r="D80" s="281">
        <f t="shared" si="5"/>
        <v>0</v>
      </c>
      <c r="E80" s="281">
        <f t="shared" si="5"/>
        <v>0</v>
      </c>
    </row>
    <row r="81" spans="1:5" ht="12.75">
      <c r="A81" s="306" t="str">
        <f t="shared" si="3"/>
        <v> </v>
      </c>
      <c r="B81" s="304"/>
      <c r="C81" s="281">
        <f t="shared" si="5"/>
        <v>0</v>
      </c>
      <c r="D81" s="281">
        <f t="shared" si="5"/>
        <v>0</v>
      </c>
      <c r="E81" s="281">
        <f t="shared" si="5"/>
        <v>0</v>
      </c>
    </row>
    <row r="82" spans="1:5" ht="12.75">
      <c r="A82" s="306" t="str">
        <f t="shared" si="3"/>
        <v> </v>
      </c>
      <c r="B82" s="304"/>
      <c r="C82" s="281">
        <f t="shared" si="5"/>
        <v>0</v>
      </c>
      <c r="D82" s="281">
        <f t="shared" si="5"/>
        <v>0</v>
      </c>
      <c r="E82" s="281">
        <f t="shared" si="5"/>
        <v>0</v>
      </c>
    </row>
    <row r="83" spans="1:5" ht="12.75">
      <c r="A83" s="306" t="str">
        <f t="shared" si="3"/>
        <v> </v>
      </c>
      <c r="B83" s="304"/>
      <c r="C83" s="281">
        <f t="shared" si="5"/>
        <v>0</v>
      </c>
      <c r="D83" s="281">
        <f t="shared" si="5"/>
        <v>0</v>
      </c>
      <c r="E83" s="281">
        <f t="shared" si="5"/>
        <v>0</v>
      </c>
    </row>
    <row r="84" spans="1:5" ht="12.75">
      <c r="A84" s="306" t="str">
        <f t="shared" si="3"/>
        <v> </v>
      </c>
      <c r="B84" s="304"/>
      <c r="C84" s="281">
        <f t="shared" si="5"/>
        <v>0</v>
      </c>
      <c r="D84" s="281">
        <f t="shared" si="5"/>
        <v>0</v>
      </c>
      <c r="E84" s="281">
        <f t="shared" si="5"/>
        <v>0</v>
      </c>
    </row>
    <row r="85" spans="1:5" ht="12.75">
      <c r="A85" s="306" t="str">
        <f t="shared" si="3"/>
        <v> </v>
      </c>
      <c r="B85" s="304"/>
      <c r="C85" s="281">
        <f t="shared" si="5"/>
        <v>0</v>
      </c>
      <c r="D85" s="281">
        <f t="shared" si="5"/>
        <v>0</v>
      </c>
      <c r="E85" s="281">
        <f t="shared" si="5"/>
        <v>0</v>
      </c>
    </row>
    <row r="86" spans="1:5" ht="12.75">
      <c r="A86" s="306" t="str">
        <f t="shared" si="3"/>
        <v> </v>
      </c>
      <c r="B86" s="304"/>
      <c r="C86" s="281">
        <f t="shared" si="5"/>
        <v>0</v>
      </c>
      <c r="D86" s="281">
        <f t="shared" si="5"/>
        <v>0</v>
      </c>
      <c r="E86" s="281">
        <f t="shared" si="5"/>
        <v>0</v>
      </c>
    </row>
    <row r="87" spans="1:5" ht="12.75">
      <c r="A87" s="306" t="str">
        <f t="shared" si="3"/>
        <v> </v>
      </c>
      <c r="B87" s="304"/>
      <c r="C87" s="281">
        <f t="shared" si="5"/>
        <v>0</v>
      </c>
      <c r="D87" s="281">
        <f t="shared" si="5"/>
        <v>0</v>
      </c>
      <c r="E87" s="281">
        <f t="shared" si="5"/>
        <v>0</v>
      </c>
    </row>
    <row r="88" spans="1:5" ht="12.75">
      <c r="A88" s="306" t="str">
        <f t="shared" si="3"/>
        <v> </v>
      </c>
      <c r="B88" s="304"/>
      <c r="C88" s="281">
        <f t="shared" si="5"/>
        <v>0</v>
      </c>
      <c r="D88" s="281">
        <f t="shared" si="5"/>
        <v>0</v>
      </c>
      <c r="E88" s="281">
        <f t="shared" si="5"/>
        <v>0</v>
      </c>
    </row>
    <row r="89" spans="1:5" ht="12.75">
      <c r="A89" s="306" t="str">
        <f t="shared" si="3"/>
        <v> </v>
      </c>
      <c r="B89" s="304"/>
      <c r="C89" s="281">
        <f t="shared" si="5"/>
        <v>0</v>
      </c>
      <c r="D89" s="281">
        <f t="shared" si="5"/>
        <v>0</v>
      </c>
      <c r="E89" s="281">
        <f t="shared" si="5"/>
        <v>0</v>
      </c>
    </row>
    <row r="90" spans="1:5" ht="12.75">
      <c r="A90" s="306" t="str">
        <f t="shared" si="3"/>
        <v> </v>
      </c>
      <c r="B90" s="304"/>
      <c r="C90" s="281">
        <f t="shared" si="5"/>
        <v>0</v>
      </c>
      <c r="D90" s="281">
        <f t="shared" si="5"/>
        <v>0</v>
      </c>
      <c r="E90" s="281">
        <f t="shared" si="5"/>
        <v>0</v>
      </c>
    </row>
    <row r="91" spans="1:5" ht="12.75">
      <c r="A91" s="306" t="str">
        <f t="shared" si="3"/>
        <v> </v>
      </c>
      <c r="B91" s="304"/>
      <c r="C91" s="281">
        <f t="shared" si="5"/>
        <v>0</v>
      </c>
      <c r="D91" s="281">
        <f t="shared" si="5"/>
        <v>0</v>
      </c>
      <c r="E91" s="281">
        <f t="shared" si="5"/>
        <v>0</v>
      </c>
    </row>
    <row r="92" spans="1:5" ht="12.75">
      <c r="A92" s="306" t="str">
        <f t="shared" si="3"/>
        <v> </v>
      </c>
      <c r="B92" s="304"/>
      <c r="C92" s="281">
        <f aca="true" t="shared" si="6" ref="C92:E93">IF($E51&gt;$C$11,C51,)</f>
        <v>0</v>
      </c>
      <c r="D92" s="281">
        <f t="shared" si="6"/>
        <v>0</v>
      </c>
      <c r="E92" s="281">
        <f t="shared" si="6"/>
        <v>0</v>
      </c>
    </row>
    <row r="93" spans="1:5" ht="12.75">
      <c r="A93" s="306" t="str">
        <f t="shared" si="3"/>
        <v> </v>
      </c>
      <c r="B93" s="304"/>
      <c r="C93" s="281">
        <f t="shared" si="6"/>
        <v>0</v>
      </c>
      <c r="D93" s="281">
        <f t="shared" si="6"/>
        <v>0</v>
      </c>
      <c r="E93" s="281">
        <f t="shared" si="6"/>
        <v>0</v>
      </c>
    </row>
    <row r="94" spans="1:5" ht="12.75">
      <c r="A94" s="307"/>
      <c r="B94" s="305"/>
      <c r="C94" s="311"/>
      <c r="D94" s="311"/>
      <c r="E94" s="311"/>
    </row>
    <row r="95" spans="1:5" ht="12.75">
      <c r="A95" s="308" t="s">
        <v>226</v>
      </c>
      <c r="B95" s="304"/>
      <c r="C95" s="281">
        <f>SUM(C57:C93)</f>
        <v>0</v>
      </c>
      <c r="D95" s="281">
        <f>SUM(D57:D93)</f>
        <v>0</v>
      </c>
      <c r="E95" s="281">
        <f>SUM(E57:E93)</f>
        <v>0</v>
      </c>
    </row>
    <row r="96" spans="1:5" ht="12.75">
      <c r="A96" s="308" t="s">
        <v>303</v>
      </c>
      <c r="B96" s="309"/>
      <c r="C96" s="360">
        <f>C54-C95</f>
        <v>0</v>
      </c>
      <c r="D96" s="360">
        <f>D54-D95</f>
        <v>0</v>
      </c>
      <c r="E96" s="360">
        <f>E54-E95</f>
        <v>0</v>
      </c>
    </row>
    <row r="97" spans="1:5" ht="12.75">
      <c r="A97" s="308" t="s">
        <v>251</v>
      </c>
      <c r="B97" s="309"/>
      <c r="C97" s="360">
        <f>C95+C96</f>
        <v>0</v>
      </c>
      <c r="D97" s="360">
        <f>D95+D96</f>
        <v>0</v>
      </c>
      <c r="E97" s="360">
        <f>E95+E96</f>
        <v>0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28"/>
      <c r="D100" s="328"/>
      <c r="E100" s="281">
        <f>C100-D100</f>
        <v>0</v>
      </c>
    </row>
    <row r="101" spans="1:5" ht="12.75">
      <c r="A101" s="82" t="s">
        <v>233</v>
      </c>
      <c r="B101" s="8" t="s">
        <v>273</v>
      </c>
      <c r="C101" s="328"/>
      <c r="D101" s="328"/>
      <c r="E101" s="281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28"/>
      <c r="D102" s="328"/>
      <c r="E102" s="281">
        <f t="shared" si="7"/>
        <v>0</v>
      </c>
    </row>
    <row r="103" spans="1:5" ht="12.75">
      <c r="A103" s="82" t="s">
        <v>366</v>
      </c>
      <c r="B103" s="8" t="s">
        <v>273</v>
      </c>
      <c r="C103" s="328"/>
      <c r="D103" s="328"/>
      <c r="E103" s="281">
        <f t="shared" si="7"/>
        <v>0</v>
      </c>
    </row>
    <row r="104" spans="1:5" ht="12.75">
      <c r="A104" s="78" t="s">
        <v>294</v>
      </c>
      <c r="B104" s="8" t="s">
        <v>273</v>
      </c>
      <c r="C104" s="328"/>
      <c r="D104" s="328"/>
      <c r="E104" s="281">
        <f t="shared" si="7"/>
        <v>0</v>
      </c>
    </row>
    <row r="105" spans="1:5" ht="12.75">
      <c r="A105" s="78" t="s">
        <v>491</v>
      </c>
      <c r="B105" s="8" t="s">
        <v>273</v>
      </c>
      <c r="C105" s="328"/>
      <c r="D105" s="328"/>
      <c r="E105" s="281">
        <f t="shared" si="7"/>
        <v>0</v>
      </c>
    </row>
    <row r="106" spans="1:5" ht="12.75">
      <c r="A106" s="78" t="s">
        <v>295</v>
      </c>
      <c r="B106" s="8" t="s">
        <v>273</v>
      </c>
      <c r="C106" s="328"/>
      <c r="D106" s="328"/>
      <c r="E106" s="281">
        <f t="shared" si="7"/>
        <v>0</v>
      </c>
    </row>
    <row r="107" spans="1:5" ht="12.75">
      <c r="A107" s="78" t="s">
        <v>248</v>
      </c>
      <c r="B107" s="8" t="s">
        <v>273</v>
      </c>
      <c r="C107" s="328"/>
      <c r="D107" s="328"/>
      <c r="E107" s="281">
        <f t="shared" si="7"/>
        <v>0</v>
      </c>
    </row>
    <row r="108" spans="1:5" ht="12.75">
      <c r="A108" s="78" t="s">
        <v>249</v>
      </c>
      <c r="B108" s="8" t="s">
        <v>273</v>
      </c>
      <c r="C108" s="328"/>
      <c r="D108" s="328"/>
      <c r="E108" s="281">
        <f t="shared" si="7"/>
        <v>0</v>
      </c>
    </row>
    <row r="109" spans="1:5" ht="12.75">
      <c r="A109" s="78" t="s">
        <v>250</v>
      </c>
      <c r="B109" s="8" t="s">
        <v>273</v>
      </c>
      <c r="C109" s="328"/>
      <c r="D109" s="328"/>
      <c r="E109" s="281">
        <f t="shared" si="7"/>
        <v>0</v>
      </c>
    </row>
    <row r="110" spans="1:5" ht="12.75">
      <c r="A110" s="79" t="s">
        <v>305</v>
      </c>
      <c r="B110" s="8" t="s">
        <v>273</v>
      </c>
      <c r="C110" s="328"/>
      <c r="D110" s="328"/>
      <c r="E110" s="281"/>
    </row>
    <row r="111" spans="1:5" ht="12.75">
      <c r="A111" s="78" t="s">
        <v>416</v>
      </c>
      <c r="B111" s="8" t="s">
        <v>273</v>
      </c>
      <c r="C111" s="328"/>
      <c r="D111" s="328"/>
      <c r="E111" s="281">
        <f t="shared" si="7"/>
        <v>0</v>
      </c>
    </row>
    <row r="112" spans="1:5" ht="12.75">
      <c r="A112" s="78" t="s">
        <v>553</v>
      </c>
      <c r="B112" s="8" t="s">
        <v>273</v>
      </c>
      <c r="C112" s="328"/>
      <c r="D112" s="328"/>
      <c r="E112" s="281">
        <f t="shared" si="7"/>
        <v>0</v>
      </c>
    </row>
    <row r="113" spans="1:5" ht="12.75">
      <c r="A113" s="78" t="s">
        <v>554</v>
      </c>
      <c r="B113" s="8" t="s">
        <v>273</v>
      </c>
      <c r="C113" s="328"/>
      <c r="D113" s="328"/>
      <c r="E113" s="281">
        <f t="shared" si="7"/>
        <v>0</v>
      </c>
    </row>
    <row r="114" spans="1:5" ht="12.75">
      <c r="A114" s="78" t="s">
        <v>555</v>
      </c>
      <c r="B114" s="8" t="s">
        <v>273</v>
      </c>
      <c r="C114" s="328"/>
      <c r="D114" s="328"/>
      <c r="E114" s="281">
        <f t="shared" si="7"/>
        <v>0</v>
      </c>
    </row>
    <row r="115" spans="1:5" ht="12.75">
      <c r="A115" s="78"/>
      <c r="B115" s="8" t="s">
        <v>273</v>
      </c>
      <c r="C115" s="328"/>
      <c r="D115" s="328"/>
      <c r="E115" s="281">
        <f t="shared" si="7"/>
        <v>0</v>
      </c>
    </row>
    <row r="116" spans="1:5" ht="12.75">
      <c r="A116" s="78" t="s">
        <v>626</v>
      </c>
      <c r="B116" s="8" t="s">
        <v>273</v>
      </c>
      <c r="C116" s="328"/>
      <c r="D116" s="328"/>
      <c r="E116" s="281">
        <f t="shared" si="7"/>
        <v>0</v>
      </c>
    </row>
    <row r="117" spans="1:5" ht="12.75">
      <c r="A117" s="78"/>
      <c r="B117" s="8" t="s">
        <v>273</v>
      </c>
      <c r="C117" s="328"/>
      <c r="D117" s="328"/>
      <c r="E117" s="281">
        <f t="shared" si="7"/>
        <v>0</v>
      </c>
    </row>
    <row r="118" spans="1:5" ht="12.75">
      <c r="A118" s="78"/>
      <c r="B118" s="8" t="s">
        <v>273</v>
      </c>
      <c r="C118" s="328"/>
      <c r="D118" s="328"/>
      <c r="E118" s="281">
        <f t="shared" si="7"/>
        <v>0</v>
      </c>
    </row>
    <row r="119" spans="1:5" ht="12.75">
      <c r="A119" s="78"/>
      <c r="B119" s="8" t="s">
        <v>273</v>
      </c>
      <c r="C119" s="328"/>
      <c r="D119" s="328"/>
      <c r="E119" s="281">
        <f t="shared" si="7"/>
        <v>0</v>
      </c>
    </row>
    <row r="120" spans="1:5" ht="12.75">
      <c r="A120" s="78"/>
      <c r="B120" s="8" t="s">
        <v>273</v>
      </c>
      <c r="C120" s="328"/>
      <c r="D120" s="328"/>
      <c r="E120" s="281">
        <f t="shared" si="7"/>
        <v>0</v>
      </c>
    </row>
    <row r="121" spans="1:5" ht="12.75">
      <c r="A121" s="78" t="s">
        <v>252</v>
      </c>
      <c r="B121" s="8" t="s">
        <v>275</v>
      </c>
      <c r="C121" s="281">
        <f>SUM(C100:C120)</f>
        <v>0</v>
      </c>
      <c r="D121" s="281">
        <f>SUM(D100:D120)</f>
        <v>0</v>
      </c>
      <c r="E121" s="281">
        <f>SUM(E100:E120)</f>
        <v>0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6" t="str">
        <f>IF($E100&gt;$C$11,A100," ")</f>
        <v> </v>
      </c>
      <c r="B125" s="304"/>
      <c r="C125" s="281">
        <f aca="true" t="shared" si="8" ref="C125:E143">IF($E100&gt;$C$11,C100,)</f>
        <v>0</v>
      </c>
      <c r="D125" s="281">
        <f t="shared" si="8"/>
        <v>0</v>
      </c>
      <c r="E125" s="281">
        <f t="shared" si="8"/>
        <v>0</v>
      </c>
    </row>
    <row r="126" spans="1:5" ht="12.75">
      <c r="A126" s="306" t="str">
        <f aca="true" t="shared" si="9" ref="A126:A145">IF($E101&gt;$C$11,A101," ")</f>
        <v> </v>
      </c>
      <c r="B126" s="304"/>
      <c r="C126" s="281">
        <f t="shared" si="8"/>
        <v>0</v>
      </c>
      <c r="D126" s="281">
        <f t="shared" si="8"/>
        <v>0</v>
      </c>
      <c r="E126" s="281">
        <f t="shared" si="8"/>
        <v>0</v>
      </c>
    </row>
    <row r="127" spans="1:5" ht="12.75">
      <c r="A127" s="306" t="str">
        <f t="shared" si="9"/>
        <v> </v>
      </c>
      <c r="B127" s="304"/>
      <c r="C127" s="281">
        <f t="shared" si="8"/>
        <v>0</v>
      </c>
      <c r="D127" s="281">
        <f t="shared" si="8"/>
        <v>0</v>
      </c>
      <c r="E127" s="281">
        <f t="shared" si="8"/>
        <v>0</v>
      </c>
    </row>
    <row r="128" spans="1:5" ht="12.75">
      <c r="A128" s="306" t="str">
        <f t="shared" si="9"/>
        <v> </v>
      </c>
      <c r="B128" s="304"/>
      <c r="C128" s="281">
        <f t="shared" si="8"/>
        <v>0</v>
      </c>
      <c r="D128" s="281">
        <f t="shared" si="8"/>
        <v>0</v>
      </c>
      <c r="E128" s="281">
        <f t="shared" si="8"/>
        <v>0</v>
      </c>
    </row>
    <row r="129" spans="1:5" ht="12.75">
      <c r="A129" s="306" t="str">
        <f t="shared" si="9"/>
        <v> </v>
      </c>
      <c r="B129" s="304"/>
      <c r="C129" s="281">
        <f t="shared" si="8"/>
        <v>0</v>
      </c>
      <c r="D129" s="281">
        <f t="shared" si="8"/>
        <v>0</v>
      </c>
      <c r="E129" s="281">
        <f t="shared" si="8"/>
        <v>0</v>
      </c>
    </row>
    <row r="130" spans="1:5" ht="12.75">
      <c r="A130" s="306" t="str">
        <f t="shared" si="9"/>
        <v> </v>
      </c>
      <c r="B130" s="304"/>
      <c r="C130" s="281">
        <f t="shared" si="8"/>
        <v>0</v>
      </c>
      <c r="D130" s="281">
        <f t="shared" si="8"/>
        <v>0</v>
      </c>
      <c r="E130" s="281">
        <f t="shared" si="8"/>
        <v>0</v>
      </c>
    </row>
    <row r="131" spans="1:5" ht="12.75">
      <c r="A131" s="306" t="str">
        <f t="shared" si="9"/>
        <v> </v>
      </c>
      <c r="B131" s="304"/>
      <c r="C131" s="281">
        <f t="shared" si="8"/>
        <v>0</v>
      </c>
      <c r="D131" s="281">
        <f t="shared" si="8"/>
        <v>0</v>
      </c>
      <c r="E131" s="281">
        <f t="shared" si="8"/>
        <v>0</v>
      </c>
    </row>
    <row r="132" spans="1:5" ht="12.75">
      <c r="A132" s="306" t="str">
        <f t="shared" si="9"/>
        <v> </v>
      </c>
      <c r="B132" s="304"/>
      <c r="C132" s="281">
        <f t="shared" si="8"/>
        <v>0</v>
      </c>
      <c r="D132" s="281">
        <f t="shared" si="8"/>
        <v>0</v>
      </c>
      <c r="E132" s="281">
        <f t="shared" si="8"/>
        <v>0</v>
      </c>
    </row>
    <row r="133" spans="1:5" ht="12.75">
      <c r="A133" s="306" t="str">
        <f t="shared" si="9"/>
        <v> </v>
      </c>
      <c r="B133" s="304"/>
      <c r="C133" s="281">
        <f t="shared" si="8"/>
        <v>0</v>
      </c>
      <c r="D133" s="281">
        <f t="shared" si="8"/>
        <v>0</v>
      </c>
      <c r="E133" s="281">
        <f t="shared" si="8"/>
        <v>0</v>
      </c>
    </row>
    <row r="134" spans="1:5" ht="12.75">
      <c r="A134" s="306" t="str">
        <f t="shared" si="9"/>
        <v> </v>
      </c>
      <c r="B134" s="304"/>
      <c r="C134" s="281">
        <f t="shared" si="8"/>
        <v>0</v>
      </c>
      <c r="D134" s="281">
        <f t="shared" si="8"/>
        <v>0</v>
      </c>
      <c r="E134" s="281">
        <f t="shared" si="8"/>
        <v>0</v>
      </c>
    </row>
    <row r="135" spans="1:5" ht="12.75">
      <c r="A135" s="306" t="str">
        <f t="shared" si="9"/>
        <v> </v>
      </c>
      <c r="B135" s="304"/>
      <c r="C135" s="281">
        <f t="shared" si="8"/>
        <v>0</v>
      </c>
      <c r="D135" s="281">
        <f t="shared" si="8"/>
        <v>0</v>
      </c>
      <c r="E135" s="281">
        <f t="shared" si="8"/>
        <v>0</v>
      </c>
    </row>
    <row r="136" spans="1:5" ht="12.75">
      <c r="A136" s="306" t="str">
        <f>IF($E111&gt;$C$11,A111," ")</f>
        <v> </v>
      </c>
      <c r="B136" s="304"/>
      <c r="C136" s="281">
        <f t="shared" si="8"/>
        <v>0</v>
      </c>
      <c r="D136" s="281">
        <f t="shared" si="8"/>
        <v>0</v>
      </c>
      <c r="E136" s="281">
        <f t="shared" si="8"/>
        <v>0</v>
      </c>
    </row>
    <row r="137" spans="1:5" ht="12.75">
      <c r="A137" s="306" t="str">
        <f t="shared" si="9"/>
        <v> </v>
      </c>
      <c r="B137" s="304"/>
      <c r="C137" s="281">
        <f t="shared" si="8"/>
        <v>0</v>
      </c>
      <c r="D137" s="281">
        <f t="shared" si="8"/>
        <v>0</v>
      </c>
      <c r="E137" s="281">
        <f t="shared" si="8"/>
        <v>0</v>
      </c>
    </row>
    <row r="138" spans="1:5" ht="12.75">
      <c r="A138" s="306" t="str">
        <f>IF($E113&gt;$C$11,A113," ")</f>
        <v> </v>
      </c>
      <c r="B138" s="304"/>
      <c r="C138" s="281">
        <f t="shared" si="8"/>
        <v>0</v>
      </c>
      <c r="D138" s="281">
        <f t="shared" si="8"/>
        <v>0</v>
      </c>
      <c r="E138" s="281">
        <f t="shared" si="8"/>
        <v>0</v>
      </c>
    </row>
    <row r="139" spans="1:5" ht="12.75">
      <c r="A139" s="306" t="str">
        <f t="shared" si="9"/>
        <v> </v>
      </c>
      <c r="B139" s="304"/>
      <c r="C139" s="281">
        <f t="shared" si="8"/>
        <v>0</v>
      </c>
      <c r="D139" s="281">
        <f t="shared" si="8"/>
        <v>0</v>
      </c>
      <c r="E139" s="281">
        <f t="shared" si="8"/>
        <v>0</v>
      </c>
    </row>
    <row r="140" spans="1:5" ht="12.75">
      <c r="A140" s="306" t="str">
        <f t="shared" si="9"/>
        <v> </v>
      </c>
      <c r="B140" s="304"/>
      <c r="C140" s="281">
        <f t="shared" si="8"/>
        <v>0</v>
      </c>
      <c r="D140" s="281">
        <f t="shared" si="8"/>
        <v>0</v>
      </c>
      <c r="E140" s="281">
        <f t="shared" si="8"/>
        <v>0</v>
      </c>
    </row>
    <row r="141" spans="1:5" ht="12.75">
      <c r="A141" s="306" t="str">
        <f t="shared" si="9"/>
        <v> </v>
      </c>
      <c r="B141" s="304"/>
      <c r="C141" s="281">
        <f t="shared" si="8"/>
        <v>0</v>
      </c>
      <c r="D141" s="281">
        <f t="shared" si="8"/>
        <v>0</v>
      </c>
      <c r="E141" s="281">
        <f t="shared" si="8"/>
        <v>0</v>
      </c>
    </row>
    <row r="142" spans="1:5" ht="12.75">
      <c r="A142" s="306" t="str">
        <f t="shared" si="9"/>
        <v> </v>
      </c>
      <c r="B142" s="304"/>
      <c r="C142" s="281">
        <f t="shared" si="8"/>
        <v>0</v>
      </c>
      <c r="D142" s="281">
        <f t="shared" si="8"/>
        <v>0</v>
      </c>
      <c r="E142" s="281">
        <f t="shared" si="8"/>
        <v>0</v>
      </c>
    </row>
    <row r="143" spans="1:5" ht="12.75">
      <c r="A143" s="306" t="str">
        <f t="shared" si="9"/>
        <v> </v>
      </c>
      <c r="B143" s="304"/>
      <c r="C143" s="281">
        <f t="shared" si="8"/>
        <v>0</v>
      </c>
      <c r="D143" s="281">
        <f t="shared" si="8"/>
        <v>0</v>
      </c>
      <c r="E143" s="281">
        <f t="shared" si="8"/>
        <v>0</v>
      </c>
    </row>
    <row r="144" spans="1:5" ht="12.75">
      <c r="A144" s="306" t="str">
        <f t="shared" si="9"/>
        <v> </v>
      </c>
      <c r="B144" s="304"/>
      <c r="C144" s="281">
        <f aca="true" t="shared" si="10" ref="C144:E145">IF($E119&gt;$C$11,C119,)</f>
        <v>0</v>
      </c>
      <c r="D144" s="281">
        <f t="shared" si="10"/>
        <v>0</v>
      </c>
      <c r="E144" s="281">
        <f t="shared" si="10"/>
        <v>0</v>
      </c>
    </row>
    <row r="145" spans="1:5" ht="12.75">
      <c r="A145" s="306" t="str">
        <f t="shared" si="9"/>
        <v> </v>
      </c>
      <c r="B145" s="304"/>
      <c r="C145" s="281">
        <f t="shared" si="10"/>
        <v>0</v>
      </c>
      <c r="D145" s="281">
        <f t="shared" si="10"/>
        <v>0</v>
      </c>
      <c r="E145" s="281">
        <f t="shared" si="10"/>
        <v>0</v>
      </c>
    </row>
    <row r="146" spans="1:5" ht="12.75">
      <c r="A146" s="310" t="s">
        <v>302</v>
      </c>
      <c r="B146" s="304"/>
      <c r="C146" s="281">
        <f>SUM(C125:C145)</f>
        <v>0</v>
      </c>
      <c r="D146" s="281">
        <f>SUM(D125:D145)</f>
        <v>0</v>
      </c>
      <c r="E146" s="281">
        <f>SUM(E125:E145)</f>
        <v>0</v>
      </c>
    </row>
    <row r="147" spans="1:5" ht="12.75">
      <c r="A147" s="310" t="s">
        <v>301</v>
      </c>
      <c r="B147" s="304"/>
      <c r="C147" s="281">
        <f>C121-C146</f>
        <v>0</v>
      </c>
      <c r="D147" s="281">
        <f>D121-D146</f>
        <v>0</v>
      </c>
      <c r="E147" s="281">
        <f>E121-E146</f>
        <v>0</v>
      </c>
    </row>
    <row r="148" spans="1:5" ht="12.75">
      <c r="A148" s="310" t="s">
        <v>252</v>
      </c>
      <c r="B148" s="304"/>
      <c r="C148" s="281">
        <f>C146+C147</f>
        <v>0</v>
      </c>
      <c r="D148" s="281">
        <f>D146+D147</f>
        <v>0</v>
      </c>
      <c r="E148" s="28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7">
      <selection activeCell="A59" sqref="A59:F60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2" t="str">
        <f>REGINFO!A1</f>
        <v>SIMPIL RRR FILING</v>
      </c>
      <c r="B1" s="433"/>
      <c r="C1" s="392"/>
      <c r="D1" s="392"/>
      <c r="E1" s="392"/>
      <c r="F1" s="392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3" t="s">
        <v>186</v>
      </c>
      <c r="B2" s="392"/>
      <c r="C2" s="392"/>
      <c r="D2" s="392"/>
      <c r="E2" s="392"/>
      <c r="F2" s="394" t="str">
        <f>REGINFO!E1</f>
        <v>Version 2005.1</v>
      </c>
      <c r="G2" s="208"/>
      <c r="H2" s="208"/>
      <c r="I2" s="208"/>
      <c r="J2" s="208"/>
      <c r="K2" s="269"/>
      <c r="L2" s="208"/>
      <c r="M2" s="208"/>
      <c r="N2" s="208"/>
      <c r="O2" s="208"/>
      <c r="P2" s="208"/>
      <c r="Q2" s="40"/>
      <c r="R2" s="40"/>
    </row>
    <row r="3" spans="1:18" ht="12.75">
      <c r="A3" s="393" t="s">
        <v>418</v>
      </c>
      <c r="B3" s="392"/>
      <c r="C3" s="392"/>
      <c r="D3" s="392"/>
      <c r="E3" s="392"/>
      <c r="F3" s="394" t="str">
        <f>REGINFO!E2</f>
        <v>RRR # 2.1.8</v>
      </c>
      <c r="G3" s="208"/>
      <c r="H3" s="208"/>
      <c r="I3" s="208"/>
      <c r="J3" s="208"/>
      <c r="K3" s="269"/>
      <c r="L3" s="208"/>
      <c r="M3" s="208"/>
      <c r="N3" s="208"/>
      <c r="O3" s="208"/>
      <c r="P3" s="208"/>
      <c r="Q3" s="40"/>
      <c r="R3" s="40"/>
    </row>
    <row r="4" spans="1:18" ht="12.75">
      <c r="A4" s="546" t="str">
        <f>REGINFO!A3</f>
        <v>Utility Name:  West Nipissing Energy Services Ltd</v>
      </c>
      <c r="B4" s="534"/>
      <c r="C4" s="534"/>
      <c r="D4" s="534"/>
      <c r="E4" s="392"/>
      <c r="F4" s="392"/>
      <c r="G4" s="208"/>
      <c r="H4" s="208"/>
      <c r="I4" s="208"/>
      <c r="J4" s="208"/>
      <c r="K4" s="269"/>
      <c r="L4" s="208"/>
      <c r="M4" s="208"/>
      <c r="N4" s="208"/>
      <c r="O4" s="208"/>
      <c r="P4" s="208"/>
      <c r="Q4" s="40"/>
      <c r="R4" s="40"/>
    </row>
    <row r="5" spans="1:18" ht="12.75">
      <c r="A5" s="546" t="str">
        <f>REGINFO!A4</f>
        <v>Reporting period:   2005</v>
      </c>
      <c r="B5" s="534"/>
      <c r="C5" s="534"/>
      <c r="D5" s="534"/>
      <c r="E5" s="392"/>
      <c r="F5" s="392"/>
      <c r="G5" s="208"/>
      <c r="H5" s="208"/>
      <c r="I5" s="208"/>
      <c r="J5" s="208"/>
      <c r="K5" s="269"/>
      <c r="L5" s="208"/>
      <c r="M5" s="208"/>
      <c r="N5" s="208"/>
      <c r="O5" s="208"/>
      <c r="P5" s="208"/>
      <c r="Q5" s="40"/>
      <c r="R5" s="40"/>
    </row>
    <row r="6" spans="1:18" ht="12.75">
      <c r="A6" s="393"/>
      <c r="B6" s="392"/>
      <c r="C6" s="392"/>
      <c r="D6" s="392"/>
      <c r="E6" s="392"/>
      <c r="F6" s="392"/>
      <c r="G6" s="208"/>
      <c r="H6" s="208"/>
      <c r="I6" s="208"/>
      <c r="J6" s="208"/>
      <c r="K6" s="269"/>
      <c r="L6" s="208"/>
      <c r="M6" s="208"/>
      <c r="N6" s="208"/>
      <c r="O6" s="208"/>
      <c r="P6" s="208"/>
      <c r="Q6" s="40"/>
      <c r="R6" s="40"/>
    </row>
    <row r="7" spans="1:18" ht="12.75">
      <c r="A7" s="393"/>
      <c r="B7" s="392"/>
      <c r="C7" s="392"/>
      <c r="D7" s="392"/>
      <c r="E7" s="392"/>
      <c r="F7" s="453" t="s">
        <v>447</v>
      </c>
      <c r="G7" s="208"/>
      <c r="H7" s="208"/>
      <c r="I7" s="208"/>
      <c r="J7" s="208"/>
      <c r="K7" s="269"/>
      <c r="L7" s="208"/>
      <c r="M7" s="208"/>
      <c r="N7" s="208"/>
      <c r="O7" s="208"/>
      <c r="P7" s="208"/>
      <c r="Q7" s="40"/>
      <c r="R7" s="40"/>
    </row>
    <row r="8" spans="1:18" ht="13.5" thickBot="1">
      <c r="A8" s="386" t="s">
        <v>502</v>
      </c>
      <c r="B8" s="387"/>
      <c r="C8" s="387"/>
      <c r="D8" s="392"/>
      <c r="E8" s="392"/>
      <c r="F8" s="429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5" t="s">
        <v>191</v>
      </c>
      <c r="B9" s="370"/>
      <c r="C9" s="371">
        <v>0</v>
      </c>
      <c r="D9" s="371"/>
      <c r="E9" s="371">
        <v>400001</v>
      </c>
      <c r="F9" s="372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6" t="s">
        <v>504</v>
      </c>
      <c r="B10" s="373"/>
      <c r="C10" s="373" t="s">
        <v>190</v>
      </c>
      <c r="D10" s="373"/>
      <c r="E10" s="373" t="s">
        <v>190</v>
      </c>
      <c r="F10" s="374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6"/>
      <c r="B11" s="373" t="s">
        <v>195</v>
      </c>
      <c r="C11" s="375">
        <v>400000</v>
      </c>
      <c r="D11" s="375"/>
      <c r="E11" s="375">
        <v>1128000</v>
      </c>
      <c r="F11" s="376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7" t="s">
        <v>187</v>
      </c>
      <c r="B12" s="258"/>
      <c r="C12" s="259"/>
      <c r="D12" s="259"/>
      <c r="E12" s="272"/>
      <c r="F12" s="272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68" t="s">
        <v>409</v>
      </c>
      <c r="B13" s="452">
        <v>2005</v>
      </c>
      <c r="C13" s="260"/>
      <c r="D13" s="260"/>
      <c r="E13" s="273"/>
      <c r="F13" s="273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68" t="s">
        <v>408</v>
      </c>
      <c r="B14" s="275"/>
      <c r="C14" s="377">
        <v>0.1312</v>
      </c>
      <c r="D14" s="377"/>
      <c r="E14" s="378">
        <v>0.1775</v>
      </c>
      <c r="F14" s="378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68" t="s">
        <v>45</v>
      </c>
      <c r="B15" s="275"/>
      <c r="C15" s="379">
        <v>0.055</v>
      </c>
      <c r="D15" s="379"/>
      <c r="E15" s="380">
        <v>0.0975</v>
      </c>
      <c r="F15" s="380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68" t="s">
        <v>374</v>
      </c>
      <c r="B16" s="275"/>
      <c r="C16" s="381">
        <f>SUM(C14:C15)</f>
        <v>0.1862</v>
      </c>
      <c r="D16" s="381">
        <f>SUM(D14:D15)</f>
        <v>0</v>
      </c>
      <c r="E16" s="382">
        <f>SUM(E14:E15)</f>
        <v>0.275</v>
      </c>
      <c r="F16" s="382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68"/>
      <c r="B17" s="275"/>
      <c r="C17" s="377"/>
      <c r="D17" s="377"/>
      <c r="E17" s="378"/>
      <c r="F17" s="378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7" t="s">
        <v>188</v>
      </c>
      <c r="B18" s="274"/>
      <c r="C18" s="383">
        <v>0.003</v>
      </c>
      <c r="D18" s="540" t="s">
        <v>569</v>
      </c>
      <c r="E18" s="541"/>
      <c r="F18" s="542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7" t="s">
        <v>189</v>
      </c>
      <c r="B19" s="261"/>
      <c r="C19" s="384">
        <v>0.00175</v>
      </c>
      <c r="D19" s="540" t="s">
        <v>570</v>
      </c>
      <c r="E19" s="541"/>
      <c r="F19" s="542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7" t="s">
        <v>192</v>
      </c>
      <c r="B20" s="261"/>
      <c r="C20" s="385">
        <v>0.0112</v>
      </c>
      <c r="D20" s="545" t="s">
        <v>571</v>
      </c>
      <c r="E20" s="541"/>
      <c r="F20" s="542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69" t="s">
        <v>440</v>
      </c>
      <c r="B21" s="448" t="s">
        <v>503</v>
      </c>
      <c r="C21" s="408">
        <v>7500000</v>
      </c>
      <c r="D21" s="535" t="s">
        <v>572</v>
      </c>
      <c r="E21" s="536"/>
      <c r="F21" s="537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69" t="s">
        <v>441</v>
      </c>
      <c r="B22" s="449" t="s">
        <v>421</v>
      </c>
      <c r="C22" s="409">
        <v>50000000</v>
      </c>
      <c r="D22" s="535" t="s">
        <v>573</v>
      </c>
      <c r="E22" s="536"/>
      <c r="F22" s="537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38" t="s">
        <v>505</v>
      </c>
      <c r="B23" s="539"/>
      <c r="C23" s="539"/>
      <c r="D23" s="539"/>
      <c r="E23" s="539"/>
      <c r="F23" s="539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54"/>
      <c r="B24" s="455"/>
      <c r="C24" s="455"/>
      <c r="D24" s="455"/>
      <c r="E24" s="455"/>
      <c r="F24" s="455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6"/>
      <c r="B25" s="427"/>
      <c r="C25" s="430"/>
      <c r="D25" s="392"/>
      <c r="E25" s="392"/>
      <c r="F25" s="453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0" t="s">
        <v>498</v>
      </c>
      <c r="B26" s="389"/>
      <c r="C26" s="388"/>
      <c r="D26" s="427"/>
      <c r="E26" s="427"/>
      <c r="F26" s="431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5" t="s">
        <v>191</v>
      </c>
      <c r="B27" s="370"/>
      <c r="C27" s="419">
        <v>0</v>
      </c>
      <c r="D27" s="419">
        <v>300001</v>
      </c>
      <c r="E27" s="419">
        <v>400001</v>
      </c>
      <c r="F27" s="420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6" t="s">
        <v>499</v>
      </c>
      <c r="B28" s="373"/>
      <c r="C28" s="421" t="s">
        <v>190</v>
      </c>
      <c r="D28" s="421" t="s">
        <v>190</v>
      </c>
      <c r="E28" s="421" t="s">
        <v>190</v>
      </c>
      <c r="F28" s="422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6"/>
      <c r="B29" s="373" t="s">
        <v>195</v>
      </c>
      <c r="C29" s="423">
        <v>300000</v>
      </c>
      <c r="D29" s="423">
        <v>400000</v>
      </c>
      <c r="E29" s="423">
        <v>1128000</v>
      </c>
      <c r="F29" s="424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7" t="s">
        <v>187</v>
      </c>
      <c r="B30" s="258"/>
      <c r="C30" s="259"/>
      <c r="D30" s="259"/>
      <c r="E30" s="272"/>
      <c r="F30" s="272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68" t="s">
        <v>194</v>
      </c>
      <c r="B31" s="452">
        <v>2005</v>
      </c>
      <c r="C31" s="260"/>
      <c r="D31" s="260"/>
      <c r="E31" s="273"/>
      <c r="F31" s="273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68" t="s">
        <v>408</v>
      </c>
      <c r="B32" s="275"/>
      <c r="C32" s="377">
        <v>0.1312</v>
      </c>
      <c r="D32" s="377">
        <v>0.2212</v>
      </c>
      <c r="E32" s="378">
        <v>0.2212</v>
      </c>
      <c r="F32" s="378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68" t="s">
        <v>45</v>
      </c>
      <c r="B33" s="275"/>
      <c r="C33" s="379">
        <v>0.055</v>
      </c>
      <c r="D33" s="379">
        <v>0.055</v>
      </c>
      <c r="E33" s="380">
        <f>5.5%+4.25%</f>
        <v>0.0975</v>
      </c>
      <c r="F33" s="380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68" t="s">
        <v>374</v>
      </c>
      <c r="B34" s="275"/>
      <c r="C34" s="381">
        <f>SUM(C32:C33)</f>
        <v>0.1862</v>
      </c>
      <c r="D34" s="381">
        <f>SUM(D32:D33)</f>
        <v>0.2762</v>
      </c>
      <c r="E34" s="382">
        <f>SUM(E32:E33)</f>
        <v>0.3187</v>
      </c>
      <c r="F34" s="382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68"/>
      <c r="B35" s="275"/>
      <c r="C35" s="377"/>
      <c r="D35" s="377"/>
      <c r="E35" s="378"/>
      <c r="F35" s="378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7" t="s">
        <v>188</v>
      </c>
      <c r="B36" s="274"/>
      <c r="C36" s="383">
        <v>0.003</v>
      </c>
      <c r="D36" s="540" t="s">
        <v>564</v>
      </c>
      <c r="E36" s="541"/>
      <c r="F36" s="542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7" t="s">
        <v>189</v>
      </c>
      <c r="B37" s="261"/>
      <c r="C37" s="384">
        <v>0.00175</v>
      </c>
      <c r="D37" s="540" t="s">
        <v>565</v>
      </c>
      <c r="E37" s="541"/>
      <c r="F37" s="542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7" t="s">
        <v>192</v>
      </c>
      <c r="B38" s="261"/>
      <c r="C38" s="385">
        <v>0.0112</v>
      </c>
      <c r="D38" s="545" t="s">
        <v>566</v>
      </c>
      <c r="E38" s="541"/>
      <c r="F38" s="542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69" t="s">
        <v>444</v>
      </c>
      <c r="B39" s="450" t="s">
        <v>501</v>
      </c>
      <c r="C39" s="408">
        <v>7500000</v>
      </c>
      <c r="D39" s="535" t="s">
        <v>567</v>
      </c>
      <c r="E39" s="536"/>
      <c r="F39" s="537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69" t="s">
        <v>445</v>
      </c>
      <c r="B40" s="449" t="s">
        <v>421</v>
      </c>
      <c r="C40" s="409">
        <v>50000000</v>
      </c>
      <c r="D40" s="535" t="s">
        <v>568</v>
      </c>
      <c r="E40" s="536"/>
      <c r="F40" s="537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47" t="s">
        <v>443</v>
      </c>
      <c r="B41" s="548"/>
      <c r="C41" s="548"/>
      <c r="D41" s="548"/>
      <c r="E41" s="548"/>
      <c r="F41" s="548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49"/>
      <c r="B42" s="549"/>
      <c r="C42" s="549"/>
      <c r="D42" s="549"/>
      <c r="E42" s="549"/>
      <c r="F42" s="549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6"/>
      <c r="B43" s="427"/>
      <c r="C43" s="428"/>
      <c r="D43" s="427"/>
      <c r="E43" s="427"/>
      <c r="F43" s="453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1" t="s">
        <v>500</v>
      </c>
      <c r="B44" s="410"/>
      <c r="C44" s="411"/>
      <c r="D44" s="410"/>
      <c r="E44" s="392"/>
      <c r="F44" s="429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5" t="s">
        <v>191</v>
      </c>
      <c r="B45" s="370"/>
      <c r="C45" s="412">
        <v>0</v>
      </c>
      <c r="D45" s="412">
        <v>300001</v>
      </c>
      <c r="E45" s="412">
        <v>400001</v>
      </c>
      <c r="F45" s="413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6"/>
      <c r="B46" s="373"/>
      <c r="C46" s="414" t="s">
        <v>190</v>
      </c>
      <c r="D46" s="414" t="s">
        <v>190</v>
      </c>
      <c r="E46" s="414" t="s">
        <v>190</v>
      </c>
      <c r="F46" s="415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6"/>
      <c r="B47" s="391" t="s">
        <v>195</v>
      </c>
      <c r="C47" s="416">
        <v>300000</v>
      </c>
      <c r="D47" s="416">
        <v>400000</v>
      </c>
      <c r="E47" s="417">
        <v>1128000</v>
      </c>
      <c r="F47" s="418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7" t="s">
        <v>187</v>
      </c>
      <c r="B48" s="258"/>
      <c r="C48" s="259"/>
      <c r="D48" s="259"/>
      <c r="E48" s="272"/>
      <c r="F48" s="272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68" t="s">
        <v>194</v>
      </c>
      <c r="B49" s="452">
        <v>2005</v>
      </c>
      <c r="C49" s="260"/>
      <c r="D49" s="260"/>
      <c r="E49" s="273"/>
      <c r="F49" s="273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68" t="s">
        <v>408</v>
      </c>
      <c r="B50" s="275"/>
      <c r="C50" s="401">
        <v>0.1312</v>
      </c>
      <c r="D50" s="401">
        <v>0.2212</v>
      </c>
      <c r="E50" s="402">
        <v>0.2212</v>
      </c>
      <c r="F50" s="402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68" t="s">
        <v>45</v>
      </c>
      <c r="B51" s="275"/>
      <c r="C51" s="403">
        <v>0.055</v>
      </c>
      <c r="D51" s="403">
        <v>0.055</v>
      </c>
      <c r="E51" s="404">
        <v>0.0975</v>
      </c>
      <c r="F51" s="404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68" t="s">
        <v>374</v>
      </c>
      <c r="B52" s="275"/>
      <c r="C52" s="381">
        <f>SUM(C50:C51)</f>
        <v>0.1862</v>
      </c>
      <c r="D52" s="381">
        <f>SUM(D50:D51)</f>
        <v>0.2762</v>
      </c>
      <c r="E52" s="382">
        <f>SUM(E50:E51)</f>
        <v>0.3187</v>
      </c>
      <c r="F52" s="382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68"/>
      <c r="B53" s="275"/>
      <c r="C53" s="377"/>
      <c r="D53" s="377"/>
      <c r="E53" s="378"/>
      <c r="F53" s="378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7" t="s">
        <v>188</v>
      </c>
      <c r="B54" s="274"/>
      <c r="C54" s="405">
        <v>0.003</v>
      </c>
      <c r="D54" s="540" t="s">
        <v>561</v>
      </c>
      <c r="E54" s="541"/>
      <c r="F54" s="542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7" t="s">
        <v>189</v>
      </c>
      <c r="B55" s="261"/>
      <c r="C55" s="406">
        <v>0.00175</v>
      </c>
      <c r="D55" s="540" t="s">
        <v>562</v>
      </c>
      <c r="E55" s="541"/>
      <c r="F55" s="542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7" t="s">
        <v>192</v>
      </c>
      <c r="B56" s="261"/>
      <c r="C56" s="407">
        <v>0.0112</v>
      </c>
      <c r="D56" s="545" t="s">
        <v>563</v>
      </c>
      <c r="E56" s="541"/>
      <c r="F56" s="542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69" t="s">
        <v>456</v>
      </c>
      <c r="B57" s="450" t="s">
        <v>501</v>
      </c>
      <c r="C57" s="408">
        <v>0</v>
      </c>
      <c r="D57" s="535" t="s">
        <v>559</v>
      </c>
      <c r="E57" s="536"/>
      <c r="F57" s="537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69" t="s">
        <v>457</v>
      </c>
      <c r="B58" s="449" t="s">
        <v>421</v>
      </c>
      <c r="C58" s="409">
        <v>0</v>
      </c>
      <c r="D58" s="535" t="s">
        <v>560</v>
      </c>
      <c r="E58" s="536"/>
      <c r="F58" s="537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38" t="s">
        <v>599</v>
      </c>
      <c r="B59" s="543"/>
      <c r="C59" s="543"/>
      <c r="D59" s="543"/>
      <c r="E59" s="543"/>
      <c r="F59" s="543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4"/>
      <c r="B60" s="544"/>
      <c r="C60" s="544"/>
      <c r="D60" s="544"/>
      <c r="E60" s="544"/>
      <c r="F60" s="544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3"/>
      <c r="B61" s="394"/>
      <c r="C61" s="394"/>
      <c r="D61" s="394"/>
      <c r="E61" s="394"/>
      <c r="F61" s="396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3"/>
      <c r="B62" s="394"/>
      <c r="C62" s="395"/>
      <c r="D62" s="395"/>
      <c r="E62" s="395"/>
      <c r="F62" s="397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3"/>
      <c r="B63" s="392"/>
      <c r="C63" s="392"/>
      <c r="D63" s="392"/>
      <c r="E63" s="392"/>
      <c r="F63" s="392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398"/>
      <c r="B64" s="399"/>
      <c r="C64" s="400"/>
      <c r="D64" s="400"/>
      <c r="E64" s="400"/>
      <c r="F64" s="400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0"/>
      <c r="C66" s="270"/>
      <c r="D66" s="270"/>
      <c r="E66" s="270"/>
      <c r="F66" s="270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0"/>
      <c r="C67" s="270"/>
      <c r="D67" s="270"/>
      <c r="E67" s="270"/>
      <c r="F67" s="270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0"/>
      <c r="C68" s="270"/>
      <c r="D68" s="270"/>
      <c r="E68" s="270"/>
      <c r="F68" s="270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0"/>
      <c r="C69" s="270"/>
      <c r="D69" s="270"/>
      <c r="E69" s="270"/>
      <c r="F69" s="270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0"/>
      <c r="C70" s="270"/>
      <c r="D70" s="270"/>
      <c r="E70" s="270"/>
      <c r="F70" s="270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0"/>
      <c r="C71" s="270"/>
      <c r="D71" s="270"/>
      <c r="E71" s="270"/>
      <c r="F71" s="270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0"/>
      <c r="C72" s="270"/>
      <c r="D72" s="270"/>
      <c r="E72" s="270"/>
      <c r="F72" s="270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0"/>
      <c r="C73" s="270"/>
      <c r="D73" s="270"/>
      <c r="E73" s="270"/>
      <c r="F73" s="270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0"/>
      <c r="C74" s="270"/>
      <c r="D74" s="270"/>
      <c r="E74" s="270"/>
      <c r="F74" s="270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0"/>
      <c r="C75" s="270"/>
      <c r="D75" s="270"/>
      <c r="E75" s="270"/>
      <c r="F75" s="270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0"/>
      <c r="C76" s="270"/>
      <c r="D76" s="270"/>
      <c r="E76" s="270"/>
      <c r="F76" s="270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0"/>
      <c r="C77" s="270"/>
      <c r="D77" s="270"/>
      <c r="E77" s="270"/>
      <c r="F77" s="270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0"/>
      <c r="C78" s="270"/>
      <c r="D78" s="270"/>
      <c r="E78" s="270"/>
      <c r="F78" s="270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0"/>
      <c r="C79" s="270"/>
      <c r="D79" s="270"/>
      <c r="E79" s="270"/>
      <c r="F79" s="270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0"/>
      <c r="C80" s="270"/>
      <c r="D80" s="270"/>
      <c r="E80" s="270"/>
      <c r="F80" s="270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0"/>
      <c r="C81" s="270"/>
      <c r="D81" s="270"/>
      <c r="E81" s="270"/>
      <c r="F81" s="270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0"/>
      <c r="C82" s="270"/>
      <c r="D82" s="270"/>
      <c r="E82" s="270"/>
      <c r="F82" s="270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0"/>
      <c r="C83" s="270"/>
      <c r="D83" s="270"/>
      <c r="E83" s="270"/>
      <c r="F83" s="270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0"/>
      <c r="C84" s="270"/>
      <c r="D84" s="270"/>
      <c r="E84" s="270"/>
      <c r="F84" s="270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0"/>
      <c r="C85" s="270"/>
      <c r="D85" s="270"/>
      <c r="E85" s="270"/>
      <c r="F85" s="270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0"/>
      <c r="C86" s="270"/>
      <c r="D86" s="270"/>
      <c r="E86" s="270"/>
      <c r="F86" s="270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0"/>
      <c r="C87" s="270"/>
      <c r="D87" s="270"/>
      <c r="E87" s="270"/>
      <c r="F87" s="270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0"/>
      <c r="C88" s="270"/>
      <c r="D88" s="270"/>
      <c r="E88" s="270"/>
      <c r="F88" s="270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0"/>
      <c r="C89" s="270"/>
      <c r="D89" s="270"/>
      <c r="E89" s="270"/>
      <c r="F89" s="270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0"/>
      <c r="C90" s="270"/>
      <c r="D90" s="270"/>
      <c r="E90" s="270"/>
      <c r="F90" s="270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0"/>
      <c r="C91" s="270"/>
      <c r="D91" s="270"/>
      <c r="E91" s="270"/>
      <c r="F91" s="270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0"/>
      <c r="C92" s="270"/>
      <c r="D92" s="270"/>
      <c r="E92" s="270"/>
      <c r="F92" s="270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0"/>
      <c r="C93" s="270"/>
      <c r="D93" s="270"/>
      <c r="E93" s="270"/>
      <c r="F93" s="270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0"/>
      <c r="C94" s="270"/>
      <c r="D94" s="270"/>
      <c r="E94" s="270"/>
      <c r="F94" s="270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0"/>
      <c r="C95" s="270"/>
      <c r="D95" s="270"/>
      <c r="E95" s="270"/>
      <c r="F95" s="270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0"/>
      <c r="C96" s="270"/>
      <c r="D96" s="270"/>
      <c r="E96" s="270"/>
      <c r="F96" s="270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0"/>
      <c r="C97" s="270"/>
      <c r="D97" s="270"/>
      <c r="E97" s="270"/>
      <c r="F97" s="270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0"/>
      <c r="C98" s="270"/>
      <c r="D98" s="270"/>
      <c r="E98" s="270"/>
      <c r="F98" s="270"/>
    </row>
  </sheetData>
  <sheetProtection/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</mergeCells>
  <printOptions gridLines="1" headings="1"/>
  <pageMargins left="0.75" right="0.25" top="0.18" bottom="0.25" header="0.5" footer="0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4.2812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0" t="str">
        <f>REGINFO!A3</f>
        <v>Utility Name:  West Nipissing Energy Services Ltd</v>
      </c>
      <c r="B3" s="534"/>
      <c r="C3" s="534"/>
      <c r="O3" s="460" t="str">
        <f>REGINFO!E1</f>
        <v>Version 2005.1</v>
      </c>
    </row>
    <row r="4" spans="1:15" ht="12.75">
      <c r="A4" s="550" t="str">
        <f>REGINFO!A4</f>
        <v>Reporting period:   2005</v>
      </c>
      <c r="B4" s="534"/>
      <c r="C4" s="534"/>
      <c r="E4" s="461" t="s">
        <v>431</v>
      </c>
      <c r="F4" s="440"/>
      <c r="G4" s="440"/>
      <c r="H4" s="440"/>
      <c r="I4" s="440"/>
      <c r="O4" s="460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38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522">
        <v>0</v>
      </c>
      <c r="D11" s="523"/>
      <c r="E11" s="524">
        <f>C21</f>
        <v>10397</v>
      </c>
      <c r="F11" s="525"/>
      <c r="G11" s="524">
        <f>E21</f>
        <v>9803.25</v>
      </c>
      <c r="H11" s="525"/>
      <c r="I11" s="524">
        <f>G21</f>
        <v>-5551.5</v>
      </c>
      <c r="J11" s="523"/>
      <c r="K11" s="524">
        <f>I21</f>
        <v>-13329.75</v>
      </c>
      <c r="L11" s="523"/>
      <c r="M11" s="524">
        <f>K21</f>
        <v>-17814.466616797738</v>
      </c>
      <c r="N11" s="523"/>
      <c r="O11" s="524">
        <f>C11</f>
        <v>0</v>
      </c>
    </row>
    <row r="12" spans="1:15" ht="27" customHeight="1">
      <c r="A12" s="92" t="s">
        <v>532</v>
      </c>
      <c r="B12" s="75" t="s">
        <v>278</v>
      </c>
      <c r="C12" s="526"/>
      <c r="D12" s="105"/>
      <c r="E12" s="526">
        <v>16207.25</v>
      </c>
      <c r="F12" s="109"/>
      <c r="G12" s="527">
        <f>C12+E12</f>
        <v>16207.25</v>
      </c>
      <c r="H12" s="109"/>
      <c r="I12" s="527">
        <f>(E12/12*9)+(G12/12*3)-0.5</f>
        <v>16206.75</v>
      </c>
      <c r="J12" s="105"/>
      <c r="K12" s="527">
        <f>(E12/12*3)+(TAXCALC!C96/12*9)</f>
        <v>13974.323383202263</v>
      </c>
      <c r="L12" s="105"/>
      <c r="M12" s="527">
        <f>TAXCALC!C96/12*4</f>
        <v>4410.004836978784</v>
      </c>
      <c r="N12" s="105"/>
      <c r="O12" s="524">
        <f aca="true" t="shared" si="0" ref="O12:O19">SUM(C12:N12)</f>
        <v>67005.57822018105</v>
      </c>
    </row>
    <row r="13" spans="1:15" ht="38.25">
      <c r="A13" s="92" t="s">
        <v>530</v>
      </c>
      <c r="B13" s="75" t="s">
        <v>278</v>
      </c>
      <c r="C13" s="526" t="s">
        <v>180</v>
      </c>
      <c r="D13" s="105"/>
      <c r="E13" s="526"/>
      <c r="F13" s="109"/>
      <c r="G13" s="526"/>
      <c r="H13" s="109"/>
      <c r="I13" s="526"/>
      <c r="J13" s="105"/>
      <c r="K13" s="526">
        <f>-332-83</f>
        <v>-415</v>
      </c>
      <c r="L13" s="105"/>
      <c r="M13" s="526">
        <v>0</v>
      </c>
      <c r="N13" s="105"/>
      <c r="O13" s="524">
        <f t="shared" si="0"/>
        <v>-415</v>
      </c>
    </row>
    <row r="14" spans="1:15" ht="27" customHeight="1">
      <c r="A14" s="92" t="s">
        <v>535</v>
      </c>
      <c r="B14" s="75" t="s">
        <v>278</v>
      </c>
      <c r="C14" s="526">
        <v>10335</v>
      </c>
      <c r="D14" s="105"/>
      <c r="E14" s="526"/>
      <c r="F14" s="109"/>
      <c r="G14" s="526"/>
      <c r="H14" s="109"/>
      <c r="I14" s="526">
        <v>-4661</v>
      </c>
      <c r="J14" s="105"/>
      <c r="K14" s="526">
        <f>-4661-200</f>
        <v>-4861</v>
      </c>
      <c r="L14" s="105"/>
      <c r="M14" s="527">
        <f>TAXCALC!I133</f>
        <v>-62190.12290909091</v>
      </c>
      <c r="N14" s="105"/>
      <c r="O14" s="524">
        <f t="shared" si="0"/>
        <v>-61377.12290909091</v>
      </c>
    </row>
    <row r="15" spans="1:15" ht="27" customHeight="1">
      <c r="A15" s="92" t="s">
        <v>534</v>
      </c>
      <c r="B15" s="75"/>
      <c r="C15" s="526"/>
      <c r="D15" s="105"/>
      <c r="E15" s="526"/>
      <c r="F15" s="109"/>
      <c r="G15" s="526"/>
      <c r="H15" s="109"/>
      <c r="I15" s="526"/>
      <c r="J15" s="105"/>
      <c r="K15" s="526"/>
      <c r="L15" s="105"/>
      <c r="M15" s="526"/>
      <c r="N15" s="105"/>
      <c r="O15" s="524">
        <f t="shared" si="0"/>
        <v>0</v>
      </c>
    </row>
    <row r="16" spans="1:15" ht="27.75" customHeight="1">
      <c r="A16" s="92" t="s">
        <v>536</v>
      </c>
      <c r="B16" s="75" t="s">
        <v>278</v>
      </c>
      <c r="C16" s="526"/>
      <c r="D16" s="105"/>
      <c r="E16" s="526">
        <v>-3720</v>
      </c>
      <c r="F16" s="109"/>
      <c r="G16" s="526">
        <v>-3720</v>
      </c>
      <c r="H16" s="109"/>
      <c r="I16" s="526">
        <v>-601</v>
      </c>
      <c r="J16" s="105"/>
      <c r="K16" s="526">
        <v>-601</v>
      </c>
      <c r="L16" s="105"/>
      <c r="M16" s="527">
        <f>TAXCALC!I182</f>
        <v>0</v>
      </c>
      <c r="N16" s="105"/>
      <c r="O16" s="524">
        <f t="shared" si="0"/>
        <v>-8642</v>
      </c>
    </row>
    <row r="17" spans="1:15" ht="38.25">
      <c r="A17" s="92" t="s">
        <v>531</v>
      </c>
      <c r="B17" s="75" t="s">
        <v>278</v>
      </c>
      <c r="C17" s="526"/>
      <c r="D17" s="105"/>
      <c r="E17" s="526"/>
      <c r="F17" s="109"/>
      <c r="G17" s="526"/>
      <c r="H17" s="109"/>
      <c r="I17" s="526"/>
      <c r="J17" s="105"/>
      <c r="K17" s="526">
        <v>-200</v>
      </c>
      <c r="L17" s="105"/>
      <c r="M17" s="526"/>
      <c r="N17" s="105"/>
      <c r="O17" s="524">
        <f t="shared" si="0"/>
        <v>-200</v>
      </c>
    </row>
    <row r="18" spans="1:15" ht="24" customHeight="1">
      <c r="A18" s="473" t="s">
        <v>545</v>
      </c>
      <c r="B18" s="75" t="s">
        <v>278</v>
      </c>
      <c r="C18" s="526">
        <v>62</v>
      </c>
      <c r="D18" s="105"/>
      <c r="E18" s="526">
        <v>866</v>
      </c>
      <c r="F18" s="109"/>
      <c r="G18" s="526">
        <v>111</v>
      </c>
      <c r="H18" s="109"/>
      <c r="I18" s="526"/>
      <c r="J18" s="105"/>
      <c r="K18" s="526"/>
      <c r="L18" s="105"/>
      <c r="M18" s="526"/>
      <c r="N18" s="105"/>
      <c r="O18" s="524">
        <f t="shared" si="0"/>
        <v>1039</v>
      </c>
    </row>
    <row r="19" spans="1:15" ht="24.75" customHeight="1">
      <c r="A19" s="92" t="s">
        <v>546</v>
      </c>
      <c r="B19" s="75" t="s">
        <v>273</v>
      </c>
      <c r="C19" s="527">
        <v>0</v>
      </c>
      <c r="D19" s="105"/>
      <c r="E19" s="526">
        <v>-13947</v>
      </c>
      <c r="F19" s="109"/>
      <c r="G19" s="526">
        <v>-27953</v>
      </c>
      <c r="H19" s="109"/>
      <c r="I19" s="526">
        <v>-18723</v>
      </c>
      <c r="J19" s="105"/>
      <c r="K19" s="526">
        <v>-12382.04</v>
      </c>
      <c r="L19" s="105"/>
      <c r="M19" s="526"/>
      <c r="N19" s="105"/>
      <c r="O19" s="524">
        <f t="shared" si="0"/>
        <v>-73005.04000000001</v>
      </c>
    </row>
    <row r="20" spans="1:15" ht="12.75">
      <c r="A20" s="74"/>
      <c r="C20" s="105"/>
      <c r="D20" s="109"/>
      <c r="E20" s="105"/>
      <c r="F20" s="109"/>
      <c r="G20" s="105"/>
      <c r="H20" s="109"/>
      <c r="I20" s="105"/>
      <c r="J20" s="105"/>
      <c r="K20" s="105"/>
      <c r="L20" s="105"/>
      <c r="M20" s="105"/>
      <c r="N20" s="105"/>
      <c r="O20" s="525"/>
    </row>
    <row r="21" spans="1:15" ht="13.5" thickBot="1">
      <c r="A21" s="92" t="s">
        <v>490</v>
      </c>
      <c r="B21" s="40"/>
      <c r="C21" s="528">
        <f>SUM(C11:C19)</f>
        <v>10397</v>
      </c>
      <c r="D21" s="525"/>
      <c r="E21" s="528">
        <f>SUM(E11:E19)</f>
        <v>9803.25</v>
      </c>
      <c r="F21" s="525"/>
      <c r="G21" s="528">
        <f>SUM(G11:G19)</f>
        <v>-5551.5</v>
      </c>
      <c r="H21" s="525"/>
      <c r="I21" s="528">
        <f>SUM(I11:I19)</f>
        <v>-13329.75</v>
      </c>
      <c r="J21" s="523"/>
      <c r="K21" s="528">
        <f>SUM(K11:K19)</f>
        <v>-17814.466616797738</v>
      </c>
      <c r="L21" s="523"/>
      <c r="M21" s="528">
        <f>SUM(M11:M20)</f>
        <v>-75594.58468890986</v>
      </c>
      <c r="N21" s="523"/>
      <c r="O21" s="528">
        <f>SUM(O11:O19)</f>
        <v>-75594.58468890988</v>
      </c>
    </row>
    <row r="22" spans="1:15" ht="13.5" thickTop="1">
      <c r="A22" s="495"/>
      <c r="B22" s="496"/>
      <c r="C22" s="481"/>
      <c r="D22" s="481"/>
      <c r="E22" s="481"/>
      <c r="F22" s="481"/>
      <c r="G22" s="481"/>
      <c r="H22" s="481"/>
      <c r="I22" s="481"/>
      <c r="J22" s="496"/>
      <c r="K22" s="481"/>
      <c r="L22" s="214"/>
      <c r="M22" s="482"/>
      <c r="N22" s="214"/>
      <c r="O22" s="482"/>
    </row>
    <row r="23" spans="1:15" ht="9" customHeight="1">
      <c r="A23" s="474"/>
      <c r="B23" s="475"/>
      <c r="C23" s="475"/>
      <c r="D23" s="475"/>
      <c r="E23" s="475"/>
      <c r="F23" s="475"/>
      <c r="G23" s="475"/>
      <c r="H23" s="475"/>
      <c r="I23" s="475"/>
      <c r="J23" s="475"/>
      <c r="K23" s="476"/>
      <c r="L23" s="207"/>
      <c r="M23" s="207"/>
      <c r="N23" s="207"/>
      <c r="O23" s="207"/>
    </row>
    <row r="24" spans="1:15" ht="12.75">
      <c r="A24" s="474" t="s">
        <v>3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207"/>
      <c r="M24" s="207"/>
      <c r="N24" s="207"/>
      <c r="O24" s="207"/>
    </row>
    <row r="25" spans="1:15" ht="12.75">
      <c r="A25" s="477" t="s">
        <v>543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207"/>
      <c r="M25" s="207"/>
      <c r="N25" s="207"/>
      <c r="O25" s="207"/>
    </row>
    <row r="26" spans="1:15" ht="9" customHeight="1">
      <c r="A26" s="207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207"/>
      <c r="M26" s="207"/>
      <c r="N26" s="207"/>
      <c r="O26" s="207"/>
    </row>
    <row r="27" spans="1:15" ht="12.75">
      <c r="A27" s="490" t="s">
        <v>4</v>
      </c>
      <c r="B27" s="91"/>
      <c r="C27" s="91"/>
      <c r="D27" s="91"/>
      <c r="E27" s="91"/>
      <c r="F27" s="91"/>
      <c r="G27" s="91"/>
      <c r="H27" s="91"/>
      <c r="I27" s="487"/>
      <c r="J27" s="487"/>
      <c r="K27" s="487"/>
      <c r="L27" s="487"/>
      <c r="M27" s="487"/>
      <c r="N27" s="487"/>
      <c r="O27" s="487"/>
    </row>
    <row r="28" spans="1:15" ht="9" customHeight="1">
      <c r="A28" s="489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</row>
    <row r="29" spans="1:19" ht="12.75">
      <c r="A29" s="552" t="s">
        <v>533</v>
      </c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462"/>
      <c r="Q29" s="462"/>
      <c r="R29" s="462"/>
      <c r="S29" s="462"/>
    </row>
    <row r="30" spans="1:19" ht="12.75">
      <c r="A30" s="551" t="s">
        <v>610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462"/>
      <c r="Q30" s="462"/>
      <c r="R30" s="462"/>
      <c r="S30" s="462"/>
    </row>
    <row r="31" spans="1:19" ht="12.75">
      <c r="A31" s="551" t="s">
        <v>611</v>
      </c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462"/>
      <c r="Q31" s="462"/>
      <c r="R31" s="462"/>
      <c r="S31" s="462"/>
    </row>
    <row r="32" spans="1:19" ht="12.75">
      <c r="A32" s="478" t="s">
        <v>488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62"/>
      <c r="Q32" s="462"/>
      <c r="R32" s="462"/>
      <c r="S32" s="462"/>
    </row>
    <row r="33" spans="1:19" ht="12.75">
      <c r="A33" s="478" t="s">
        <v>489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62"/>
      <c r="Q33" s="462"/>
      <c r="R33" s="462"/>
      <c r="S33" s="462"/>
    </row>
    <row r="34" spans="1:19" ht="12.75">
      <c r="A34" s="478" t="s">
        <v>544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62"/>
      <c r="Q34" s="462"/>
      <c r="R34" s="462"/>
      <c r="S34" s="462"/>
    </row>
    <row r="35" spans="1:19" ht="12.75">
      <c r="A35" s="478" t="s">
        <v>609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62"/>
      <c r="Q35" s="462"/>
      <c r="R35" s="462"/>
      <c r="S35" s="462"/>
    </row>
    <row r="36" spans="2:19" ht="9" customHeight="1"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62"/>
      <c r="Q36" s="462"/>
      <c r="R36" s="462"/>
      <c r="S36" s="462"/>
    </row>
    <row r="37" spans="1:15" ht="12.75">
      <c r="A37" s="480" t="s">
        <v>612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207"/>
      <c r="M37" s="207"/>
      <c r="N37" s="207"/>
      <c r="O37" s="207"/>
    </row>
    <row r="38" spans="1:15" ht="12.75">
      <c r="A38" s="475" t="s">
        <v>0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207"/>
      <c r="M38" s="207"/>
      <c r="N38" s="207"/>
      <c r="O38" s="207"/>
    </row>
    <row r="39" spans="1:15" ht="9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207"/>
      <c r="M39" s="207"/>
      <c r="N39" s="207"/>
      <c r="O39" s="207"/>
    </row>
    <row r="40" spans="1:15" ht="12.75">
      <c r="A40" s="480" t="s">
        <v>613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207"/>
      <c r="M40" s="207"/>
      <c r="N40" s="207"/>
      <c r="O40" s="207"/>
    </row>
    <row r="41" spans="1:15" ht="12.75">
      <c r="A41" s="475" t="s">
        <v>538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207"/>
      <c r="M41" s="207"/>
      <c r="N41" s="207"/>
      <c r="O41" s="207"/>
    </row>
    <row r="42" spans="1:15" ht="9" customHeight="1">
      <c r="A42" s="475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207"/>
      <c r="M42" s="207"/>
      <c r="N42" s="207"/>
      <c r="O42" s="207"/>
    </row>
    <row r="43" spans="1:15" ht="12.75">
      <c r="A43" s="480" t="s">
        <v>614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207"/>
      <c r="M43" s="207"/>
      <c r="N43" s="207"/>
      <c r="O43" s="207"/>
    </row>
    <row r="44" spans="1:15" ht="12.75">
      <c r="A44" s="475" t="s">
        <v>1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207"/>
      <c r="M44" s="207"/>
      <c r="N44" s="207"/>
      <c r="O44" s="207"/>
    </row>
    <row r="45" spans="1:15" ht="9" customHeight="1">
      <c r="A45" s="475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207"/>
      <c r="M45" s="207"/>
      <c r="N45" s="207"/>
      <c r="O45" s="207"/>
    </row>
    <row r="46" spans="1:15" ht="12.75">
      <c r="A46" s="480" t="s">
        <v>615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207"/>
      <c r="M46" s="207"/>
      <c r="N46" s="207"/>
      <c r="O46" s="207"/>
    </row>
    <row r="47" spans="1:15" ht="12.75">
      <c r="A47" s="475" t="s">
        <v>538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207"/>
      <c r="M47" s="207"/>
      <c r="N47" s="207"/>
      <c r="O47" s="207"/>
    </row>
    <row r="48" spans="1:15" ht="9" customHeight="1">
      <c r="A48" s="480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207"/>
      <c r="M48" s="207"/>
      <c r="N48" s="207"/>
      <c r="O48" s="207"/>
    </row>
    <row r="49" spans="1:15" ht="12.75">
      <c r="A49" s="475" t="s">
        <v>537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207"/>
      <c r="M49" s="207"/>
      <c r="N49" s="207"/>
      <c r="O49" s="207"/>
    </row>
    <row r="50" spans="1:15" ht="9" customHeight="1">
      <c r="A50" s="475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207"/>
      <c r="M50" s="207"/>
      <c r="N50" s="207"/>
      <c r="O50" s="207"/>
    </row>
    <row r="51" spans="1:15" ht="12.75" customHeight="1">
      <c r="A51" s="480" t="s">
        <v>5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207"/>
      <c r="M51" s="207"/>
      <c r="N51" s="207"/>
      <c r="O51" s="207"/>
    </row>
    <row r="52" spans="1:15" ht="9" customHeight="1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207"/>
      <c r="M52" s="207"/>
      <c r="N52" s="207"/>
      <c r="O52" s="207"/>
    </row>
    <row r="53" spans="1:15" ht="12.75">
      <c r="A53" s="475" t="s">
        <v>6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207"/>
      <c r="M53" s="207"/>
      <c r="N53" s="207"/>
      <c r="O53" s="207"/>
    </row>
    <row r="54" spans="1:15" ht="12.75">
      <c r="A54" s="475" t="s">
        <v>7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207"/>
      <c r="M54" s="207"/>
      <c r="N54" s="207"/>
      <c r="O54" s="207"/>
    </row>
    <row r="55" spans="1:15" ht="12.75">
      <c r="A55" s="475" t="s">
        <v>2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207"/>
      <c r="M55" s="207"/>
      <c r="N55" s="207"/>
      <c r="O55" s="207"/>
    </row>
    <row r="56" spans="1:15" ht="12.75">
      <c r="A56" s="475" t="s">
        <v>600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207"/>
      <c r="M56" s="207"/>
      <c r="N56" s="207"/>
      <c r="O56" s="207"/>
    </row>
    <row r="57" spans="1:15" ht="9" customHeight="1">
      <c r="A57" s="475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207"/>
      <c r="M57" s="207"/>
      <c r="N57" s="207"/>
      <c r="O57" s="207"/>
    </row>
    <row r="58" spans="1:15" ht="12.75">
      <c r="A58" s="475" t="s">
        <v>525</v>
      </c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207"/>
      <c r="M58" s="207"/>
      <c r="N58" s="207"/>
      <c r="O58" s="207"/>
    </row>
    <row r="59" spans="1:15" ht="12.75">
      <c r="A59" s="475" t="s">
        <v>8</v>
      </c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207"/>
      <c r="M59" s="207"/>
      <c r="N59" s="207"/>
      <c r="O59" s="207"/>
    </row>
    <row r="60" spans="1:15" ht="12.75">
      <c r="A60" s="475" t="s">
        <v>521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207"/>
      <c r="M60" s="207"/>
      <c r="N60" s="207"/>
      <c r="O60" s="207"/>
    </row>
    <row r="61" spans="1:15" ht="3.7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207"/>
      <c r="M61" s="207"/>
      <c r="N61" s="207"/>
      <c r="O61" s="207"/>
    </row>
    <row r="62" spans="1:15" ht="12.75">
      <c r="A62" s="475" t="s">
        <v>522</v>
      </c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207"/>
      <c r="M62" s="207"/>
      <c r="N62" s="207"/>
      <c r="O62" s="207"/>
    </row>
    <row r="63" spans="1:15" ht="12.75">
      <c r="A63" s="475" t="s">
        <v>523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207"/>
      <c r="M63" s="207"/>
      <c r="N63" s="207"/>
      <c r="O63" s="207"/>
    </row>
    <row r="64" spans="1:15" ht="3.75" customHeight="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207"/>
      <c r="M64" s="207"/>
      <c r="N64" s="207"/>
      <c r="O64" s="207"/>
    </row>
    <row r="65" spans="1:15" ht="12.75">
      <c r="A65" s="475" t="s">
        <v>526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207"/>
      <c r="M65" s="207"/>
      <c r="N65" s="207"/>
      <c r="O65" s="207"/>
    </row>
    <row r="66" spans="1:15" ht="12.75">
      <c r="A66" s="475" t="s">
        <v>527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207"/>
      <c r="M66" s="207"/>
      <c r="N66" s="207"/>
      <c r="O66" s="207"/>
    </row>
    <row r="67" spans="1:15" ht="12.75">
      <c r="A67" s="475" t="s">
        <v>524</v>
      </c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207"/>
      <c r="M67" s="207"/>
      <c r="N67" s="207"/>
      <c r="O67" s="207"/>
    </row>
    <row r="68" spans="1:15" ht="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207"/>
      <c r="M68" s="207"/>
      <c r="N68" s="207"/>
      <c r="O68" s="207"/>
    </row>
    <row r="69" spans="1:15" ht="12.75" customHeight="1">
      <c r="A69" s="551" t="s">
        <v>574</v>
      </c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49"/>
    </row>
    <row r="70" spans="1:15" ht="12.75">
      <c r="A70" s="553" t="s">
        <v>575</v>
      </c>
      <c r="B70" s="553"/>
      <c r="C70" s="553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</row>
    <row r="71" spans="1:15" ht="12.75">
      <c r="A71" s="553"/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</row>
    <row r="72" spans="1:15" ht="12.75">
      <c r="A72" s="207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207"/>
      <c r="M72" s="207"/>
      <c r="N72" s="207"/>
      <c r="O72" s="207"/>
    </row>
    <row r="73" spans="1:17" ht="12.75">
      <c r="A73" s="475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207"/>
      <c r="O73" s="207"/>
      <c r="P73" s="207"/>
      <c r="Q73" s="207"/>
    </row>
    <row r="74" spans="1:17" ht="12.75">
      <c r="A74" s="207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207"/>
      <c r="O74" s="207"/>
      <c r="P74" s="207"/>
      <c r="Q74" s="207"/>
    </row>
    <row r="75" spans="1:17" ht="12.75">
      <c r="A75" s="207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207"/>
      <c r="O75" s="207"/>
      <c r="P75" s="207"/>
      <c r="Q75" s="207"/>
    </row>
    <row r="76" spans="1:17" ht="12.75">
      <c r="A76" s="475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207"/>
      <c r="O76" s="207"/>
      <c r="P76" s="207"/>
      <c r="Q76" s="207"/>
    </row>
    <row r="77" spans="1:17" ht="12.75">
      <c r="A77" s="207"/>
      <c r="B77" s="207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207"/>
      <c r="O77" s="207"/>
      <c r="P77" s="207"/>
      <c r="Q77" s="207"/>
    </row>
    <row r="78" spans="1:17" ht="12.75">
      <c r="A78" s="207"/>
      <c r="B78" s="207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207"/>
      <c r="O78" s="207"/>
      <c r="P78" s="207"/>
      <c r="Q78" s="207"/>
    </row>
    <row r="79" spans="1:17" ht="12.75">
      <c r="A79" s="475"/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207"/>
      <c r="O79" s="207"/>
      <c r="P79" s="207"/>
      <c r="Q79" s="207"/>
    </row>
    <row r="80" spans="1:17" ht="12.75">
      <c r="A80" s="207"/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207"/>
      <c r="O80" s="207"/>
      <c r="P80" s="207"/>
      <c r="Q80" s="207"/>
    </row>
    <row r="81" spans="1:17" ht="12.75">
      <c r="A81" s="207"/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207"/>
      <c r="O81" s="207"/>
      <c r="P81" s="207"/>
      <c r="Q81" s="207"/>
    </row>
    <row r="82" spans="1:17" ht="12.75">
      <c r="A82" s="207"/>
      <c r="B82" s="207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207"/>
      <c r="O82" s="207"/>
      <c r="P82" s="207"/>
      <c r="Q82" s="207"/>
    </row>
    <row r="83" spans="1:17" ht="12.75">
      <c r="A83" s="207"/>
      <c r="B83" s="207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207"/>
      <c r="O83" s="207"/>
      <c r="P83" s="207"/>
      <c r="Q83" s="207"/>
    </row>
    <row r="84" spans="1:17" ht="12.75">
      <c r="A84" s="207"/>
      <c r="B84" s="207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207"/>
      <c r="O84" s="207"/>
      <c r="P84" s="207"/>
      <c r="Q84" s="207"/>
    </row>
    <row r="85" spans="1:17" ht="12.75">
      <c r="A85" s="207"/>
      <c r="B85" s="207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207"/>
      <c r="O85" s="207"/>
      <c r="P85" s="207"/>
      <c r="Q85" s="207"/>
    </row>
    <row r="86" spans="1:17" ht="12.75">
      <c r="A86" s="207"/>
      <c r="B86" s="207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207"/>
      <c r="O86" s="207"/>
      <c r="P86" s="207"/>
      <c r="Q86" s="207"/>
    </row>
    <row r="87" spans="1:17" ht="12.75">
      <c r="A87" s="207"/>
      <c r="B87" s="207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</row>
    <row r="88" spans="1:17" ht="12.75">
      <c r="A88" s="207"/>
      <c r="B88" s="207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headings="1"/>
  <pageMargins left="0.1968503937007874" right="0.2362204724409449" top="0.1968503937007874" bottom="0.2362204724409449" header="0.5118110236220472" footer="0"/>
  <pageSetup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8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27" customWidth="1"/>
    <col min="5" max="5" width="14.57421875" style="0" customWidth="1"/>
    <col min="6" max="6" width="13.8515625" style="0" customWidth="1"/>
  </cols>
  <sheetData>
    <row r="1" spans="2:3" ht="12.75">
      <c r="B1" s="1" t="str">
        <f>REGINFO!A1</f>
        <v>SIMPIL RRR FILING</v>
      </c>
      <c r="C1" s="1"/>
    </row>
    <row r="2" spans="2:5" ht="12.75">
      <c r="B2" s="2" t="s">
        <v>627</v>
      </c>
      <c r="C2" s="27" t="s">
        <v>581</v>
      </c>
      <c r="E2" s="27" t="s">
        <v>497</v>
      </c>
    </row>
    <row r="3" spans="2:5" ht="12.75">
      <c r="B3" s="344" t="str">
        <f>REGINFO!A3</f>
        <v>Utility Name:  West Nipissing Energy Services Ltd</v>
      </c>
      <c r="C3" s="27" t="s">
        <v>582</v>
      </c>
      <c r="E3" s="27" t="s">
        <v>458</v>
      </c>
    </row>
    <row r="4" spans="1:6" ht="13.5" thickBot="1">
      <c r="A4" s="262"/>
      <c r="B4" s="516" t="str">
        <f>REGINFO!A4</f>
        <v>Reporting period:   2005</v>
      </c>
      <c r="C4" s="263"/>
      <c r="D4" s="531"/>
      <c r="E4" s="264"/>
      <c r="F4" s="268"/>
    </row>
    <row r="5" spans="1:6" ht="13.5" thickTop="1">
      <c r="A5" s="262"/>
      <c r="B5" s="265"/>
      <c r="C5" s="265"/>
      <c r="D5" s="267"/>
      <c r="E5" s="262"/>
      <c r="F5" s="268"/>
    </row>
    <row r="6" spans="2:5" ht="12.75">
      <c r="B6" s="508" t="s">
        <v>601</v>
      </c>
      <c r="C6" s="554"/>
      <c r="D6" s="554"/>
      <c r="E6" s="554"/>
    </row>
    <row r="7" spans="1:6" ht="12.75">
      <c r="A7" s="262"/>
      <c r="B7" s="509" t="s">
        <v>602</v>
      </c>
      <c r="C7" s="555"/>
      <c r="D7" s="554"/>
      <c r="E7" s="554"/>
      <c r="F7" s="268"/>
    </row>
    <row r="8" spans="1:6" ht="12.75">
      <c r="A8" s="262"/>
      <c r="B8" s="509" t="s">
        <v>603</v>
      </c>
      <c r="C8" s="510"/>
      <c r="D8" s="532"/>
      <c r="E8" s="511"/>
      <c r="F8" s="268"/>
    </row>
    <row r="9" spans="1:6" ht="12.75">
      <c r="A9" s="262"/>
      <c r="B9" s="265"/>
      <c r="C9" s="265"/>
      <c r="D9" s="267"/>
      <c r="E9" s="262"/>
      <c r="F9" s="268"/>
    </row>
    <row r="10" spans="1:6" ht="12.75">
      <c r="A10" s="265"/>
      <c r="B10" s="265" t="s">
        <v>308</v>
      </c>
      <c r="C10" s="265"/>
      <c r="D10" s="267"/>
      <c r="E10" s="262"/>
      <c r="F10" s="262"/>
    </row>
    <row r="11" spans="1:6" ht="12.75">
      <c r="A11" s="265"/>
      <c r="B11" s="265" t="s">
        <v>621</v>
      </c>
      <c r="C11" s="265"/>
      <c r="D11" s="267"/>
      <c r="E11" s="262"/>
      <c r="F11" s="262"/>
    </row>
    <row r="12" spans="1:6" ht="12.75">
      <c r="A12" s="265"/>
      <c r="D12" s="267"/>
      <c r="E12" s="262"/>
      <c r="F12" s="262"/>
    </row>
    <row r="13" spans="1:6" ht="12.75">
      <c r="A13" s="265"/>
      <c r="B13" s="459" t="s">
        <v>586</v>
      </c>
      <c r="C13" s="459"/>
      <c r="D13" s="267"/>
      <c r="E13" s="262"/>
      <c r="F13" s="262"/>
    </row>
    <row r="14" spans="1:6" ht="13.5" thickBot="1">
      <c r="A14" s="265"/>
      <c r="B14" s="262"/>
      <c r="C14" s="262"/>
      <c r="D14" s="267"/>
      <c r="E14" s="262"/>
      <c r="F14" s="262"/>
    </row>
    <row r="15" spans="1:6" ht="13.5" thickBot="1">
      <c r="A15" s="267" t="s">
        <v>309</v>
      </c>
      <c r="B15" s="265" t="s">
        <v>459</v>
      </c>
      <c r="C15" s="267">
        <v>2</v>
      </c>
      <c r="D15" s="529" t="s">
        <v>637</v>
      </c>
      <c r="E15" s="262"/>
      <c r="F15" s="262"/>
    </row>
    <row r="16" spans="1:6" ht="13.5" thickBot="1">
      <c r="A16" s="267"/>
      <c r="B16" s="265"/>
      <c r="C16" s="267"/>
      <c r="D16" s="267"/>
      <c r="E16" s="262"/>
      <c r="F16" s="262"/>
    </row>
    <row r="17" spans="1:6" ht="13.5" thickBot="1">
      <c r="A17" s="267" t="s">
        <v>310</v>
      </c>
      <c r="B17" s="265" t="s">
        <v>460</v>
      </c>
      <c r="C17" s="267">
        <v>2</v>
      </c>
      <c r="D17" s="529" t="s">
        <v>637</v>
      </c>
      <c r="E17" s="262"/>
      <c r="F17" s="262"/>
    </row>
    <row r="18" spans="1:6" ht="13.5" thickBot="1">
      <c r="A18" s="267"/>
      <c r="B18" s="265"/>
      <c r="C18" s="267"/>
      <c r="D18" s="267"/>
      <c r="E18" s="262"/>
      <c r="F18" s="262"/>
    </row>
    <row r="19" spans="1:6" ht="13.5" thickBot="1">
      <c r="A19" s="267" t="s">
        <v>311</v>
      </c>
      <c r="B19" s="265" t="s">
        <v>167</v>
      </c>
      <c r="C19" s="267">
        <v>2</v>
      </c>
      <c r="D19" s="529" t="s">
        <v>637</v>
      </c>
      <c r="E19" s="262"/>
      <c r="F19" s="262"/>
    </row>
    <row r="20" spans="1:6" ht="13.5" thickBot="1">
      <c r="A20" s="267"/>
      <c r="B20" s="265"/>
      <c r="C20" s="267"/>
      <c r="D20" s="507"/>
      <c r="E20" s="262"/>
      <c r="F20" s="262"/>
    </row>
    <row r="21" spans="1:6" ht="13.5" thickBot="1">
      <c r="A21" s="267" t="s">
        <v>312</v>
      </c>
      <c r="B21" s="265" t="s">
        <v>461</v>
      </c>
      <c r="C21" s="267">
        <v>2</v>
      </c>
      <c r="D21" s="529" t="s">
        <v>637</v>
      </c>
      <c r="E21" s="262"/>
      <c r="F21" s="262"/>
    </row>
    <row r="22" spans="1:6" ht="13.5" thickBot="1">
      <c r="A22" s="267"/>
      <c r="B22" s="265"/>
      <c r="C22" s="267"/>
      <c r="D22" s="507"/>
      <c r="E22" s="262"/>
      <c r="F22" s="262"/>
    </row>
    <row r="23" spans="1:6" ht="13.5" thickBot="1">
      <c r="A23" s="267" t="s">
        <v>313</v>
      </c>
      <c r="B23" s="265" t="s">
        <v>463</v>
      </c>
      <c r="C23" s="267">
        <v>2</v>
      </c>
      <c r="D23" s="529" t="s">
        <v>637</v>
      </c>
      <c r="E23" s="262"/>
      <c r="F23" s="262"/>
    </row>
    <row r="24" spans="1:6" ht="13.5" thickBot="1">
      <c r="A24" s="267"/>
      <c r="B24" s="265"/>
      <c r="C24" s="267"/>
      <c r="D24" s="507"/>
      <c r="E24" s="262"/>
      <c r="F24" s="262"/>
    </row>
    <row r="25" spans="1:6" ht="13.5" thickBot="1">
      <c r="A25" s="267" t="s">
        <v>315</v>
      </c>
      <c r="B25" s="265" t="s">
        <v>462</v>
      </c>
      <c r="C25" s="267">
        <v>2</v>
      </c>
      <c r="D25" s="529" t="s">
        <v>637</v>
      </c>
      <c r="E25" s="262"/>
      <c r="F25" s="262"/>
    </row>
    <row r="26" spans="1:6" ht="13.5" thickBot="1">
      <c r="A26" s="267"/>
      <c r="C26" s="267"/>
      <c r="D26" s="267"/>
      <c r="E26" s="262"/>
      <c r="F26" s="262"/>
    </row>
    <row r="27" spans="1:6" ht="13.5" thickBot="1">
      <c r="A27" s="267" t="s">
        <v>338</v>
      </c>
      <c r="B27" s="265" t="s">
        <v>584</v>
      </c>
      <c r="C27" s="267">
        <v>2</v>
      </c>
      <c r="D27" s="529" t="s">
        <v>637</v>
      </c>
      <c r="E27" s="262"/>
      <c r="F27" s="262"/>
    </row>
    <row r="28" spans="1:6" ht="13.5" thickBot="1">
      <c r="A28" s="267"/>
      <c r="B28" s="265"/>
      <c r="C28" s="267"/>
      <c r="D28" s="267"/>
      <c r="E28" s="262"/>
      <c r="F28" s="262"/>
    </row>
    <row r="29" spans="1:6" ht="13.5" thickBot="1">
      <c r="A29" s="267" t="s">
        <v>464</v>
      </c>
      <c r="B29" s="265" t="s">
        <v>314</v>
      </c>
      <c r="C29" s="267">
        <v>2</v>
      </c>
      <c r="D29" s="529" t="s">
        <v>637</v>
      </c>
      <c r="E29" s="262"/>
      <c r="F29" s="262"/>
    </row>
    <row r="30" spans="1:6" ht="12.75">
      <c r="A30" s="267"/>
      <c r="B30" s="265"/>
      <c r="C30" s="267"/>
      <c r="D30" s="267"/>
      <c r="E30" s="262"/>
      <c r="F30" s="262"/>
    </row>
    <row r="31" spans="1:6" ht="13.5" thickBot="1">
      <c r="A31" s="267"/>
      <c r="B31" s="265"/>
      <c r="C31" s="267"/>
      <c r="D31" s="267"/>
      <c r="E31" s="262"/>
      <c r="F31" s="262"/>
    </row>
    <row r="32" spans="1:6" ht="28.5" customHeight="1" thickBot="1">
      <c r="A32" s="267" t="s">
        <v>339</v>
      </c>
      <c r="B32" s="498" t="s">
        <v>606</v>
      </c>
      <c r="C32" s="505">
        <v>2</v>
      </c>
      <c r="D32" s="529" t="s">
        <v>637</v>
      </c>
      <c r="E32" s="262"/>
      <c r="F32" s="262"/>
    </row>
    <row r="33" spans="1:6" ht="13.5" thickBot="1">
      <c r="A33" s="267"/>
      <c r="B33" s="265"/>
      <c r="C33" s="267"/>
      <c r="D33" s="507"/>
      <c r="E33" s="262"/>
      <c r="F33" s="262"/>
    </row>
    <row r="34" spans="1:6" ht="13.5" thickBot="1">
      <c r="A34" s="267" t="s">
        <v>316</v>
      </c>
      <c r="B34" s="265" t="s">
        <v>632</v>
      </c>
      <c r="C34" s="267">
        <v>1</v>
      </c>
      <c r="D34" s="529" t="s">
        <v>637</v>
      </c>
      <c r="E34" s="262"/>
      <c r="F34" s="262"/>
    </row>
    <row r="35" spans="1:6" ht="12.75">
      <c r="A35" s="266"/>
      <c r="B35" s="262"/>
      <c r="C35" s="266"/>
      <c r="D35" s="267"/>
      <c r="E35" s="262"/>
      <c r="F35" s="262"/>
    </row>
    <row r="36" spans="1:6" ht="13.5" thickBot="1">
      <c r="A36" s="27" t="s">
        <v>465</v>
      </c>
      <c r="B36" s="92" t="s">
        <v>583</v>
      </c>
      <c r="C36" s="506"/>
      <c r="E36" s="262"/>
      <c r="F36" s="262"/>
    </row>
    <row r="37" spans="1:6" ht="13.5" thickBot="1">
      <c r="A37" s="266"/>
      <c r="B37" s="458">
        <v>2001</v>
      </c>
      <c r="C37" s="267">
        <v>1</v>
      </c>
      <c r="D37" s="529" t="s">
        <v>180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529" t="s">
        <v>180</v>
      </c>
      <c r="E38" s="262"/>
      <c r="F38" s="262"/>
    </row>
    <row r="39" spans="1:6" ht="13.5" thickBot="1">
      <c r="A39" s="266"/>
      <c r="B39" s="458">
        <v>2003</v>
      </c>
      <c r="C39" s="267">
        <v>1</v>
      </c>
      <c r="D39" s="529" t="s">
        <v>180</v>
      </c>
      <c r="E39" s="262"/>
      <c r="F39" s="262"/>
    </row>
    <row r="40" spans="1:6" ht="13.5" thickBot="1">
      <c r="A40" s="266"/>
      <c r="B40" s="458">
        <v>2004</v>
      </c>
      <c r="C40" s="267">
        <v>1</v>
      </c>
      <c r="D40" s="529"/>
      <c r="E40" s="262"/>
      <c r="F40" s="262"/>
    </row>
    <row r="41" spans="1:6" ht="13.5" thickBot="1">
      <c r="A41" s="266"/>
      <c r="B41" s="458">
        <v>2005</v>
      </c>
      <c r="C41" s="267">
        <v>1</v>
      </c>
      <c r="D41" s="529"/>
      <c r="E41" s="262"/>
      <c r="F41" s="262"/>
    </row>
    <row r="42" spans="1:6" ht="13.5" thickBot="1">
      <c r="A42" s="266"/>
      <c r="B42" s="262"/>
      <c r="C42" s="266"/>
      <c r="D42" s="267"/>
      <c r="E42" s="262"/>
      <c r="F42" s="262"/>
    </row>
    <row r="43" spans="1:6" ht="13.5" thickBot="1">
      <c r="A43" s="267" t="s">
        <v>466</v>
      </c>
      <c r="B43" s="265" t="s">
        <v>604</v>
      </c>
      <c r="C43" s="267">
        <v>1</v>
      </c>
      <c r="D43" s="529" t="s">
        <v>637</v>
      </c>
      <c r="E43" s="262"/>
      <c r="F43" s="262"/>
    </row>
    <row r="44" spans="1:6" ht="13.5" thickBot="1">
      <c r="A44" s="267"/>
      <c r="B44" s="265"/>
      <c r="C44" s="507"/>
      <c r="D44" s="530"/>
      <c r="E44" s="268"/>
      <c r="F44" s="262"/>
    </row>
    <row r="45" spans="1:6" ht="13.5" thickBot="1">
      <c r="A45" s="267" t="s">
        <v>467</v>
      </c>
      <c r="B45" s="265" t="s">
        <v>605</v>
      </c>
      <c r="C45" s="267">
        <v>1</v>
      </c>
      <c r="D45" s="529" t="s">
        <v>637</v>
      </c>
      <c r="E45" s="262"/>
      <c r="F45" s="262"/>
    </row>
    <row r="46" spans="1:6" ht="12.75">
      <c r="A46" s="266"/>
      <c r="B46" s="262"/>
      <c r="C46" s="262"/>
      <c r="D46" s="267"/>
      <c r="E46" s="262"/>
      <c r="F46" s="262"/>
    </row>
    <row r="47" spans="1:6" ht="12.75">
      <c r="A47" s="266"/>
      <c r="B47" s="497" t="s">
        <v>607</v>
      </c>
      <c r="C47" s="262"/>
      <c r="D47" s="267"/>
      <c r="E47" s="262"/>
      <c r="F47" s="262"/>
    </row>
    <row r="48" spans="1:6" ht="12.75">
      <c r="A48" s="266"/>
      <c r="B48" s="497" t="s">
        <v>608</v>
      </c>
      <c r="C48" s="262"/>
      <c r="D48" s="267"/>
      <c r="E48" s="262"/>
      <c r="F48" s="262"/>
    </row>
    <row r="49" spans="1:6" ht="12.75">
      <c r="A49" s="266"/>
      <c r="B49" s="262"/>
      <c r="C49" s="262"/>
      <c r="D49" s="267"/>
      <c r="E49" s="262"/>
      <c r="F49" s="262"/>
    </row>
    <row r="50" spans="1:6" ht="12.75">
      <c r="A50" s="262"/>
      <c r="B50" s="262"/>
      <c r="C50" s="262"/>
      <c r="D50" s="267"/>
      <c r="E50" s="262"/>
      <c r="F50" s="262"/>
    </row>
    <row r="51" spans="1:6" ht="12.75">
      <c r="A51" s="262"/>
      <c r="B51" s="262"/>
      <c r="C51" s="262"/>
      <c r="D51" s="267"/>
      <c r="E51" s="262"/>
      <c r="F51" s="262"/>
    </row>
    <row r="52" spans="1:6" ht="12.75">
      <c r="A52" s="262"/>
      <c r="B52" s="262"/>
      <c r="C52" s="262"/>
      <c r="D52" s="267"/>
      <c r="E52" s="262"/>
      <c r="F52" s="262"/>
    </row>
    <row r="53" spans="1:6" ht="12.75">
      <c r="A53" s="262"/>
      <c r="B53" s="262"/>
      <c r="C53" s="262"/>
      <c r="D53" s="267"/>
      <c r="E53" s="262"/>
      <c r="F53" s="262"/>
    </row>
    <row r="54" spans="1:6" ht="12.75">
      <c r="A54" s="262"/>
      <c r="B54" s="262"/>
      <c r="C54" s="262"/>
      <c r="D54" s="267"/>
      <c r="E54" s="262"/>
      <c r="F54" s="262"/>
    </row>
    <row r="55" spans="1:6" ht="12.75">
      <c r="A55" s="262"/>
      <c r="B55" s="262"/>
      <c r="C55" s="262"/>
      <c r="D55" s="267"/>
      <c r="E55" s="262"/>
      <c r="F55" s="262"/>
    </row>
    <row r="56" spans="1:6" ht="12.75">
      <c r="A56" s="262"/>
      <c r="B56" s="262"/>
      <c r="C56" s="262"/>
      <c r="D56" s="267"/>
      <c r="E56" s="262"/>
      <c r="F56" s="262"/>
    </row>
    <row r="57" spans="1:6" ht="12.75">
      <c r="A57" s="262"/>
      <c r="B57" s="262"/>
      <c r="C57" s="262"/>
      <c r="D57" s="267"/>
      <c r="E57" s="262"/>
      <c r="F57" s="262"/>
    </row>
    <row r="58" spans="1:6" ht="12.75">
      <c r="A58" s="262"/>
      <c r="B58" s="262"/>
      <c r="C58" s="262"/>
      <c r="D58" s="267"/>
      <c r="E58" s="262"/>
      <c r="F58" s="262"/>
    </row>
    <row r="59" spans="1:6" ht="12.75">
      <c r="A59" s="262"/>
      <c r="B59" s="262"/>
      <c r="C59" s="262"/>
      <c r="D59" s="267"/>
      <c r="E59" s="262"/>
      <c r="F59" s="262"/>
    </row>
    <row r="60" spans="1:6" ht="12.75">
      <c r="A60" s="262"/>
      <c r="B60" s="262"/>
      <c r="C60" s="262"/>
      <c r="D60" s="267"/>
      <c r="E60" s="262"/>
      <c r="F60" s="262"/>
    </row>
    <row r="61" spans="1:6" ht="12.75">
      <c r="A61" s="262"/>
      <c r="B61" s="262"/>
      <c r="C61" s="262"/>
      <c r="D61" s="267"/>
      <c r="E61" s="262"/>
      <c r="F61" s="262"/>
    </row>
    <row r="62" spans="1:6" ht="12.75">
      <c r="A62" s="262"/>
      <c r="B62" s="262"/>
      <c r="C62" s="262"/>
      <c r="D62" s="267"/>
      <c r="E62" s="262"/>
      <c r="F62" s="262"/>
    </row>
    <row r="63" spans="1:6" ht="12.75">
      <c r="A63" s="262"/>
      <c r="B63" s="262"/>
      <c r="C63" s="262"/>
      <c r="D63" s="267"/>
      <c r="E63" s="262"/>
      <c r="F63" s="262"/>
    </row>
    <row r="64" spans="1:6" ht="12.75">
      <c r="A64" s="262"/>
      <c r="B64" s="262"/>
      <c r="C64" s="262"/>
      <c r="D64" s="267"/>
      <c r="E64" s="262"/>
      <c r="F64" s="262"/>
    </row>
    <row r="65" spans="1:6" ht="12.75">
      <c r="A65" s="262"/>
      <c r="B65" s="262"/>
      <c r="C65" s="262"/>
      <c r="D65" s="267"/>
      <c r="E65" s="262"/>
      <c r="F65" s="262"/>
    </row>
    <row r="66" spans="1:6" ht="12.75">
      <c r="A66" s="262"/>
      <c r="B66" s="262"/>
      <c r="C66" s="262"/>
      <c r="D66" s="267"/>
      <c r="E66" s="262"/>
      <c r="F66" s="262"/>
    </row>
    <row r="67" spans="1:6" ht="12.75">
      <c r="A67" s="262"/>
      <c r="B67" s="262"/>
      <c r="C67" s="262"/>
      <c r="D67" s="267"/>
      <c r="E67" s="262"/>
      <c r="F67" s="262"/>
    </row>
    <row r="68" spans="1:6" ht="12.75">
      <c r="A68" s="262"/>
      <c r="B68" s="262"/>
      <c r="C68" s="262"/>
      <c r="D68" s="267"/>
      <c r="E68" s="262"/>
      <c r="F68" s="262"/>
    </row>
    <row r="69" spans="1:6" ht="12.75">
      <c r="A69" s="262"/>
      <c r="B69" s="262"/>
      <c r="C69" s="262"/>
      <c r="D69" s="267"/>
      <c r="E69" s="262"/>
      <c r="F69" s="262"/>
    </row>
    <row r="70" spans="1:6" ht="12.75">
      <c r="A70" s="262"/>
      <c r="B70" s="262"/>
      <c r="C70" s="262"/>
      <c r="D70" s="267"/>
      <c r="E70" s="262"/>
      <c r="F70" s="262"/>
    </row>
    <row r="71" spans="1:6" ht="12.75">
      <c r="A71" s="262"/>
      <c r="B71" s="262"/>
      <c r="C71" s="262"/>
      <c r="D71" s="267"/>
      <c r="E71" s="262"/>
      <c r="F71" s="262"/>
    </row>
    <row r="72" spans="1:6" ht="12.75">
      <c r="A72" s="262"/>
      <c r="B72" s="262"/>
      <c r="C72" s="262"/>
      <c r="D72" s="267"/>
      <c r="E72" s="262"/>
      <c r="F72" s="262"/>
    </row>
    <row r="73" spans="1:6" ht="12.75">
      <c r="A73" s="262"/>
      <c r="B73" s="262"/>
      <c r="C73" s="262"/>
      <c r="D73" s="267"/>
      <c r="E73" s="262"/>
      <c r="F73" s="262"/>
    </row>
    <row r="74" spans="1:6" ht="12.75">
      <c r="A74" s="262"/>
      <c r="B74" s="262"/>
      <c r="C74" s="262"/>
      <c r="D74" s="267"/>
      <c r="E74" s="262"/>
      <c r="F74" s="262"/>
    </row>
    <row r="75" spans="1:6" ht="12.75">
      <c r="A75" s="262"/>
      <c r="B75" s="262"/>
      <c r="C75" s="262"/>
      <c r="D75" s="267"/>
      <c r="E75" s="262"/>
      <c r="F75" s="262"/>
    </row>
    <row r="76" spans="1:6" ht="12.75">
      <c r="A76" s="262"/>
      <c r="B76" s="262"/>
      <c r="C76" s="262"/>
      <c r="D76" s="267"/>
      <c r="E76" s="262"/>
      <c r="F76" s="262"/>
    </row>
    <row r="77" spans="1:6" ht="12.75">
      <c r="A77" s="262"/>
      <c r="B77" s="262"/>
      <c r="C77" s="262"/>
      <c r="D77" s="267"/>
      <c r="E77" s="262"/>
      <c r="F77" s="262"/>
    </row>
    <row r="78" spans="1:6" ht="12.75">
      <c r="A78" s="262"/>
      <c r="B78" s="262"/>
      <c r="C78" s="262"/>
      <c r="D78" s="267"/>
      <c r="E78" s="262"/>
      <c r="F78" s="262"/>
    </row>
    <row r="79" spans="1:6" ht="12.75">
      <c r="A79" s="262"/>
      <c r="B79" s="262"/>
      <c r="C79" s="262"/>
      <c r="D79" s="267"/>
      <c r="E79" s="262"/>
      <c r="F79" s="262"/>
    </row>
    <row r="80" spans="1:6" ht="12.75">
      <c r="A80" s="262"/>
      <c r="B80" s="262"/>
      <c r="C80" s="262"/>
      <c r="D80" s="267"/>
      <c r="E80" s="262"/>
      <c r="F80" s="262"/>
    </row>
    <row r="81" spans="1:6" ht="12.75">
      <c r="A81" s="262"/>
      <c r="B81" s="262"/>
      <c r="C81" s="262"/>
      <c r="D81" s="267"/>
      <c r="E81" s="262"/>
      <c r="F81" s="262"/>
    </row>
    <row r="82" spans="1:6" ht="12.75">
      <c r="A82" s="262"/>
      <c r="B82" s="262"/>
      <c r="C82" s="262"/>
      <c r="D82" s="267"/>
      <c r="E82" s="262"/>
      <c r="F82" s="262"/>
    </row>
    <row r="83" spans="1:6" ht="12.75">
      <c r="A83" s="262"/>
      <c r="B83" s="262"/>
      <c r="C83" s="262"/>
      <c r="D83" s="267"/>
      <c r="E83" s="262"/>
      <c r="F83" s="262"/>
    </row>
    <row r="84" spans="1:6" ht="12.75">
      <c r="A84" s="262"/>
      <c r="B84" s="262"/>
      <c r="C84" s="262"/>
      <c r="D84" s="267"/>
      <c r="E84" s="262"/>
      <c r="F84" s="262"/>
    </row>
    <row r="85" spans="1:6" ht="12.75">
      <c r="A85" s="262"/>
      <c r="B85" s="262"/>
      <c r="C85" s="262"/>
      <c r="D85" s="267"/>
      <c r="E85" s="262"/>
      <c r="F85" s="262"/>
    </row>
    <row r="86" spans="1:6" ht="12.75">
      <c r="A86" s="262"/>
      <c r="B86" s="262"/>
      <c r="C86" s="262"/>
      <c r="D86" s="267"/>
      <c r="E86" s="262"/>
      <c r="F86" s="262"/>
    </row>
    <row r="87" spans="1:6" ht="12.75">
      <c r="A87" s="262"/>
      <c r="B87" s="262"/>
      <c r="C87" s="262"/>
      <c r="D87" s="267"/>
      <c r="E87" s="262"/>
      <c r="F87" s="262"/>
    </row>
    <row r="88" spans="1:6" ht="12.75">
      <c r="A88" s="262"/>
      <c r="B88" s="262"/>
      <c r="C88" s="262"/>
      <c r="D88" s="267"/>
      <c r="E88" s="262"/>
      <c r="F88" s="262"/>
    </row>
    <row r="89" spans="1:6" ht="12.75">
      <c r="A89" s="262"/>
      <c r="B89" s="262"/>
      <c r="C89" s="262"/>
      <c r="D89" s="267"/>
      <c r="E89" s="262"/>
      <c r="F89" s="262"/>
    </row>
    <row r="90" spans="1:6" ht="12.75">
      <c r="A90" s="262"/>
      <c r="B90" s="262"/>
      <c r="C90" s="262"/>
      <c r="D90" s="267"/>
      <c r="E90" s="262"/>
      <c r="F90" s="262"/>
    </row>
    <row r="91" spans="1:6" ht="12.75">
      <c r="A91" s="262"/>
      <c r="B91" s="262"/>
      <c r="C91" s="262"/>
      <c r="D91" s="267"/>
      <c r="E91" s="262"/>
      <c r="F91" s="262"/>
    </row>
    <row r="92" spans="1:6" ht="12.75">
      <c r="A92" s="262"/>
      <c r="B92" s="262"/>
      <c r="C92" s="262"/>
      <c r="D92" s="267"/>
      <c r="E92" s="262"/>
      <c r="F92" s="262"/>
    </row>
    <row r="93" spans="1:6" ht="12.75">
      <c r="A93" s="262"/>
      <c r="B93" s="262"/>
      <c r="C93" s="262"/>
      <c r="D93" s="267"/>
      <c r="E93" s="262"/>
      <c r="F93" s="262"/>
    </row>
    <row r="94" spans="1:6" ht="12.75">
      <c r="A94" s="262"/>
      <c r="B94" s="262"/>
      <c r="C94" s="262"/>
      <c r="D94" s="267"/>
      <c r="E94" s="262"/>
      <c r="F94" s="262"/>
    </row>
    <row r="95" spans="1:6" ht="12.75">
      <c r="A95" s="262"/>
      <c r="B95" s="262"/>
      <c r="C95" s="262"/>
      <c r="D95" s="267"/>
      <c r="E95" s="262"/>
      <c r="F95" s="262"/>
    </row>
    <row r="96" spans="1:6" ht="12.75">
      <c r="A96" s="262"/>
      <c r="B96" s="262"/>
      <c r="C96" s="262"/>
      <c r="D96" s="267"/>
      <c r="E96" s="262"/>
      <c r="F96" s="262"/>
    </row>
    <row r="97" spans="1:6" ht="12.75">
      <c r="A97" s="262"/>
      <c r="B97" s="262"/>
      <c r="C97" s="262"/>
      <c r="D97" s="267"/>
      <c r="E97" s="262"/>
      <c r="F97" s="262"/>
    </row>
    <row r="98" spans="1:6" ht="12.75">
      <c r="A98" s="262"/>
      <c r="B98" s="262"/>
      <c r="C98" s="262"/>
      <c r="D98" s="267"/>
      <c r="E98" s="262"/>
      <c r="F98" s="262"/>
    </row>
    <row r="99" spans="1:6" ht="12.75">
      <c r="A99" s="262"/>
      <c r="B99" s="262"/>
      <c r="C99" s="262"/>
      <c r="D99" s="267"/>
      <c r="E99" s="262"/>
      <c r="F99" s="262"/>
    </row>
    <row r="100" spans="1:6" ht="12.75">
      <c r="A100" s="262"/>
      <c r="B100" s="262"/>
      <c r="C100" s="262"/>
      <c r="D100" s="267"/>
      <c r="E100" s="262"/>
      <c r="F100" s="262"/>
    </row>
    <row r="101" spans="1:6" ht="12.75">
      <c r="A101" s="262"/>
      <c r="B101" s="262"/>
      <c r="C101" s="262"/>
      <c r="D101" s="267"/>
      <c r="E101" s="262"/>
      <c r="F101" s="262"/>
    </row>
    <row r="102" spans="1:6" ht="12.75">
      <c r="A102" s="262"/>
      <c r="B102" s="262"/>
      <c r="C102" s="262"/>
      <c r="D102" s="267"/>
      <c r="E102" s="262"/>
      <c r="F102" s="262"/>
    </row>
    <row r="103" spans="1:6" ht="12.75">
      <c r="A103" s="262"/>
      <c r="B103" s="262"/>
      <c r="C103" s="262"/>
      <c r="D103" s="267"/>
      <c r="E103" s="262"/>
      <c r="F103" s="262"/>
    </row>
    <row r="104" spans="1:6" ht="12.75">
      <c r="A104" s="262"/>
      <c r="B104" s="262"/>
      <c r="C104" s="262"/>
      <c r="D104" s="267"/>
      <c r="E104" s="262"/>
      <c r="F104" s="262"/>
    </row>
    <row r="105" spans="1:6" ht="12.75">
      <c r="A105" s="262"/>
      <c r="B105" s="262"/>
      <c r="C105" s="262"/>
      <c r="D105" s="267"/>
      <c r="E105" s="262"/>
      <c r="F105" s="262"/>
    </row>
    <row r="106" spans="1:6" ht="12.75">
      <c r="A106" s="262"/>
      <c r="B106" s="262"/>
      <c r="C106" s="262"/>
      <c r="D106" s="267"/>
      <c r="E106" s="262"/>
      <c r="F106" s="262"/>
    </row>
    <row r="107" spans="1:6" ht="12.75">
      <c r="A107" s="262"/>
      <c r="B107" s="262"/>
      <c r="C107" s="262"/>
      <c r="D107" s="267"/>
      <c r="E107" s="262"/>
      <c r="F107" s="262"/>
    </row>
    <row r="108" spans="1:6" ht="12.75">
      <c r="A108" s="262"/>
      <c r="B108" s="262"/>
      <c r="C108" s="262"/>
      <c r="D108" s="267"/>
      <c r="E108" s="262"/>
      <c r="F108" s="262"/>
    </row>
    <row r="109" spans="1:6" ht="12.75">
      <c r="A109" s="262"/>
      <c r="B109" s="262"/>
      <c r="C109" s="262"/>
      <c r="D109" s="267"/>
      <c r="E109" s="262"/>
      <c r="F109" s="262"/>
    </row>
    <row r="110" spans="1:6" ht="12.75">
      <c r="A110" s="262"/>
      <c r="B110" s="262"/>
      <c r="C110" s="262"/>
      <c r="D110" s="267"/>
      <c r="E110" s="262"/>
      <c r="F110" s="262"/>
    </row>
    <row r="111" spans="1:6" ht="12.75">
      <c r="A111" s="262"/>
      <c r="B111" s="262"/>
      <c r="C111" s="262"/>
      <c r="D111" s="267"/>
      <c r="E111" s="262"/>
      <c r="F111" s="262"/>
    </row>
    <row r="112" spans="1:6" ht="12.75">
      <c r="A112" s="262"/>
      <c r="B112" s="262"/>
      <c r="C112" s="262"/>
      <c r="D112" s="267"/>
      <c r="E112" s="262"/>
      <c r="F112" s="262"/>
    </row>
    <row r="113" spans="1:6" ht="12.75">
      <c r="A113" s="262"/>
      <c r="B113" s="262"/>
      <c r="C113" s="262"/>
      <c r="D113" s="267"/>
      <c r="E113" s="262"/>
      <c r="F113" s="262"/>
    </row>
    <row r="114" spans="1:6" ht="12.75">
      <c r="A114" s="262"/>
      <c r="B114" s="262"/>
      <c r="C114" s="262"/>
      <c r="D114" s="267"/>
      <c r="E114" s="262"/>
      <c r="F114" s="262"/>
    </row>
    <row r="115" spans="1:6" ht="12.75">
      <c r="A115" s="262"/>
      <c r="B115" s="262"/>
      <c r="C115" s="262"/>
      <c r="D115" s="267"/>
      <c r="E115" s="262"/>
      <c r="F115" s="262"/>
    </row>
    <row r="116" spans="1:6" ht="12.75">
      <c r="A116" s="262"/>
      <c r="B116" s="262"/>
      <c r="C116" s="262"/>
      <c r="D116" s="267"/>
      <c r="E116" s="262"/>
      <c r="F116" s="262"/>
    </row>
    <row r="117" spans="1:6" ht="12.75">
      <c r="A117" s="262"/>
      <c r="B117" s="262"/>
      <c r="C117" s="262"/>
      <c r="D117" s="267"/>
      <c r="E117" s="262"/>
      <c r="F117" s="262"/>
    </row>
    <row r="118" spans="1:6" ht="12.75">
      <c r="A118" s="262"/>
      <c r="B118" s="262"/>
      <c r="C118" s="262"/>
      <c r="D118" s="267"/>
      <c r="E118" s="262"/>
      <c r="F118" s="262"/>
    </row>
    <row r="119" spans="1:6" ht="12.75">
      <c r="A119" s="262"/>
      <c r="B119" s="262"/>
      <c r="C119" s="262"/>
      <c r="D119" s="267"/>
      <c r="E119" s="262"/>
      <c r="F119" s="262"/>
    </row>
    <row r="120" spans="1:6" ht="12.75">
      <c r="A120" s="262"/>
      <c r="B120" s="262"/>
      <c r="C120" s="262"/>
      <c r="D120" s="267"/>
      <c r="E120" s="262"/>
      <c r="F120" s="262"/>
    </row>
    <row r="121" spans="1:6" ht="12.75">
      <c r="A121" s="262"/>
      <c r="B121" s="262"/>
      <c r="C121" s="262"/>
      <c r="D121" s="267"/>
      <c r="E121" s="262"/>
      <c r="F121" s="262"/>
    </row>
    <row r="122" spans="1:6" ht="12.75">
      <c r="A122" s="262"/>
      <c r="B122" s="262"/>
      <c r="C122" s="262"/>
      <c r="D122" s="267"/>
      <c r="E122" s="262"/>
      <c r="F122" s="262"/>
    </row>
    <row r="123" spans="1:6" ht="12.75">
      <c r="A123" s="262"/>
      <c r="B123" s="262"/>
      <c r="C123" s="262"/>
      <c r="D123" s="267"/>
      <c r="E123" s="262"/>
      <c r="F123" s="262"/>
    </row>
    <row r="124" spans="1:6" ht="12.75">
      <c r="A124" s="262"/>
      <c r="B124" s="262"/>
      <c r="C124" s="262"/>
      <c r="D124" s="267"/>
      <c r="E124" s="262"/>
      <c r="F124" s="262"/>
    </row>
    <row r="125" spans="1:6" ht="12.75">
      <c r="A125" s="262"/>
      <c r="B125" s="262"/>
      <c r="C125" s="262"/>
      <c r="D125" s="267"/>
      <c r="E125" s="262"/>
      <c r="F125" s="262"/>
    </row>
    <row r="126" spans="1:6" ht="12.75">
      <c r="A126" s="262"/>
      <c r="B126" s="262"/>
      <c r="C126" s="262"/>
      <c r="D126" s="267"/>
      <c r="E126" s="262"/>
      <c r="F126" s="262"/>
    </row>
    <row r="127" spans="1:6" ht="12.75">
      <c r="A127" s="262"/>
      <c r="B127" s="262"/>
      <c r="C127" s="262"/>
      <c r="D127" s="267"/>
      <c r="E127" s="262"/>
      <c r="F127" s="262"/>
    </row>
    <row r="128" spans="1:6" ht="12.75">
      <c r="A128" s="262"/>
      <c r="B128" s="262"/>
      <c r="C128" s="262"/>
      <c r="D128" s="267"/>
      <c r="E128" s="262"/>
      <c r="F128" s="262"/>
    </row>
    <row r="129" spans="1:6" ht="12.75">
      <c r="A129" s="262"/>
      <c r="B129" s="262"/>
      <c r="C129" s="262"/>
      <c r="D129" s="267"/>
      <c r="E129" s="262"/>
      <c r="F129" s="262"/>
    </row>
    <row r="130" spans="1:6" ht="12.75">
      <c r="A130" s="262"/>
      <c r="B130" s="262"/>
      <c r="C130" s="262"/>
      <c r="D130" s="267"/>
      <c r="E130" s="262"/>
      <c r="F130" s="262"/>
    </row>
    <row r="131" spans="1:6" ht="12.75">
      <c r="A131" s="262"/>
      <c r="B131" s="262"/>
      <c r="C131" s="262"/>
      <c r="D131" s="267"/>
      <c r="E131" s="262"/>
      <c r="F131" s="262"/>
    </row>
    <row r="132" spans="1:6" ht="12.75">
      <c r="A132" s="262"/>
      <c r="B132" s="262"/>
      <c r="C132" s="262"/>
      <c r="D132" s="267"/>
      <c r="E132" s="262"/>
      <c r="F132" s="262"/>
    </row>
    <row r="133" spans="1:6" ht="12.75">
      <c r="A133" s="262"/>
      <c r="B133" s="262"/>
      <c r="C133" s="262"/>
      <c r="D133" s="267"/>
      <c r="E133" s="262"/>
      <c r="F133" s="262"/>
    </row>
    <row r="134" spans="1:6" ht="12.75">
      <c r="A134" s="262"/>
      <c r="B134" s="262"/>
      <c r="C134" s="262"/>
      <c r="D134" s="267"/>
      <c r="E134" s="262"/>
      <c r="F134" s="262"/>
    </row>
    <row r="135" spans="1:6" ht="12.75">
      <c r="A135" s="262"/>
      <c r="B135" s="262"/>
      <c r="C135" s="262"/>
      <c r="D135" s="267"/>
      <c r="E135" s="262"/>
      <c r="F135" s="262"/>
    </row>
    <row r="136" spans="1:6" ht="12.75">
      <c r="A136" s="262"/>
      <c r="B136" s="262"/>
      <c r="C136" s="262"/>
      <c r="D136" s="267"/>
      <c r="E136" s="262"/>
      <c r="F136" s="262"/>
    </row>
    <row r="137" spans="1:6" ht="12.75">
      <c r="A137" s="262"/>
      <c r="B137" s="262"/>
      <c r="C137" s="262"/>
      <c r="D137" s="267"/>
      <c r="E137" s="262"/>
      <c r="F137" s="262"/>
    </row>
    <row r="138" spans="1:6" ht="12.75">
      <c r="A138" s="262"/>
      <c r="B138" s="262"/>
      <c r="C138" s="262"/>
      <c r="D138" s="267"/>
      <c r="E138" s="262"/>
      <c r="F138" s="262"/>
    </row>
    <row r="139" spans="1:6" ht="12.75">
      <c r="A139" s="262"/>
      <c r="B139" s="262"/>
      <c r="C139" s="262"/>
      <c r="D139" s="267"/>
      <c r="E139" s="262"/>
      <c r="F139" s="262"/>
    </row>
    <row r="140" spans="1:6" ht="12.75">
      <c r="A140" s="262"/>
      <c r="B140" s="262"/>
      <c r="C140" s="262"/>
      <c r="D140" s="267"/>
      <c r="E140" s="262"/>
      <c r="F140" s="262"/>
    </row>
    <row r="141" spans="1:6" ht="12.75">
      <c r="A141" s="262"/>
      <c r="B141" s="262"/>
      <c r="C141" s="262"/>
      <c r="D141" s="267"/>
      <c r="E141" s="262"/>
      <c r="F141" s="262"/>
    </row>
    <row r="142" spans="1:6" ht="12.75">
      <c r="A142" s="262"/>
      <c r="B142" s="262"/>
      <c r="C142" s="262"/>
      <c r="D142" s="267"/>
      <c r="E142" s="262"/>
      <c r="F142" s="262"/>
    </row>
    <row r="143" spans="1:6" ht="12.75">
      <c r="A143" s="262"/>
      <c r="B143" s="262"/>
      <c r="C143" s="262"/>
      <c r="D143" s="267"/>
      <c r="E143" s="262"/>
      <c r="F143" s="262"/>
    </row>
    <row r="144" spans="1:6" ht="12.75">
      <c r="A144" s="262"/>
      <c r="B144" s="262"/>
      <c r="C144" s="262"/>
      <c r="D144" s="267"/>
      <c r="E144" s="262"/>
      <c r="F144" s="262"/>
    </row>
    <row r="145" spans="1:6" ht="12.75">
      <c r="A145" s="262"/>
      <c r="B145" s="262"/>
      <c r="C145" s="262"/>
      <c r="D145" s="267"/>
      <c r="E145" s="262"/>
      <c r="F145" s="262"/>
    </row>
    <row r="146" spans="1:6" ht="12.75">
      <c r="A146" s="262"/>
      <c r="B146" s="262"/>
      <c r="C146" s="262"/>
      <c r="D146" s="267"/>
      <c r="E146" s="262"/>
      <c r="F146" s="262"/>
    </row>
    <row r="147" spans="1:6" ht="12.75">
      <c r="A147" s="262"/>
      <c r="B147" s="262"/>
      <c r="C147" s="262"/>
      <c r="D147" s="267"/>
      <c r="E147" s="262"/>
      <c r="F147" s="262"/>
    </row>
    <row r="148" spans="1:6" ht="12.75">
      <c r="A148" s="262"/>
      <c r="B148" s="262"/>
      <c r="C148" s="262"/>
      <c r="D148" s="267"/>
      <c r="E148" s="262"/>
      <c r="F148" s="262"/>
    </row>
    <row r="149" spans="1:6" ht="12.75">
      <c r="A149" s="262"/>
      <c r="B149" s="262"/>
      <c r="C149" s="262"/>
      <c r="D149" s="267"/>
      <c r="E149" s="262"/>
      <c r="F149" s="262"/>
    </row>
    <row r="150" spans="1:6" ht="12.75">
      <c r="A150" s="262"/>
      <c r="B150" s="262"/>
      <c r="C150" s="262"/>
      <c r="D150" s="267"/>
      <c r="E150" s="262"/>
      <c r="F150" s="262"/>
    </row>
    <row r="151" spans="1:6" ht="12.75">
      <c r="A151" s="262"/>
      <c r="B151" s="262"/>
      <c r="C151" s="262"/>
      <c r="D151" s="267"/>
      <c r="E151" s="262"/>
      <c r="F151" s="262"/>
    </row>
    <row r="152" spans="1:6" ht="12.75">
      <c r="A152" s="262"/>
      <c r="B152" s="262"/>
      <c r="C152" s="262"/>
      <c r="D152" s="267"/>
      <c r="E152" s="262"/>
      <c r="F152" s="262"/>
    </row>
    <row r="153" spans="1:6" ht="12.75">
      <c r="A153" s="262"/>
      <c r="B153" s="262"/>
      <c r="C153" s="262"/>
      <c r="D153" s="267"/>
      <c r="E153" s="262"/>
      <c r="F153" s="262"/>
    </row>
    <row r="154" spans="1:6" ht="12.75">
      <c r="A154" s="262"/>
      <c r="B154" s="262"/>
      <c r="C154" s="262"/>
      <c r="D154" s="267"/>
      <c r="E154" s="262"/>
      <c r="F154" s="262"/>
    </row>
    <row r="155" spans="1:6" ht="12.75">
      <c r="A155" s="262"/>
      <c r="B155" s="262"/>
      <c r="C155" s="262"/>
      <c r="D155" s="267"/>
      <c r="E155" s="262"/>
      <c r="F155" s="262"/>
    </row>
    <row r="156" spans="1:6" ht="12.75">
      <c r="A156" s="262"/>
      <c r="B156" s="262"/>
      <c r="C156" s="262"/>
      <c r="D156" s="267"/>
      <c r="E156" s="262"/>
      <c r="F156" s="262"/>
    </row>
    <row r="157" spans="1:6" ht="12.75">
      <c r="A157" s="262"/>
      <c r="B157" s="262"/>
      <c r="C157" s="262"/>
      <c r="D157" s="267"/>
      <c r="E157" s="262"/>
      <c r="F157" s="262"/>
    </row>
    <row r="158" spans="1:6" ht="12.75">
      <c r="A158" s="262"/>
      <c r="B158" s="262"/>
      <c r="C158" s="262"/>
      <c r="D158" s="267"/>
      <c r="E158" s="262"/>
      <c r="F158" s="262"/>
    </row>
    <row r="159" spans="1:6" ht="12.75">
      <c r="A159" s="262"/>
      <c r="B159" s="262"/>
      <c r="C159" s="262"/>
      <c r="D159" s="267"/>
      <c r="E159" s="262"/>
      <c r="F159" s="262"/>
    </row>
    <row r="160" spans="1:6" ht="12.75">
      <c r="A160" s="262"/>
      <c r="B160" s="262"/>
      <c r="C160" s="262"/>
      <c r="D160" s="267"/>
      <c r="E160" s="262"/>
      <c r="F160" s="262"/>
    </row>
    <row r="161" spans="1:6" ht="12.75">
      <c r="A161" s="262"/>
      <c r="B161" s="262"/>
      <c r="C161" s="262"/>
      <c r="D161" s="267"/>
      <c r="E161" s="262"/>
      <c r="F161" s="262"/>
    </row>
    <row r="162" spans="1:6" ht="12.75">
      <c r="A162" s="262"/>
      <c r="B162" s="262"/>
      <c r="C162" s="262"/>
      <c r="D162" s="267"/>
      <c r="E162" s="262"/>
      <c r="F162" s="262"/>
    </row>
    <row r="163" spans="1:6" ht="12.75">
      <c r="A163" s="262"/>
      <c r="B163" s="262"/>
      <c r="C163" s="262"/>
      <c r="D163" s="267"/>
      <c r="E163" s="262"/>
      <c r="F163" s="262"/>
    </row>
    <row r="164" spans="1:6" ht="12.75">
      <c r="A164" s="262"/>
      <c r="B164" s="262"/>
      <c r="C164" s="262"/>
      <c r="D164" s="267"/>
      <c r="E164" s="262"/>
      <c r="F164" s="262"/>
    </row>
    <row r="165" spans="1:6" ht="12.75">
      <c r="A165" s="262"/>
      <c r="B165" s="262"/>
      <c r="C165" s="262"/>
      <c r="D165" s="267"/>
      <c r="E165" s="262"/>
      <c r="F165" s="262"/>
    </row>
    <row r="166" spans="1:6" ht="12.75">
      <c r="A166" s="262"/>
      <c r="B166" s="262"/>
      <c r="C166" s="262"/>
      <c r="D166" s="267"/>
      <c r="E166" s="262"/>
      <c r="F166" s="262"/>
    </row>
    <row r="167" spans="1:6" ht="12.75">
      <c r="A167" s="262"/>
      <c r="B167" s="262"/>
      <c r="C167" s="262"/>
      <c r="D167" s="267"/>
      <c r="E167" s="262"/>
      <c r="F167" s="262"/>
    </row>
    <row r="168" spans="1:6" ht="12.75">
      <c r="A168" s="262"/>
      <c r="B168" s="262"/>
      <c r="C168" s="262"/>
      <c r="D168" s="267"/>
      <c r="E168" s="262"/>
      <c r="F168" s="262"/>
    </row>
    <row r="169" spans="1:6" ht="12.75">
      <c r="A169" s="262"/>
      <c r="B169" s="262"/>
      <c r="C169" s="262"/>
      <c r="D169" s="267"/>
      <c r="E169" s="262"/>
      <c r="F169" s="262"/>
    </row>
    <row r="170" spans="1:6" ht="12.75">
      <c r="A170" s="262"/>
      <c r="B170" s="262"/>
      <c r="C170" s="262"/>
      <c r="D170" s="267"/>
      <c r="E170" s="262"/>
      <c r="F170" s="262"/>
    </row>
    <row r="171" spans="1:6" ht="12.75">
      <c r="A171" s="262"/>
      <c r="B171" s="262"/>
      <c r="C171" s="262"/>
      <c r="D171" s="267"/>
      <c r="E171" s="262"/>
      <c r="F171" s="262"/>
    </row>
    <row r="172" spans="1:6" ht="12.75">
      <c r="A172" s="262"/>
      <c r="B172" s="262"/>
      <c r="C172" s="262"/>
      <c r="D172" s="267"/>
      <c r="E172" s="262"/>
      <c r="F172" s="262"/>
    </row>
    <row r="173" spans="1:6" ht="12.75">
      <c r="A173" s="262"/>
      <c r="B173" s="262"/>
      <c r="C173" s="262"/>
      <c r="D173" s="267"/>
      <c r="E173" s="262"/>
      <c r="F173" s="262"/>
    </row>
    <row r="174" spans="1:6" ht="12.75">
      <c r="A174" s="262"/>
      <c r="B174" s="262"/>
      <c r="C174" s="262"/>
      <c r="D174" s="267"/>
      <c r="E174" s="262"/>
      <c r="F174" s="262"/>
    </row>
    <row r="175" spans="1:6" ht="12.75">
      <c r="A175" s="262"/>
      <c r="B175" s="262"/>
      <c r="C175" s="262"/>
      <c r="D175" s="267"/>
      <c r="E175" s="262"/>
      <c r="F175" s="262"/>
    </row>
    <row r="176" spans="1:6" ht="12.75">
      <c r="A176" s="262"/>
      <c r="B176" s="262"/>
      <c r="C176" s="262"/>
      <c r="D176" s="267"/>
      <c r="E176" s="262"/>
      <c r="F176" s="262"/>
    </row>
    <row r="177" spans="1:6" ht="12.75">
      <c r="A177" s="262"/>
      <c r="B177" s="262"/>
      <c r="C177" s="262"/>
      <c r="D177" s="267"/>
      <c r="E177" s="262"/>
      <c r="F177" s="262"/>
    </row>
    <row r="178" spans="1:6" ht="12.75">
      <c r="A178" s="262"/>
      <c r="B178" s="262"/>
      <c r="C178" s="262"/>
      <c r="D178" s="267"/>
      <c r="E178" s="262"/>
      <c r="F178" s="262"/>
    </row>
    <row r="179" spans="1:6" ht="12.75">
      <c r="A179" s="262"/>
      <c r="B179" s="262"/>
      <c r="C179" s="262"/>
      <c r="D179" s="267"/>
      <c r="E179" s="262"/>
      <c r="F179" s="262"/>
    </row>
    <row r="180" spans="1:6" ht="12.75">
      <c r="A180" s="262"/>
      <c r="B180" s="262"/>
      <c r="C180" s="262"/>
      <c r="D180" s="267"/>
      <c r="E180" s="262"/>
      <c r="F180" s="262"/>
    </row>
    <row r="181" spans="1:6" ht="12.75">
      <c r="A181" s="262"/>
      <c r="B181" s="262"/>
      <c r="C181" s="262"/>
      <c r="D181" s="267"/>
      <c r="E181" s="262"/>
      <c r="F181" s="262"/>
    </row>
    <row r="182" spans="1:6" ht="12.75">
      <c r="A182" s="262"/>
      <c r="B182" s="262"/>
      <c r="C182" s="262"/>
      <c r="D182" s="267"/>
      <c r="E182" s="262"/>
      <c r="F182" s="262"/>
    </row>
    <row r="183" spans="1:6" ht="12.75">
      <c r="A183" s="262"/>
      <c r="B183" s="262"/>
      <c r="C183" s="262"/>
      <c r="D183" s="267"/>
      <c r="E183" s="262"/>
      <c r="F183" s="262"/>
    </row>
    <row r="184" spans="1:6" ht="12.75">
      <c r="A184" s="262"/>
      <c r="B184" s="262"/>
      <c r="C184" s="262"/>
      <c r="D184" s="267"/>
      <c r="E184" s="262"/>
      <c r="F184" s="262"/>
    </row>
    <row r="185" spans="1:6" ht="12.75">
      <c r="A185" s="262"/>
      <c r="B185" s="262"/>
      <c r="C185" s="262"/>
      <c r="D185" s="267"/>
      <c r="E185" s="262"/>
      <c r="F185" s="262"/>
    </row>
    <row r="186" spans="1:6" ht="12.75">
      <c r="A186" s="262"/>
      <c r="B186" s="262"/>
      <c r="C186" s="262"/>
      <c r="D186" s="267"/>
      <c r="E186" s="262"/>
      <c r="F186" s="262"/>
    </row>
    <row r="187" spans="1:6" ht="12.75">
      <c r="A187" s="262"/>
      <c r="B187" s="262"/>
      <c r="C187" s="262"/>
      <c r="D187" s="267"/>
      <c r="E187" s="262"/>
      <c r="F187" s="262"/>
    </row>
    <row r="188" spans="1:6" ht="12.75">
      <c r="A188" s="262"/>
      <c r="B188" s="262"/>
      <c r="C188" s="262"/>
      <c r="D188" s="267"/>
      <c r="E188" s="262"/>
      <c r="F188" s="262"/>
    </row>
    <row r="189" spans="1:6" ht="12.75">
      <c r="A189" s="262"/>
      <c r="B189" s="262"/>
      <c r="C189" s="262"/>
      <c r="D189" s="267"/>
      <c r="E189" s="262"/>
      <c r="F189" s="262"/>
    </row>
    <row r="190" spans="1:6" ht="12.75">
      <c r="A190" s="262"/>
      <c r="B190" s="262"/>
      <c r="C190" s="262"/>
      <c r="D190" s="267"/>
      <c r="E190" s="262"/>
      <c r="F190" s="262"/>
    </row>
    <row r="191" spans="1:6" ht="12.75">
      <c r="A191" s="262"/>
      <c r="B191" s="262"/>
      <c r="C191" s="262"/>
      <c r="D191" s="267"/>
      <c r="E191" s="262"/>
      <c r="F191" s="262"/>
    </row>
    <row r="192" spans="1:6" ht="12.75">
      <c r="A192" s="262"/>
      <c r="B192" s="262"/>
      <c r="C192" s="262"/>
      <c r="D192" s="267"/>
      <c r="E192" s="262"/>
      <c r="F192" s="262"/>
    </row>
    <row r="193" spans="1:6" ht="12.75">
      <c r="A193" s="262"/>
      <c r="B193" s="262"/>
      <c r="C193" s="262"/>
      <c r="D193" s="267"/>
      <c r="E193" s="262"/>
      <c r="F193" s="262"/>
    </row>
    <row r="194" spans="1:6" ht="12.75">
      <c r="A194" s="262"/>
      <c r="B194" s="262"/>
      <c r="C194" s="262"/>
      <c r="D194" s="267"/>
      <c r="E194" s="262"/>
      <c r="F194" s="262"/>
    </row>
    <row r="195" spans="1:6" ht="12.75">
      <c r="A195" s="262"/>
      <c r="B195" s="262"/>
      <c r="C195" s="262"/>
      <c r="D195" s="267"/>
      <c r="E195" s="262"/>
      <c r="F195" s="262"/>
    </row>
    <row r="196" spans="1:6" ht="12.75">
      <c r="A196" s="262"/>
      <c r="B196" s="262"/>
      <c r="C196" s="262"/>
      <c r="D196" s="267"/>
      <c r="E196" s="262"/>
      <c r="F196" s="262"/>
    </row>
    <row r="197" spans="1:6" ht="12.75">
      <c r="A197" s="262"/>
      <c r="B197" s="262"/>
      <c r="C197" s="262"/>
      <c r="D197" s="267"/>
      <c r="E197" s="262"/>
      <c r="F197" s="262"/>
    </row>
    <row r="198" spans="1:6" ht="12.75">
      <c r="A198" s="262"/>
      <c r="B198" s="262"/>
      <c r="C198" s="262"/>
      <c r="D198" s="267"/>
      <c r="E198" s="262"/>
      <c r="F198" s="262"/>
    </row>
    <row r="199" spans="1:6" ht="12.75">
      <c r="A199" s="262"/>
      <c r="B199" s="262"/>
      <c r="C199" s="262"/>
      <c r="D199" s="267"/>
      <c r="E199" s="262"/>
      <c r="F199" s="262"/>
    </row>
    <row r="200" spans="1:6" ht="12.75">
      <c r="A200" s="262"/>
      <c r="B200" s="262"/>
      <c r="C200" s="262"/>
      <c r="D200" s="267"/>
      <c r="E200" s="262"/>
      <c r="F200" s="262"/>
    </row>
    <row r="201" spans="1:6" ht="12.75">
      <c r="A201" s="262"/>
      <c r="B201" s="262"/>
      <c r="C201" s="262"/>
      <c r="D201" s="267"/>
      <c r="E201" s="262"/>
      <c r="F201" s="262"/>
    </row>
    <row r="202" spans="1:6" ht="12.75">
      <c r="A202" s="262"/>
      <c r="B202" s="262"/>
      <c r="C202" s="262"/>
      <c r="D202" s="267"/>
      <c r="E202" s="262"/>
      <c r="F202" s="262"/>
    </row>
    <row r="203" spans="1:6" ht="12.75">
      <c r="A203" s="262"/>
      <c r="B203" s="262"/>
      <c r="C203" s="262"/>
      <c r="D203" s="267"/>
      <c r="E203" s="262"/>
      <c r="F203" s="262"/>
    </row>
    <row r="204" spans="1:6" ht="12.75">
      <c r="A204" s="262"/>
      <c r="B204" s="262"/>
      <c r="C204" s="262"/>
      <c r="D204" s="267"/>
      <c r="E204" s="262"/>
      <c r="F204" s="262"/>
    </row>
    <row r="205" spans="1:6" ht="12.75">
      <c r="A205" s="262"/>
      <c r="B205" s="262"/>
      <c r="C205" s="262"/>
      <c r="D205" s="267"/>
      <c r="E205" s="262"/>
      <c r="F205" s="262"/>
    </row>
    <row r="206" spans="1:6" ht="12.75">
      <c r="A206" s="262"/>
      <c r="B206" s="262"/>
      <c r="C206" s="262"/>
      <c r="D206" s="267"/>
      <c r="E206" s="262"/>
      <c r="F206" s="262"/>
    </row>
    <row r="207" spans="1:6" ht="12.75">
      <c r="A207" s="262"/>
      <c r="B207" s="262"/>
      <c r="C207" s="262"/>
      <c r="D207" s="267"/>
      <c r="E207" s="262"/>
      <c r="F207" s="262"/>
    </row>
    <row r="208" spans="1:6" ht="12.75">
      <c r="A208" s="262"/>
      <c r="B208" s="262"/>
      <c r="C208" s="262"/>
      <c r="D208" s="267"/>
      <c r="E208" s="262"/>
      <c r="F208" s="262"/>
    </row>
    <row r="209" spans="1:6" ht="12.75">
      <c r="A209" s="262"/>
      <c r="B209" s="262"/>
      <c r="C209" s="262"/>
      <c r="D209" s="267"/>
      <c r="E209" s="262"/>
      <c r="F209" s="262"/>
    </row>
    <row r="210" spans="1:6" ht="12.75">
      <c r="A210" s="262"/>
      <c r="B210" s="262"/>
      <c r="C210" s="262"/>
      <c r="D210" s="267"/>
      <c r="E210" s="262"/>
      <c r="F210" s="262"/>
    </row>
    <row r="211" spans="1:6" ht="12.75">
      <c r="A211" s="262"/>
      <c r="B211" s="262"/>
      <c r="C211" s="262"/>
      <c r="D211" s="267"/>
      <c r="E211" s="262"/>
      <c r="F211" s="262"/>
    </row>
    <row r="212" spans="1:6" ht="12.75">
      <c r="A212" s="262"/>
      <c r="B212" s="262"/>
      <c r="C212" s="262"/>
      <c r="D212" s="267"/>
      <c r="E212" s="262"/>
      <c r="F212" s="262"/>
    </row>
    <row r="213" spans="1:6" ht="12.75">
      <c r="A213" s="262"/>
      <c r="B213" s="262"/>
      <c r="C213" s="262"/>
      <c r="D213" s="267"/>
      <c r="E213" s="262"/>
      <c r="F213" s="262"/>
    </row>
    <row r="214" spans="1:6" ht="12.75">
      <c r="A214" s="262"/>
      <c r="B214" s="262"/>
      <c r="C214" s="262"/>
      <c r="D214" s="267"/>
      <c r="E214" s="262"/>
      <c r="F214" s="262"/>
    </row>
    <row r="215" spans="1:6" ht="12.75">
      <c r="A215" s="262"/>
      <c r="B215" s="262"/>
      <c r="C215" s="262"/>
      <c r="D215" s="267"/>
      <c r="E215" s="262"/>
      <c r="F215" s="262"/>
    </row>
    <row r="216" spans="1:6" ht="12.75">
      <c r="A216" s="262"/>
      <c r="B216" s="262"/>
      <c r="C216" s="262"/>
      <c r="D216" s="267"/>
      <c r="E216" s="262"/>
      <c r="F216" s="262"/>
    </row>
    <row r="217" spans="1:6" ht="12.75">
      <c r="A217" s="262"/>
      <c r="B217" s="262"/>
      <c r="C217" s="262"/>
      <c r="D217" s="267"/>
      <c r="E217" s="262"/>
      <c r="F217" s="262"/>
    </row>
    <row r="218" spans="1:6" ht="12.75">
      <c r="A218" s="262"/>
      <c r="B218" s="262"/>
      <c r="C218" s="262"/>
      <c r="D218" s="267"/>
      <c r="E218" s="262"/>
      <c r="F218" s="262"/>
    </row>
    <row r="219" spans="1:6" ht="12.75">
      <c r="A219" s="262"/>
      <c r="B219" s="262"/>
      <c r="C219" s="262"/>
      <c r="D219" s="267"/>
      <c r="E219" s="262"/>
      <c r="F219" s="262"/>
    </row>
    <row r="220" spans="1:6" ht="12.75">
      <c r="A220" s="262"/>
      <c r="B220" s="262"/>
      <c r="C220" s="262"/>
      <c r="D220" s="267"/>
      <c r="E220" s="262"/>
      <c r="F220" s="262"/>
    </row>
    <row r="221" spans="1:6" ht="12.75">
      <c r="A221" s="262"/>
      <c r="B221" s="262"/>
      <c r="C221" s="262"/>
      <c r="D221" s="267"/>
      <c r="E221" s="262"/>
      <c r="F221" s="262"/>
    </row>
    <row r="222" spans="1:6" ht="12.75">
      <c r="A222" s="262"/>
      <c r="B222" s="262"/>
      <c r="C222" s="262"/>
      <c r="D222" s="267"/>
      <c r="E222" s="262"/>
      <c r="F222" s="262"/>
    </row>
    <row r="223" spans="1:6" ht="12.75">
      <c r="A223" s="262"/>
      <c r="B223" s="262"/>
      <c r="C223" s="262"/>
      <c r="D223" s="267"/>
      <c r="E223" s="262"/>
      <c r="F223" s="262"/>
    </row>
    <row r="224" spans="1:6" ht="12.75">
      <c r="A224" s="262"/>
      <c r="B224" s="262"/>
      <c r="C224" s="262"/>
      <c r="D224" s="267"/>
      <c r="E224" s="262"/>
      <c r="F224" s="262"/>
    </row>
    <row r="225" spans="1:6" ht="12.75">
      <c r="A225" s="262"/>
      <c r="B225" s="262"/>
      <c r="C225" s="262"/>
      <c r="D225" s="267"/>
      <c r="E225" s="262"/>
      <c r="F225" s="262"/>
    </row>
    <row r="226" spans="1:6" ht="12.75">
      <c r="A226" s="262"/>
      <c r="B226" s="262"/>
      <c r="C226" s="262"/>
      <c r="D226" s="267"/>
      <c r="E226" s="262"/>
      <c r="F226" s="262"/>
    </row>
    <row r="227" spans="1:6" ht="12.75">
      <c r="A227" s="262"/>
      <c r="B227" s="262"/>
      <c r="C227" s="262"/>
      <c r="D227" s="267"/>
      <c r="E227" s="262"/>
      <c r="F227" s="262"/>
    </row>
    <row r="228" spans="1:6" ht="12.75">
      <c r="A228" s="262"/>
      <c r="B228" s="262"/>
      <c r="C228" s="262"/>
      <c r="D228" s="267"/>
      <c r="E228" s="262"/>
      <c r="F228" s="262"/>
    </row>
    <row r="229" spans="1:6" ht="12.75">
      <c r="A229" s="262"/>
      <c r="B229" s="262"/>
      <c r="C229" s="262"/>
      <c r="D229" s="267"/>
      <c r="E229" s="262"/>
      <c r="F229" s="262"/>
    </row>
    <row r="230" spans="1:6" ht="12.75">
      <c r="A230" s="262"/>
      <c r="B230" s="262"/>
      <c r="C230" s="262"/>
      <c r="D230" s="267"/>
      <c r="E230" s="262"/>
      <c r="F230" s="262"/>
    </row>
    <row r="231" spans="1:6" ht="12.75">
      <c r="A231" s="262"/>
      <c r="B231" s="262"/>
      <c r="C231" s="262"/>
      <c r="D231" s="267"/>
      <c r="E231" s="262"/>
      <c r="F231" s="262"/>
    </row>
    <row r="232" spans="1:6" ht="12.75">
      <c r="A232" s="262"/>
      <c r="B232" s="262"/>
      <c r="C232" s="262"/>
      <c r="D232" s="267"/>
      <c r="E232" s="262"/>
      <c r="F232" s="262"/>
    </row>
    <row r="233" spans="1:6" ht="12.75">
      <c r="A233" s="262"/>
      <c r="B233" s="262"/>
      <c r="C233" s="262"/>
      <c r="D233" s="267"/>
      <c r="E233" s="262"/>
      <c r="F233" s="262"/>
    </row>
    <row r="234" spans="1:6" ht="12.75">
      <c r="A234" s="262"/>
      <c r="B234" s="262"/>
      <c r="C234" s="262"/>
      <c r="D234" s="267"/>
      <c r="E234" s="262"/>
      <c r="F234" s="262"/>
    </row>
    <row r="235" spans="1:6" ht="12.75">
      <c r="A235" s="262"/>
      <c r="B235" s="262"/>
      <c r="C235" s="262"/>
      <c r="D235" s="267"/>
      <c r="E235" s="262"/>
      <c r="F235" s="262"/>
    </row>
    <row r="236" spans="1:6" ht="12.75">
      <c r="A236" s="262"/>
      <c r="B236" s="262"/>
      <c r="C236" s="262"/>
      <c r="D236" s="267"/>
      <c r="E236" s="262"/>
      <c r="F236" s="262"/>
    </row>
    <row r="237" spans="1:6" ht="12.75">
      <c r="A237" s="262"/>
      <c r="B237" s="262"/>
      <c r="C237" s="262"/>
      <c r="D237" s="267"/>
      <c r="E237" s="262"/>
      <c r="F237" s="262"/>
    </row>
    <row r="238" spans="1:6" ht="12.75">
      <c r="A238" s="262"/>
      <c r="B238" s="262"/>
      <c r="C238" s="262"/>
      <c r="D238" s="267"/>
      <c r="E238" s="262"/>
      <c r="F238" s="262"/>
    </row>
    <row r="239" spans="1:6" ht="12.75">
      <c r="A239" s="262"/>
      <c r="B239" s="262"/>
      <c r="C239" s="262"/>
      <c r="D239" s="267"/>
      <c r="E239" s="262"/>
      <c r="F239" s="262"/>
    </row>
    <row r="240" spans="1:6" ht="12.75">
      <c r="A240" s="262"/>
      <c r="B240" s="262"/>
      <c r="C240" s="262"/>
      <c r="D240" s="267"/>
      <c r="E240" s="262"/>
      <c r="F240" s="262"/>
    </row>
    <row r="241" spans="1:6" ht="12.75">
      <c r="A241" s="262"/>
      <c r="B241" s="262"/>
      <c r="C241" s="262"/>
      <c r="D241" s="267"/>
      <c r="E241" s="262"/>
      <c r="F241" s="262"/>
    </row>
    <row r="242" spans="1:6" ht="12.75">
      <c r="A242" s="262"/>
      <c r="B242" s="262"/>
      <c r="C242" s="262"/>
      <c r="D242" s="267"/>
      <c r="E242" s="262"/>
      <c r="F242" s="262"/>
    </row>
    <row r="243" spans="1:6" ht="12.75">
      <c r="A243" s="262"/>
      <c r="B243" s="262"/>
      <c r="C243" s="262"/>
      <c r="D243" s="267"/>
      <c r="E243" s="262"/>
      <c r="F243" s="262"/>
    </row>
    <row r="244" spans="1:6" ht="12.75">
      <c r="A244" s="262"/>
      <c r="B244" s="262"/>
      <c r="C244" s="262"/>
      <c r="D244" s="267"/>
      <c r="E244" s="262"/>
      <c r="F244" s="262"/>
    </row>
    <row r="245" spans="1:6" ht="12.75">
      <c r="A245" s="262"/>
      <c r="B245" s="262"/>
      <c r="C245" s="262"/>
      <c r="D245" s="267"/>
      <c r="E245" s="262"/>
      <c r="F245" s="262"/>
    </row>
    <row r="246" spans="1:6" ht="12.75">
      <c r="A246" s="262"/>
      <c r="B246" s="262"/>
      <c r="C246" s="262"/>
      <c r="D246" s="267"/>
      <c r="E246" s="262"/>
      <c r="F246" s="262"/>
    </row>
    <row r="247" spans="1:6" ht="12.75">
      <c r="A247" s="262"/>
      <c r="B247" s="262"/>
      <c r="C247" s="262"/>
      <c r="D247" s="267"/>
      <c r="E247" s="262"/>
      <c r="F247" s="262"/>
    </row>
    <row r="248" spans="1:6" ht="12.75">
      <c r="A248" s="262"/>
      <c r="B248" s="262"/>
      <c r="C248" s="262"/>
      <c r="D248" s="267"/>
      <c r="E248" s="262"/>
      <c r="F248" s="262"/>
    </row>
    <row r="249" spans="1:6" ht="12.75">
      <c r="A249" s="262"/>
      <c r="B249" s="262"/>
      <c r="C249" s="262"/>
      <c r="D249" s="267"/>
      <c r="E249" s="262"/>
      <c r="F249" s="262"/>
    </row>
    <row r="250" spans="1:6" ht="12.75">
      <c r="A250" s="262"/>
      <c r="B250" s="262"/>
      <c r="C250" s="262"/>
      <c r="D250" s="267"/>
      <c r="E250" s="262"/>
      <c r="F250" s="262"/>
    </row>
    <row r="251" spans="1:6" ht="12.75">
      <c r="A251" s="262"/>
      <c r="B251" s="262"/>
      <c r="C251" s="262"/>
      <c r="D251" s="267"/>
      <c r="E251" s="262"/>
      <c r="F251" s="262"/>
    </row>
    <row r="252" spans="1:6" ht="12.75">
      <c r="A252" s="262"/>
      <c r="B252" s="262"/>
      <c r="C252" s="262"/>
      <c r="D252" s="267"/>
      <c r="E252" s="262"/>
      <c r="F252" s="262"/>
    </row>
    <row r="253" spans="1:6" ht="12.75">
      <c r="A253" s="262"/>
      <c r="B253" s="262"/>
      <c r="C253" s="262"/>
      <c r="D253" s="267"/>
      <c r="E253" s="262"/>
      <c r="F253" s="262"/>
    </row>
    <row r="254" spans="1:6" ht="12.75">
      <c r="A254" s="262"/>
      <c r="B254" s="262"/>
      <c r="C254" s="262"/>
      <c r="D254" s="267"/>
      <c r="E254" s="262"/>
      <c r="F254" s="262"/>
    </row>
    <row r="255" spans="1:6" ht="12.75">
      <c r="A255" s="262"/>
      <c r="B255" s="262"/>
      <c r="C255" s="262"/>
      <c r="D255" s="267"/>
      <c r="E255" s="262"/>
      <c r="F255" s="262"/>
    </row>
    <row r="256" spans="1:6" ht="12.75">
      <c r="A256" s="262"/>
      <c r="B256" s="262"/>
      <c r="C256" s="262"/>
      <c r="D256" s="267"/>
      <c r="E256" s="262"/>
      <c r="F256" s="262"/>
    </row>
    <row r="257" spans="1:6" ht="12.75">
      <c r="A257" s="262"/>
      <c r="B257" s="262"/>
      <c r="C257" s="262"/>
      <c r="D257" s="267"/>
      <c r="E257" s="262"/>
      <c r="F257" s="262"/>
    </row>
    <row r="258" spans="1:6" ht="12.75">
      <c r="A258" s="262"/>
      <c r="B258" s="262"/>
      <c r="C258" s="262"/>
      <c r="D258" s="267"/>
      <c r="E258" s="262"/>
      <c r="F258" s="262"/>
    </row>
    <row r="259" spans="1:6" ht="12.75">
      <c r="A259" s="262"/>
      <c r="B259" s="262"/>
      <c r="C259" s="262"/>
      <c r="D259" s="267"/>
      <c r="E259" s="262"/>
      <c r="F259" s="262"/>
    </row>
    <row r="260" spans="1:6" ht="12.75">
      <c r="A260" s="262"/>
      <c r="B260" s="262"/>
      <c r="C260" s="262"/>
      <c r="D260" s="267"/>
      <c r="E260" s="262"/>
      <c r="F260" s="262"/>
    </row>
    <row r="261" spans="1:6" ht="12.75">
      <c r="A261" s="262"/>
      <c r="B261" s="262"/>
      <c r="C261" s="262"/>
      <c r="D261" s="267"/>
      <c r="E261" s="262"/>
      <c r="F261" s="262"/>
    </row>
    <row r="262" spans="1:6" ht="12.75">
      <c r="A262" s="262"/>
      <c r="B262" s="262"/>
      <c r="C262" s="262"/>
      <c r="D262" s="267"/>
      <c r="E262" s="262"/>
      <c r="F262" s="262"/>
    </row>
    <row r="263" spans="1:6" ht="12.75">
      <c r="A263" s="262"/>
      <c r="B263" s="262"/>
      <c r="C263" s="262"/>
      <c r="D263" s="267"/>
      <c r="E263" s="262"/>
      <c r="F263" s="262"/>
    </row>
    <row r="264" spans="1:6" ht="12.75">
      <c r="A264" s="262"/>
      <c r="B264" s="262"/>
      <c r="C264" s="262"/>
      <c r="D264" s="267"/>
      <c r="E264" s="262"/>
      <c r="F264" s="262"/>
    </row>
    <row r="265" spans="1:6" ht="12.75">
      <c r="A265" s="262"/>
      <c r="B265" s="262"/>
      <c r="C265" s="262"/>
      <c r="D265" s="267"/>
      <c r="E265" s="262"/>
      <c r="F265" s="262"/>
    </row>
    <row r="266" spans="1:6" ht="12.75">
      <c r="A266" s="262"/>
      <c r="B266" s="262"/>
      <c r="C266" s="262"/>
      <c r="D266" s="267"/>
      <c r="E266" s="262"/>
      <c r="F266" s="262"/>
    </row>
    <row r="267" spans="1:6" ht="12.75">
      <c r="A267" s="262"/>
      <c r="B267" s="262"/>
      <c r="C267" s="262"/>
      <c r="D267" s="267"/>
      <c r="E267" s="262"/>
      <c r="F267" s="262"/>
    </row>
    <row r="268" spans="1:6" ht="12.75">
      <c r="A268" s="262"/>
      <c r="B268" s="262"/>
      <c r="C268" s="262"/>
      <c r="D268" s="267"/>
      <c r="E268" s="262"/>
      <c r="F268" s="262"/>
    </row>
    <row r="269" spans="1:6" ht="12.75">
      <c r="A269" s="262"/>
      <c r="B269" s="262"/>
      <c r="C269" s="262"/>
      <c r="D269" s="267"/>
      <c r="E269" s="262"/>
      <c r="F269" s="262"/>
    </row>
    <row r="270" spans="1:6" ht="12.75">
      <c r="A270" s="262"/>
      <c r="B270" s="262"/>
      <c r="C270" s="262"/>
      <c r="D270" s="267"/>
      <c r="E270" s="262"/>
      <c r="F270" s="262"/>
    </row>
    <row r="271" spans="1:6" ht="12.75">
      <c r="A271" s="262"/>
      <c r="B271" s="262"/>
      <c r="C271" s="262"/>
      <c r="D271" s="267"/>
      <c r="E271" s="262"/>
      <c r="F271" s="262"/>
    </row>
    <row r="272" spans="1:6" ht="12.75">
      <c r="A272" s="262"/>
      <c r="B272" s="262"/>
      <c r="C272" s="262"/>
      <c r="D272" s="267"/>
      <c r="E272" s="262"/>
      <c r="F272" s="262"/>
    </row>
    <row r="273" spans="1:6" ht="12.75">
      <c r="A273" s="262"/>
      <c r="B273" s="262"/>
      <c r="C273" s="262"/>
      <c r="D273" s="267"/>
      <c r="E273" s="262"/>
      <c r="F273" s="262"/>
    </row>
    <row r="274" spans="1:6" ht="12.75">
      <c r="A274" s="262"/>
      <c r="B274" s="262"/>
      <c r="C274" s="262"/>
      <c r="D274" s="267"/>
      <c r="E274" s="262"/>
      <c r="F274" s="262"/>
    </row>
    <row r="275" spans="1:6" ht="12.75">
      <c r="A275" s="262"/>
      <c r="B275" s="262"/>
      <c r="C275" s="262"/>
      <c r="D275" s="267"/>
      <c r="E275" s="262"/>
      <c r="F275" s="262"/>
    </row>
    <row r="276" spans="1:6" ht="12.75">
      <c r="A276" s="262"/>
      <c r="B276" s="262"/>
      <c r="C276" s="262"/>
      <c r="D276" s="267"/>
      <c r="E276" s="262"/>
      <c r="F276" s="262"/>
    </row>
    <row r="277" spans="1:6" ht="12.75">
      <c r="A277" s="262"/>
      <c r="B277" s="262"/>
      <c r="C277" s="262"/>
      <c r="D277" s="267"/>
      <c r="E277" s="262"/>
      <c r="F277" s="262"/>
    </row>
    <row r="278" spans="1:6" ht="12.75">
      <c r="A278" s="262"/>
      <c r="B278" s="262"/>
      <c r="C278" s="262"/>
      <c r="D278" s="267"/>
      <c r="E278" s="262"/>
      <c r="F278" s="262"/>
    </row>
    <row r="279" spans="1:6" ht="12.75">
      <c r="A279" s="262"/>
      <c r="B279" s="262"/>
      <c r="C279" s="262"/>
      <c r="D279" s="267"/>
      <c r="E279" s="262"/>
      <c r="F279" s="262"/>
    </row>
    <row r="280" spans="1:6" ht="12.75">
      <c r="A280" s="262"/>
      <c r="B280" s="262"/>
      <c r="C280" s="262"/>
      <c r="D280" s="267"/>
      <c r="E280" s="262"/>
      <c r="F280" s="262"/>
    </row>
    <row r="281" spans="1:6" ht="12.75">
      <c r="A281" s="262"/>
      <c r="B281" s="262"/>
      <c r="C281" s="262"/>
      <c r="D281" s="267"/>
      <c r="E281" s="262"/>
      <c r="F281" s="262"/>
    </row>
    <row r="282" spans="1:6" ht="12.75">
      <c r="A282" s="262"/>
      <c r="B282" s="262"/>
      <c r="C282" s="262"/>
      <c r="D282" s="267"/>
      <c r="E282" s="262"/>
      <c r="F282" s="262"/>
    </row>
    <row r="283" spans="1:6" ht="12.75">
      <c r="A283" s="262"/>
      <c r="B283" s="262"/>
      <c r="C283" s="262"/>
      <c r="D283" s="267"/>
      <c r="E283" s="262"/>
      <c r="F283" s="262"/>
    </row>
    <row r="284" spans="1:6" ht="12.75">
      <c r="A284" s="262"/>
      <c r="B284" s="262"/>
      <c r="C284" s="262"/>
      <c r="D284" s="267"/>
      <c r="E284" s="262"/>
      <c r="F284" s="262"/>
    </row>
    <row r="285" spans="1:6" ht="12.75">
      <c r="A285" s="262"/>
      <c r="B285" s="262"/>
      <c r="C285" s="262"/>
      <c r="D285" s="267"/>
      <c r="E285" s="262"/>
      <c r="F285" s="262"/>
    </row>
    <row r="286" spans="1:6" ht="12.75">
      <c r="A286" s="262"/>
      <c r="B286" s="262"/>
      <c r="C286" s="262"/>
      <c r="D286" s="267"/>
      <c r="E286" s="262"/>
      <c r="F286" s="262"/>
    </row>
    <row r="287" spans="1:6" ht="12.75">
      <c r="A287" s="262"/>
      <c r="B287" s="262"/>
      <c r="C287" s="262"/>
      <c r="D287" s="267"/>
      <c r="E287" s="262"/>
      <c r="F287" s="262"/>
    </row>
    <row r="288" spans="1:6" ht="12.75">
      <c r="A288" s="262"/>
      <c r="B288" s="262"/>
      <c r="C288" s="262"/>
      <c r="D288" s="267"/>
      <c r="E288" s="262"/>
      <c r="F288" s="262"/>
    </row>
    <row r="289" spans="1:6" ht="12.75">
      <c r="A289" s="262"/>
      <c r="B289" s="262"/>
      <c r="C289" s="262"/>
      <c r="D289" s="267"/>
      <c r="E289" s="262"/>
      <c r="F289" s="262"/>
    </row>
    <row r="290" spans="1:6" ht="12.75">
      <c r="A290" s="262"/>
      <c r="B290" s="262"/>
      <c r="C290" s="262"/>
      <c r="D290" s="267"/>
      <c r="E290" s="262"/>
      <c r="F290" s="262"/>
    </row>
    <row r="291" spans="1:6" ht="12.75">
      <c r="A291" s="262"/>
      <c r="B291" s="262"/>
      <c r="C291" s="262"/>
      <c r="D291" s="267"/>
      <c r="E291" s="262"/>
      <c r="F291" s="262"/>
    </row>
    <row r="292" spans="1:6" ht="12.75">
      <c r="A292" s="262"/>
      <c r="B292" s="262"/>
      <c r="C292" s="262"/>
      <c r="D292" s="267"/>
      <c r="E292" s="262"/>
      <c r="F292" s="262"/>
    </row>
    <row r="293" spans="1:6" ht="12.75">
      <c r="A293" s="262"/>
      <c r="B293" s="262"/>
      <c r="C293" s="262"/>
      <c r="D293" s="267"/>
      <c r="E293" s="262"/>
      <c r="F293" s="262"/>
    </row>
    <row r="294" spans="1:6" ht="12.75">
      <c r="A294" s="262"/>
      <c r="B294" s="262"/>
      <c r="C294" s="262"/>
      <c r="D294" s="267"/>
      <c r="E294" s="262"/>
      <c r="F294" s="262"/>
    </row>
    <row r="295" spans="1:6" ht="12.75">
      <c r="A295" s="262"/>
      <c r="B295" s="262"/>
      <c r="C295" s="262"/>
      <c r="D295" s="267"/>
      <c r="E295" s="262"/>
      <c r="F295" s="262"/>
    </row>
    <row r="296" spans="1:6" ht="12.75">
      <c r="A296" s="262"/>
      <c r="B296" s="262"/>
      <c r="C296" s="262"/>
      <c r="D296" s="267"/>
      <c r="E296" s="262"/>
      <c r="F296" s="262"/>
    </row>
    <row r="297" spans="1:6" ht="12.75">
      <c r="A297" s="262"/>
      <c r="B297" s="262"/>
      <c r="C297" s="262"/>
      <c r="D297" s="267"/>
      <c r="E297" s="262"/>
      <c r="F297" s="262"/>
    </row>
    <row r="298" spans="1:6" ht="12.75">
      <c r="A298" s="262"/>
      <c r="B298" s="262"/>
      <c r="C298" s="262"/>
      <c r="D298" s="267"/>
      <c r="E298" s="262"/>
      <c r="F298" s="262"/>
    </row>
    <row r="299" spans="1:6" ht="12.75">
      <c r="A299" s="262"/>
      <c r="B299" s="262"/>
      <c r="C299" s="262"/>
      <c r="D299" s="267"/>
      <c r="E299" s="262"/>
      <c r="F299" s="262"/>
    </row>
    <row r="300" spans="1:6" ht="12.75">
      <c r="A300" s="262"/>
      <c r="B300" s="262"/>
      <c r="C300" s="262"/>
      <c r="D300" s="267"/>
      <c r="E300" s="262"/>
      <c r="F300" s="262"/>
    </row>
    <row r="301" spans="1:6" ht="12.75">
      <c r="A301" s="262"/>
      <c r="B301" s="262"/>
      <c r="C301" s="262"/>
      <c r="D301" s="267"/>
      <c r="E301" s="262"/>
      <c r="F301" s="262"/>
    </row>
    <row r="302" spans="1:6" ht="12.75">
      <c r="A302" s="262"/>
      <c r="B302" s="262"/>
      <c r="C302" s="262"/>
      <c r="D302" s="267"/>
      <c r="E302" s="262"/>
      <c r="F302" s="262"/>
    </row>
    <row r="303" spans="1:6" ht="12.75">
      <c r="A303" s="262"/>
      <c r="B303" s="262"/>
      <c r="C303" s="262"/>
      <c r="D303" s="267"/>
      <c r="E303" s="262"/>
      <c r="F303" s="262"/>
    </row>
    <row r="304" spans="1:6" ht="12.75">
      <c r="A304" s="262"/>
      <c r="B304" s="262"/>
      <c r="C304" s="262"/>
      <c r="D304" s="267"/>
      <c r="E304" s="262"/>
      <c r="F304" s="262"/>
    </row>
    <row r="305" spans="1:6" ht="12.75">
      <c r="A305" s="262"/>
      <c r="B305" s="262"/>
      <c r="C305" s="262"/>
      <c r="D305" s="267"/>
      <c r="E305" s="262"/>
      <c r="F305" s="262"/>
    </row>
    <row r="306" spans="1:6" ht="12.75">
      <c r="A306" s="262"/>
      <c r="B306" s="262"/>
      <c r="C306" s="262"/>
      <c r="D306" s="267"/>
      <c r="E306" s="262"/>
      <c r="F306" s="262"/>
    </row>
    <row r="307" spans="1:6" ht="12.75">
      <c r="A307" s="262"/>
      <c r="B307" s="262"/>
      <c r="C307" s="262"/>
      <c r="D307" s="267"/>
      <c r="E307" s="262"/>
      <c r="F307" s="262"/>
    </row>
    <row r="308" spans="1:6" ht="12.75">
      <c r="A308" s="262"/>
      <c r="B308" s="262"/>
      <c r="C308" s="262"/>
      <c r="D308" s="267"/>
      <c r="E308" s="262"/>
      <c r="F308" s="262"/>
    </row>
    <row r="309" spans="1:6" ht="12.75">
      <c r="A309" s="262"/>
      <c r="B309" s="262"/>
      <c r="C309" s="262"/>
      <c r="D309" s="267"/>
      <c r="E309" s="262"/>
      <c r="F309" s="262"/>
    </row>
    <row r="310" spans="1:6" ht="12.75">
      <c r="A310" s="262"/>
      <c r="B310" s="262"/>
      <c r="C310" s="262"/>
      <c r="D310" s="267"/>
      <c r="E310" s="262"/>
      <c r="F310" s="262"/>
    </row>
    <row r="311" spans="1:6" ht="12.75">
      <c r="A311" s="262"/>
      <c r="B311" s="262"/>
      <c r="C311" s="262"/>
      <c r="D311" s="267"/>
      <c r="E311" s="262"/>
      <c r="F311" s="262"/>
    </row>
    <row r="312" spans="1:6" ht="12.75">
      <c r="A312" s="262"/>
      <c r="B312" s="262"/>
      <c r="C312" s="262"/>
      <c r="D312" s="267"/>
      <c r="E312" s="262"/>
      <c r="F312" s="262"/>
    </row>
    <row r="313" spans="1:6" ht="12.75">
      <c r="A313" s="262"/>
      <c r="B313" s="262"/>
      <c r="C313" s="262"/>
      <c r="D313" s="267"/>
      <c r="E313" s="262"/>
      <c r="F313" s="262"/>
    </row>
    <row r="314" spans="1:6" ht="12.75">
      <c r="A314" s="262"/>
      <c r="B314" s="262"/>
      <c r="C314" s="262"/>
      <c r="D314" s="267"/>
      <c r="E314" s="262"/>
      <c r="F314" s="262"/>
    </row>
    <row r="315" spans="1:6" ht="12.75">
      <c r="A315" s="262"/>
      <c r="B315" s="262"/>
      <c r="C315" s="262"/>
      <c r="D315" s="267"/>
      <c r="E315" s="262"/>
      <c r="F315" s="262"/>
    </row>
    <row r="316" spans="1:6" ht="12.75">
      <c r="A316" s="262"/>
      <c r="B316" s="262"/>
      <c r="C316" s="262"/>
      <c r="D316" s="267"/>
      <c r="E316" s="262"/>
      <c r="F316" s="262"/>
    </row>
    <row r="317" spans="1:6" ht="12.75">
      <c r="A317" s="262"/>
      <c r="B317" s="262"/>
      <c r="C317" s="262"/>
      <c r="D317" s="267"/>
      <c r="E317" s="262"/>
      <c r="F317" s="262"/>
    </row>
    <row r="318" spans="1:6" ht="12.75">
      <c r="A318" s="262"/>
      <c r="B318" s="262"/>
      <c r="C318" s="262"/>
      <c r="D318" s="267"/>
      <c r="E318" s="262"/>
      <c r="F318" s="262"/>
    </row>
    <row r="319" spans="1:6" ht="12.75">
      <c r="A319" s="262"/>
      <c r="B319" s="262"/>
      <c r="C319" s="262"/>
      <c r="D319" s="267"/>
      <c r="E319" s="262"/>
      <c r="F319" s="262"/>
    </row>
    <row r="320" spans="1:6" ht="12.75">
      <c r="A320" s="262"/>
      <c r="B320" s="262"/>
      <c r="C320" s="262"/>
      <c r="D320" s="267"/>
      <c r="E320" s="262"/>
      <c r="F320" s="262"/>
    </row>
    <row r="321" spans="1:6" ht="12.75">
      <c r="A321" s="262"/>
      <c r="B321" s="262"/>
      <c r="C321" s="262"/>
      <c r="D321" s="267"/>
      <c r="E321" s="262"/>
      <c r="F321" s="262"/>
    </row>
    <row r="322" spans="1:6" ht="12.75">
      <c r="A322" s="262"/>
      <c r="B322" s="262"/>
      <c r="C322" s="262"/>
      <c r="D322" s="267"/>
      <c r="E322" s="262"/>
      <c r="F322" s="262"/>
    </row>
    <row r="323" spans="1:6" ht="12.75">
      <c r="A323" s="262"/>
      <c r="B323" s="262"/>
      <c r="C323" s="262"/>
      <c r="D323" s="267"/>
      <c r="E323" s="262"/>
      <c r="F323" s="262"/>
    </row>
    <row r="324" spans="1:6" ht="12.75">
      <c r="A324" s="262"/>
      <c r="B324" s="262"/>
      <c r="C324" s="262"/>
      <c r="D324" s="267"/>
      <c r="E324" s="262"/>
      <c r="F324" s="262"/>
    </row>
    <row r="325" spans="1:6" ht="12.75">
      <c r="A325" s="262"/>
      <c r="B325" s="262"/>
      <c r="C325" s="262"/>
      <c r="D325" s="267"/>
      <c r="E325" s="262"/>
      <c r="F325" s="262"/>
    </row>
    <row r="326" spans="1:6" ht="12.75">
      <c r="A326" s="262"/>
      <c r="B326" s="262"/>
      <c r="C326" s="262"/>
      <c r="D326" s="267"/>
      <c r="E326" s="262"/>
      <c r="F326" s="262"/>
    </row>
    <row r="327" spans="1:6" ht="12.75">
      <c r="A327" s="262"/>
      <c r="B327" s="262"/>
      <c r="C327" s="262"/>
      <c r="D327" s="267"/>
      <c r="E327" s="262"/>
      <c r="F327" s="262"/>
    </row>
    <row r="328" spans="1:6" ht="12.75">
      <c r="A328" s="262"/>
      <c r="B328" s="262"/>
      <c r="C328" s="262"/>
      <c r="D328" s="267"/>
      <c r="E328" s="262"/>
      <c r="F328" s="262"/>
    </row>
    <row r="329" spans="1:6" ht="12.75">
      <c r="A329" s="262"/>
      <c r="B329" s="262"/>
      <c r="C329" s="262"/>
      <c r="D329" s="267"/>
      <c r="E329" s="262"/>
      <c r="F329" s="262"/>
    </row>
    <row r="330" spans="1:6" ht="12.75">
      <c r="A330" s="262"/>
      <c r="B330" s="262"/>
      <c r="C330" s="262"/>
      <c r="D330" s="267"/>
      <c r="E330" s="262"/>
      <c r="F330" s="262"/>
    </row>
    <row r="331" spans="1:6" ht="12.75">
      <c r="A331" s="262"/>
      <c r="B331" s="262"/>
      <c r="C331" s="262"/>
      <c r="D331" s="267"/>
      <c r="E331" s="262"/>
      <c r="F331" s="262"/>
    </row>
    <row r="332" spans="1:6" ht="12.75">
      <c r="A332" s="262"/>
      <c r="B332" s="262"/>
      <c r="C332" s="262"/>
      <c r="D332" s="267"/>
      <c r="E332" s="262"/>
      <c r="F332" s="262"/>
    </row>
    <row r="333" spans="1:6" ht="12.75">
      <c r="A333" s="262"/>
      <c r="B333" s="262"/>
      <c r="C333" s="262"/>
      <c r="D333" s="267"/>
      <c r="E333" s="262"/>
      <c r="F333" s="262"/>
    </row>
    <row r="334" spans="1:6" ht="12.75">
      <c r="A334" s="262"/>
      <c r="B334" s="262"/>
      <c r="C334" s="262"/>
      <c r="D334" s="267"/>
      <c r="E334" s="262"/>
      <c r="F334" s="262"/>
    </row>
    <row r="335" spans="1:6" ht="12.75">
      <c r="A335" s="262"/>
      <c r="B335" s="262"/>
      <c r="C335" s="262"/>
      <c r="D335" s="267"/>
      <c r="E335" s="262"/>
      <c r="F335" s="262"/>
    </row>
    <row r="336" spans="1:6" ht="12.75">
      <c r="A336" s="262"/>
      <c r="B336" s="262"/>
      <c r="C336" s="262"/>
      <c r="D336" s="267"/>
      <c r="E336" s="262"/>
      <c r="F336" s="262"/>
    </row>
    <row r="337" spans="1:6" ht="12.75">
      <c r="A337" s="262"/>
      <c r="B337" s="262"/>
      <c r="C337" s="262"/>
      <c r="D337" s="267"/>
      <c r="E337" s="262"/>
      <c r="F337" s="262"/>
    </row>
    <row r="338" spans="1:6" ht="12.75">
      <c r="A338" s="262"/>
      <c r="B338" s="262"/>
      <c r="C338" s="262"/>
      <c r="D338" s="267"/>
      <c r="E338" s="262"/>
      <c r="F338" s="262"/>
    </row>
    <row r="339" spans="1:6" ht="12.75">
      <c r="A339" s="262"/>
      <c r="B339" s="262"/>
      <c r="C339" s="262"/>
      <c r="D339" s="267"/>
      <c r="E339" s="262"/>
      <c r="F339" s="262"/>
    </row>
    <row r="340" spans="1:6" ht="12.75">
      <c r="A340" s="262"/>
      <c r="B340" s="262"/>
      <c r="C340" s="262"/>
      <c r="D340" s="267"/>
      <c r="E340" s="262"/>
      <c r="F340" s="262"/>
    </row>
    <row r="341" spans="1:6" ht="12.75">
      <c r="A341" s="262"/>
      <c r="B341" s="262"/>
      <c r="C341" s="262"/>
      <c r="D341" s="267"/>
      <c r="E341" s="262"/>
      <c r="F341" s="262"/>
    </row>
    <row r="342" spans="1:6" ht="12.75">
      <c r="A342" s="262"/>
      <c r="B342" s="262"/>
      <c r="C342" s="262"/>
      <c r="D342" s="267"/>
      <c r="E342" s="262"/>
      <c r="F342" s="262"/>
    </row>
    <row r="343" spans="1:6" ht="12.75">
      <c r="A343" s="262"/>
      <c r="B343" s="262"/>
      <c r="C343" s="262"/>
      <c r="D343" s="267"/>
      <c r="E343" s="262"/>
      <c r="F343" s="262"/>
    </row>
    <row r="344" spans="1:6" ht="12.75">
      <c r="A344" s="262"/>
      <c r="B344" s="262"/>
      <c r="C344" s="262"/>
      <c r="D344" s="267"/>
      <c r="E344" s="262"/>
      <c r="F344" s="262"/>
    </row>
    <row r="345" spans="1:6" ht="12.75">
      <c r="A345" s="262"/>
      <c r="B345" s="262"/>
      <c r="C345" s="262"/>
      <c r="D345" s="267"/>
      <c r="E345" s="262"/>
      <c r="F345" s="262"/>
    </row>
    <row r="346" spans="1:6" ht="12.75">
      <c r="A346" s="262"/>
      <c r="B346" s="262"/>
      <c r="C346" s="262"/>
      <c r="D346" s="267"/>
      <c r="E346" s="262"/>
      <c r="F346" s="262"/>
    </row>
    <row r="347" spans="1:6" ht="12.75">
      <c r="A347" s="262"/>
      <c r="B347" s="262"/>
      <c r="C347" s="262"/>
      <c r="D347" s="267"/>
      <c r="E347" s="262"/>
      <c r="F347" s="262"/>
    </row>
    <row r="348" spans="1:6" ht="12.75">
      <c r="A348" s="262"/>
      <c r="B348" s="262"/>
      <c r="C348" s="262"/>
      <c r="D348" s="267"/>
      <c r="E348" s="262"/>
      <c r="F348" s="262"/>
    </row>
    <row r="349" spans="1:6" ht="12.75">
      <c r="A349" s="262"/>
      <c r="B349" s="262"/>
      <c r="C349" s="262"/>
      <c r="D349" s="267"/>
      <c r="E349" s="262"/>
      <c r="F349" s="262"/>
    </row>
    <row r="350" spans="1:6" ht="12.75">
      <c r="A350" s="262"/>
      <c r="B350" s="262"/>
      <c r="C350" s="262"/>
      <c r="D350" s="267"/>
      <c r="E350" s="262"/>
      <c r="F350" s="262"/>
    </row>
    <row r="351" spans="1:6" ht="12.75">
      <c r="A351" s="262"/>
      <c r="B351" s="262"/>
      <c r="C351" s="262"/>
      <c r="D351" s="267"/>
      <c r="E351" s="262"/>
      <c r="F351" s="262"/>
    </row>
    <row r="352" spans="1:6" ht="12.75">
      <c r="A352" s="262"/>
      <c r="B352" s="262"/>
      <c r="C352" s="262"/>
      <c r="D352" s="267"/>
      <c r="E352" s="262"/>
      <c r="F352" s="262"/>
    </row>
    <row r="353" spans="1:6" ht="12.75">
      <c r="A353" s="262"/>
      <c r="B353" s="262"/>
      <c r="C353" s="262"/>
      <c r="D353" s="267"/>
      <c r="E353" s="262"/>
      <c r="F353" s="262"/>
    </row>
    <row r="354" spans="1:6" ht="12.75">
      <c r="A354" s="262"/>
      <c r="B354" s="262"/>
      <c r="C354" s="262"/>
      <c r="D354" s="267"/>
      <c r="E354" s="262"/>
      <c r="F354" s="262"/>
    </row>
    <row r="355" spans="1:6" ht="12.75">
      <c r="A355" s="262"/>
      <c r="B355" s="262"/>
      <c r="C355" s="262"/>
      <c r="D355" s="267"/>
      <c r="E355" s="262"/>
      <c r="F355" s="262"/>
    </row>
    <row r="356" spans="1:6" ht="12.75">
      <c r="A356" s="262"/>
      <c r="B356" s="262"/>
      <c r="C356" s="262"/>
      <c r="D356" s="267"/>
      <c r="E356" s="262"/>
      <c r="F356" s="262"/>
    </row>
    <row r="357" spans="1:6" ht="12.75">
      <c r="A357" s="262"/>
      <c r="B357" s="262"/>
      <c r="C357" s="262"/>
      <c r="D357" s="267"/>
      <c r="E357" s="262"/>
      <c r="F357" s="262"/>
    </row>
    <row r="358" spans="1:6" ht="12.75">
      <c r="A358" s="262"/>
      <c r="B358" s="262"/>
      <c r="C358" s="262"/>
      <c r="D358" s="267"/>
      <c r="E358" s="262"/>
      <c r="F358" s="262"/>
    </row>
    <row r="359" spans="1:6" ht="12.75">
      <c r="A359" s="262"/>
      <c r="B359" s="262"/>
      <c r="C359" s="262"/>
      <c r="D359" s="267"/>
      <c r="E359" s="262"/>
      <c r="F359" s="262"/>
    </row>
    <row r="360" spans="1:6" ht="12.75">
      <c r="A360" s="262"/>
      <c r="B360" s="262"/>
      <c r="C360" s="262"/>
      <c r="D360" s="267"/>
      <c r="E360" s="262"/>
      <c r="F360" s="262"/>
    </row>
    <row r="361" spans="1:6" ht="12.75">
      <c r="A361" s="262"/>
      <c r="B361" s="262"/>
      <c r="C361" s="262"/>
      <c r="D361" s="267"/>
      <c r="E361" s="262"/>
      <c r="F361" s="262"/>
    </row>
    <row r="362" spans="1:6" ht="12.75">
      <c r="A362" s="262"/>
      <c r="B362" s="262"/>
      <c r="C362" s="262"/>
      <c r="D362" s="267"/>
      <c r="E362" s="262"/>
      <c r="F362" s="262"/>
    </row>
    <row r="363" spans="1:6" ht="12.75">
      <c r="A363" s="262"/>
      <c r="B363" s="262"/>
      <c r="C363" s="262"/>
      <c r="D363" s="267"/>
      <c r="E363" s="262"/>
      <c r="F363" s="262"/>
    </row>
    <row r="364" spans="1:6" ht="12.75">
      <c r="A364" s="262"/>
      <c r="B364" s="262"/>
      <c r="C364" s="262"/>
      <c r="D364" s="267"/>
      <c r="E364" s="262"/>
      <c r="F364" s="262"/>
    </row>
    <row r="365" spans="1:6" ht="12.75">
      <c r="A365" s="262"/>
      <c r="B365" s="262"/>
      <c r="C365" s="262"/>
      <c r="D365" s="267"/>
      <c r="E365" s="262"/>
      <c r="F365" s="262"/>
    </row>
    <row r="366" spans="1:6" ht="12.75">
      <c r="A366" s="262"/>
      <c r="B366" s="262"/>
      <c r="C366" s="262"/>
      <c r="D366" s="267"/>
      <c r="E366" s="262"/>
      <c r="F366" s="262"/>
    </row>
    <row r="367" spans="1:6" ht="12.75">
      <c r="A367" s="262"/>
      <c r="B367" s="262"/>
      <c r="C367" s="262"/>
      <c r="D367" s="267"/>
      <c r="E367" s="262"/>
      <c r="F367" s="262"/>
    </row>
    <row r="368" spans="1:6" ht="12.75">
      <c r="A368" s="262"/>
      <c r="B368" s="262"/>
      <c r="C368" s="262"/>
      <c r="D368" s="267"/>
      <c r="E368" s="262"/>
      <c r="F368" s="262"/>
    </row>
    <row r="369" spans="1:6" ht="12.75">
      <c r="A369" s="262"/>
      <c r="B369" s="262"/>
      <c r="C369" s="262"/>
      <c r="D369" s="267"/>
      <c r="E369" s="262"/>
      <c r="F369" s="262"/>
    </row>
    <row r="370" spans="1:6" ht="12.75">
      <c r="A370" s="262"/>
      <c r="B370" s="262"/>
      <c r="C370" s="262"/>
      <c r="D370" s="267"/>
      <c r="E370" s="262"/>
      <c r="F370" s="262"/>
    </row>
    <row r="371" spans="1:6" ht="12.75">
      <c r="A371" s="262"/>
      <c r="B371" s="262"/>
      <c r="C371" s="262"/>
      <c r="D371" s="267"/>
      <c r="E371" s="262"/>
      <c r="F371" s="262"/>
    </row>
    <row r="372" spans="1:6" ht="12.75">
      <c r="A372" s="262"/>
      <c r="B372" s="262"/>
      <c r="C372" s="262"/>
      <c r="D372" s="267"/>
      <c r="E372" s="262"/>
      <c r="F372" s="262"/>
    </row>
    <row r="373" spans="1:6" ht="12.75">
      <c r="A373" s="262"/>
      <c r="B373" s="262"/>
      <c r="C373" s="262"/>
      <c r="D373" s="267"/>
      <c r="E373" s="262"/>
      <c r="F373" s="262"/>
    </row>
    <row r="374" spans="1:6" ht="12.75">
      <c r="A374" s="262"/>
      <c r="B374" s="262"/>
      <c r="C374" s="262"/>
      <c r="D374" s="267"/>
      <c r="E374" s="262"/>
      <c r="F374" s="262"/>
    </row>
    <row r="375" spans="1:6" ht="12.75">
      <c r="A375" s="262"/>
      <c r="B375" s="262"/>
      <c r="C375" s="262"/>
      <c r="D375" s="267"/>
      <c r="E375" s="262"/>
      <c r="F375" s="262"/>
    </row>
    <row r="376" spans="1:6" ht="12.75">
      <c r="A376" s="262"/>
      <c r="B376" s="262"/>
      <c r="C376" s="262"/>
      <c r="D376" s="267"/>
      <c r="E376" s="262"/>
      <c r="F376" s="262"/>
    </row>
    <row r="377" spans="1:6" ht="12.75">
      <c r="A377" s="262"/>
      <c r="B377" s="262"/>
      <c r="C377" s="262"/>
      <c r="D377" s="267"/>
      <c r="E377" s="262"/>
      <c r="F377" s="262"/>
    </row>
    <row r="378" spans="1:6" ht="12.75">
      <c r="A378" s="262"/>
      <c r="B378" s="262"/>
      <c r="C378" s="262"/>
      <c r="D378" s="267"/>
      <c r="E378" s="262"/>
      <c r="F378" s="262"/>
    </row>
    <row r="379" spans="1:6" ht="12.75">
      <c r="A379" s="262"/>
      <c r="B379" s="262"/>
      <c r="C379" s="262"/>
      <c r="D379" s="267"/>
      <c r="E379" s="262"/>
      <c r="F379" s="262"/>
    </row>
    <row r="380" spans="1:6" ht="12.75">
      <c r="A380" s="262"/>
      <c r="B380" s="262"/>
      <c r="C380" s="262"/>
      <c r="D380" s="267"/>
      <c r="E380" s="262"/>
      <c r="F380" s="262"/>
    </row>
    <row r="381" spans="1:6" ht="12.75">
      <c r="A381" s="262"/>
      <c r="B381" s="262"/>
      <c r="C381" s="262"/>
      <c r="D381" s="267"/>
      <c r="E381" s="262"/>
      <c r="F381" s="262"/>
    </row>
    <row r="382" spans="1:6" ht="12.75">
      <c r="A382" s="262"/>
      <c r="B382" s="262"/>
      <c r="C382" s="262"/>
      <c r="D382" s="267"/>
      <c r="E382" s="262"/>
      <c r="F382" s="262"/>
    </row>
    <row r="383" spans="1:6" ht="12.75">
      <c r="A383" s="262"/>
      <c r="B383" s="262"/>
      <c r="C383" s="262"/>
      <c r="D383" s="267"/>
      <c r="E383" s="262"/>
      <c r="F383" s="262"/>
    </row>
    <row r="384" spans="1:6" ht="12.75">
      <c r="A384" s="262"/>
      <c r="B384" s="262"/>
      <c r="C384" s="262"/>
      <c r="D384" s="267"/>
      <c r="E384" s="262"/>
      <c r="F384" s="262"/>
    </row>
    <row r="385" spans="1:6" ht="12.75">
      <c r="A385" s="262"/>
      <c r="B385" s="262"/>
      <c r="C385" s="262"/>
      <c r="D385" s="267"/>
      <c r="E385" s="262"/>
      <c r="F385" s="262"/>
    </row>
    <row r="386" spans="1:6" ht="12.75">
      <c r="A386" s="262"/>
      <c r="B386" s="262"/>
      <c r="C386" s="262"/>
      <c r="D386" s="267"/>
      <c r="E386" s="262"/>
      <c r="F386" s="262"/>
    </row>
    <row r="387" spans="1:6" ht="12.75">
      <c r="A387" s="262"/>
      <c r="B387" s="262"/>
      <c r="C387" s="262"/>
      <c r="D387" s="267"/>
      <c r="E387" s="262"/>
      <c r="F387" s="262"/>
    </row>
  </sheetData>
  <sheetProtection/>
  <mergeCells count="2">
    <mergeCell ref="C6:E6"/>
    <mergeCell ref="C7:E7"/>
  </mergeCells>
  <printOptions headings="1"/>
  <pageMargins left="0.5511811023622047" right="0.2362204724409449" top="0.5905511811023623" bottom="0.2362204724409449" header="0.5118110236220472" footer="0"/>
  <pageSetup fitToHeight="1" fitToWidth="1" horizontalDpi="600" verticalDpi="600" orientation="portrait" scale="86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2006-08-18T19:22:34Z</cp:lastPrinted>
  <dcterms:created xsi:type="dcterms:W3CDTF">2001-11-07T16:15:53Z</dcterms:created>
  <dcterms:modified xsi:type="dcterms:W3CDTF">2011-10-25T15:56:52Z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