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erin.connelly</author>
  </authors>
  <commentList>
    <comment ref="I15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from 2003 SIMPLI tax calc
</t>
        </r>
      </text>
    </comment>
    <comment ref="K15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from 2004 SIMPLI</t>
        </r>
      </text>
    </comment>
    <comment ref="I17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adjustment for 2003 unbilled amounts (per 2004 SIMPIL filing)</t>
        </r>
      </text>
    </comment>
    <comment ref="K17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from 2004 SIMPIL TAXCALC</t>
        </r>
      </text>
    </comment>
  </commentList>
</comments>
</file>

<file path=xl/sharedStrings.xml><?xml version="1.0" encoding="utf-8"?>
<sst xmlns="http://schemas.openxmlformats.org/spreadsheetml/2006/main" count="892" uniqueCount="511">
  <si>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</si>
  <si>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</si>
  <si>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</si>
  <si>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</si>
  <si>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</si>
  <si>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</si>
  <si>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</si>
  <si>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</si>
  <si>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</si>
  <si>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</si>
  <si>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</si>
  <si>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</si>
  <si>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</si>
  <si>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</si>
  <si>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</si>
  <si>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</si>
  <si>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</si>
  <si>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</si>
  <si>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</si>
  <si>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</si>
  <si>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</si>
  <si>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</si>
  <si>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</si>
  <si>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</si>
  <si>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</si>
  <si>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</si>
  <si>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</si>
  <si>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</si>
  <si>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</si>
  <si>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</si>
  <si>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</si>
  <si>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</si>
  <si>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</si>
  <si>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</si>
  <si>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</si>
  <si>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</si>
  <si>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</si>
  <si>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</si>
  <si>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</si>
  <si>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</si>
  <si>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</si>
  <si>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</si>
  <si>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</si>
  <si>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</si>
  <si>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</si>
  <si>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</si>
  <si>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</si>
  <si>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</si>
  <si>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</si>
  <si>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</si>
  <si>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</si>
  <si>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</si>
  <si>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</si>
  <si>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</si>
  <si>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</si>
  <si>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</si>
  <si>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</si>
  <si>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</si>
  <si>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</si>
  <si>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</si>
  <si>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</si>
  <si>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</si>
  <si>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</si>
  <si>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</si>
  <si>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</si>
  <si>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</si>
  <si>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</si>
  <si>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</si>
  <si>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</si>
  <si>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</si>
  <si>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</si>
  <si>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</si>
  <si>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</si>
  <si>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</si>
  <si>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</si>
  <si>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</si>
  <si>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</si>
  <si>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</si>
  <si>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</si>
  <si>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</si>
  <si>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</si>
  <si>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</si>
  <si>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</si>
  <si>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</si>
  <si>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</si>
  <si>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</si>
  <si>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</si>
  <si>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</si>
  <si>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</si>
  <si>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</si>
  <si>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</si>
  <si>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</si>
  <si>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</si>
  <si>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</si>
  <si>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</si>
  <si>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</si>
  <si>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</si>
  <si>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</si>
  <si>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</si>
  <si>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</si>
  <si>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</si>
  <si>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</si>
  <si>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</si>
  <si>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</si>
  <si>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</si>
  <si>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</si>
  <si>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</si>
  <si>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</si>
  <si>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</si>
  <si>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</si>
  <si>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</si>
  <si>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</si>
  <si>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</si>
  <si>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</si>
  <si>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</si>
  <si>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</si>
  <si>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</si>
  <si>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</si>
  <si>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</si>
  <si>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</si>
  <si>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</si>
  <si>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</si>
  <si>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</si>
  <si>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</si>
  <si>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</si>
  <si>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</si>
  <si>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</si>
  <si>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</si>
  <si>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</si>
  <si>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</si>
  <si>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</si>
  <si>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</si>
  <si>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</si>
  <si>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</si>
  <si>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</si>
  <si>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</si>
  <si>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</si>
  <si>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</si>
  <si>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</si>
  <si>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</si>
  <si>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</si>
  <si>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</si>
  <si>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</si>
  <si>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</si>
  <si>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</si>
  <si>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</si>
  <si>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</si>
  <si>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</si>
  <si>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</si>
  <si>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</si>
  <si>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</si>
  <si>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</si>
  <si>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</si>
  <si>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</si>
  <si>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</si>
  <si>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</si>
  <si>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</si>
  <si>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</si>
  <si>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</si>
  <si>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</si>
  <si>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</si>
  <si>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</si>
  <si>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</si>
  <si>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</si>
  <si>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</si>
  <si>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</si>
  <si>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</si>
  <si>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</si>
  <si>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</si>
  <si>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</si>
  <si>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</si>
  <si>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</si>
  <si>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</si>
  <si>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</si>
  <si>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</si>
  <si>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</si>
  <si>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</si>
  <si>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</si>
  <si>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</si>
  <si>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</si>
  <si>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</si>
  <si>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</si>
  <si>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</si>
  <si>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</si>
  <si>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</si>
  <si>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</si>
  <si>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</si>
  <si>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</si>
  <si>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</si>
  <si>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</si>
  <si>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</si>
  <si>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</si>
  <si>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</si>
  <si>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</si>
  <si>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</si>
  <si>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</si>
  <si>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</si>
  <si>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</si>
  <si>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</si>
  <si>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</si>
  <si>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</si>
  <si>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</si>
  <si>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</si>
  <si>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</si>
  <si>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</si>
  <si>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</si>
  <si>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</si>
  <si>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</si>
  <si>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</si>
  <si>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</si>
  <si>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</si>
  <si>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</si>
  <si>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</si>
  <si>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</si>
  <si>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</si>
  <si>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</si>
  <si>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</si>
  <si>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</si>
  <si>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</si>
  <si>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</si>
  <si>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</si>
  <si>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</si>
  <si>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</si>
  <si>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</si>
  <si>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</si>
  <si>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</si>
  <si>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</si>
  <si>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</si>
  <si>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</si>
  <si>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</si>
  <si>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</si>
  <si>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</si>
  <si>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</si>
  <si>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</si>
  <si>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</si>
  <si>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</si>
  <si>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</si>
  <si>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</si>
  <si>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</si>
  <si>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</si>
  <si>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</si>
  <si>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</si>
  <si>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</si>
  <si>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</si>
  <si>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</si>
  <si>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</si>
  <si>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</si>
  <si>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</si>
  <si>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</si>
  <si>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</si>
  <si>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</si>
  <si>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</si>
  <si>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</si>
  <si>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</si>
  <si>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</si>
  <si>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</si>
  <si>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</si>
  <si>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</si>
  <si>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</si>
  <si>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</si>
  <si>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</si>
  <si>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</si>
  <si>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</si>
  <si>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</si>
  <si>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</si>
  <si>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</si>
  <si>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</si>
  <si>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</si>
  <si>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</si>
  <si>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</si>
  <si>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</si>
  <si>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</si>
  <si>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</si>
  <si>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</si>
  <si>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</si>
  <si>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</si>
  <si>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</si>
  <si>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</si>
  <si>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</si>
  <si>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</si>
  <si>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</si>
  <si>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</si>
  <si>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</si>
  <si>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</si>
  <si>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</si>
  <si>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</si>
  <si>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</si>
  <si>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</si>
  <si>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</si>
  <si>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</si>
  <si>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</si>
  <si>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</si>
  <si>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</si>
  <si>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</si>
  <si>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</si>
  <si>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</si>
  <si>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</si>
  <si>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</si>
  <si>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</si>
  <si>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</si>
  <si>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</si>
  <si>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</si>
  <si>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</si>
  <si>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</si>
  <si>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</si>
  <si>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</si>
  <si>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</si>
  <si>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</si>
  <si>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</si>
  <si>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</si>
  <si>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</si>
  <si>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</si>
  <si>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</si>
  <si>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</si>
  <si>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</si>
  <si>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</si>
  <si>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</si>
  <si>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</si>
  <si>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</si>
  <si>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</si>
  <si>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</si>
  <si>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</si>
  <si>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</si>
  <si>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</si>
  <si>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</si>
  <si>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</si>
  <si>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</si>
  <si>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</si>
  <si>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</si>
  <si>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</si>
  <si>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</si>
  <si>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</si>
  <si>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</si>
  <si>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</si>
  <si>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</si>
  <si>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</si>
  <si>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</si>
  <si>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</si>
  <si>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</si>
  <si>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</si>
  <si>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</si>
  <si>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</si>
  <si>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</si>
  <si>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</si>
  <si>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</si>
  <si>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</si>
  <si>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</si>
  <si>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</si>
  <si>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</si>
  <si>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</si>
  <si>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</si>
  <si>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</si>
  <si>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</si>
  <si>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</si>
  <si>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</si>
  <si>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</si>
  <si>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</si>
  <si>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</si>
  <si>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</si>
  <si>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</si>
  <si>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</si>
  <si>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</si>
  <si>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</si>
  <si>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</si>
  <si>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</si>
  <si>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</si>
  <si>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</si>
  <si>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</si>
  <si>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</si>
  <si>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</si>
  <si>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</si>
  <si>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</si>
  <si>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</si>
  <si>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</si>
  <si>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</si>
  <si>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</si>
  <si>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</si>
  <si>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</si>
  <si>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</si>
  <si>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</si>
  <si>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</si>
  <si>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</si>
  <si>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</si>
  <si>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</si>
  <si>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</si>
  <si>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</si>
  <si>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</si>
  <si>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</si>
  <si>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</si>
  <si>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</si>
  <si>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</si>
  <si>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</si>
  <si>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</si>
  <si>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</si>
  <si>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</si>
  <si>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</si>
  <si>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</si>
  <si>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</si>
  <si>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</si>
  <si>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</si>
  <si>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</si>
  <si>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</si>
  <si>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</si>
  <si>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</si>
  <si>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</si>
  <si>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</si>
  <si>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</si>
  <si>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</si>
  <si>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</si>
  <si>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</si>
  <si>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</si>
  <si>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</si>
  <si>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</si>
  <si>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</si>
  <si>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</si>
  <si>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</si>
  <si>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</si>
  <si>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</si>
  <si>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</si>
  <si>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</si>
  <si>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</si>
  <si>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</si>
  <si>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</si>
  <si>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</si>
  <si>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</si>
  <si>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</si>
  <si>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</si>
  <si>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</si>
  <si>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</si>
  <si>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</si>
  <si>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</si>
  <si>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</si>
  <si>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</si>
  <si>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</si>
  <si>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</si>
  <si>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</si>
  <si>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</si>
  <si>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</si>
  <si>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</si>
  <si>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</si>
  <si>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</si>
  <si>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</si>
  <si>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</si>
  <si>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</si>
  <si>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</si>
  <si>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</si>
  <si>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</si>
  <si>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</si>
  <si>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</si>
  <si>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</si>
  <si>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</si>
  <si>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</si>
  <si>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</si>
  <si>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</si>
  <si>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</si>
  <si>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</si>
  <si>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</si>
  <si>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</si>
  <si>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</si>
  <si>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</si>
  <si>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</si>
  <si>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</si>
  <si>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</si>
  <si>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</si>
  <si>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</si>
  <si>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</si>
  <si>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</si>
  <si>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</si>
  <si>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</si>
  <si>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</si>
  <si>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</si>
  <si>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</si>
  <si>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</si>
  <si>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</si>
  <si>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</si>
  <si>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</si>
  <si>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</si>
  <si>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</si>
  <si>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</si>
  <si>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</si>
  <si>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</si>
  <si>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</si>
  <si>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</si>
  <si>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</si>
  <si>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</si>
  <si>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</si>
  <si>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</si>
  <si>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</si>
  <si>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</si>
  <si>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</si>
  <si>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</si>
  <si>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</si>
  <si>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</si>
  <si>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</si>
  <si>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</si>
  <si>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Y</t>
  </si>
  <si>
    <t>N</t>
  </si>
  <si>
    <t xml:space="preserve">  CDM 2005 incremental OM&amp;A expenses per 2005 PILs model</t>
  </si>
  <si>
    <t xml:space="preserve">     CDM Expenses for 2005</t>
  </si>
  <si>
    <t xml:space="preserve">     Interest on deposits and Future Pension Benefits</t>
  </si>
  <si>
    <t>Capital tax accrued in income statement</t>
  </si>
  <si>
    <t xml:space="preserve">    Partnership income</t>
  </si>
  <si>
    <t xml:space="preserve">   Interest and penalties on taxes</t>
  </si>
  <si>
    <t>Rate (as a result of legislative changes) tab 'Tax Rates' cell C55</t>
  </si>
  <si>
    <t>Utility Name: Greater Sudbury Hydro Inc</t>
  </si>
  <si>
    <t>Financially distressed</t>
  </si>
  <si>
    <t>PPAdj ($338,255), Gain on LTD ext ($338,000), ded'n 111(5.1) ($460,118)</t>
  </si>
  <si>
    <t>Corporate minimum tax</t>
  </si>
  <si>
    <t>Part 1.3 tax payable</t>
  </si>
  <si>
    <t>REFER TO APPENDIX 1 - CONTINUITY WORKING PAPER</t>
  </si>
  <si>
    <t>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</si>
</sst>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1" applyNumberFormat="1" applyFont="1" applyFill="1" applyBorder="1" applyAlignment="1" applyProtection="1" quotePrefix="1">
      <alignment vertical="top"/>
      <protection/>
    </xf>
    <xf numFmtId="3" fontId="0" fillId="36" borderId="47" xfId="61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6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9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40" borderId="18" xfId="0" applyNumberFormat="1" applyFill="1" applyBorder="1" applyAlignment="1">
      <alignment vertical="top"/>
    </xf>
    <xf numFmtId="0" fontId="8" fillId="0" borderId="24" xfId="65" applyFont="1" applyBorder="1" applyProtection="1">
      <alignment vertical="top"/>
      <protection/>
    </xf>
    <xf numFmtId="3" fontId="0" fillId="41" borderId="14" xfId="0" applyNumberFormat="1" applyFont="1" applyFill="1" applyBorder="1" applyAlignment="1" applyProtection="1">
      <alignment vertical="top"/>
      <protection/>
    </xf>
    <xf numFmtId="3" fontId="0" fillId="36" borderId="17" xfId="65" applyNumberFormat="1" applyFill="1" applyBorder="1" applyAlignment="1" applyProtection="1">
      <alignment horizontal="center" vertical="top"/>
      <protection locked="0"/>
    </xf>
    <xf numFmtId="0" fontId="0" fillId="0" borderId="0" xfId="65" applyFont="1">
      <alignment vertical="top"/>
      <protection locked="0"/>
    </xf>
    <xf numFmtId="0" fontId="8" fillId="0" borderId="0" xfId="65" applyFont="1">
      <alignment vertical="top"/>
      <protection locked="0"/>
    </xf>
    <xf numFmtId="0" fontId="0" fillId="0" borderId="0" xfId="65" applyFont="1" applyAlignment="1">
      <alignment vertical="top" wrapText="1"/>
      <protection locked="0"/>
    </xf>
    <xf numFmtId="0" fontId="4" fillId="0" borderId="0" xfId="65" applyFont="1" applyAlignment="1">
      <alignment vertical="top" wrapText="1"/>
      <protection locked="0"/>
    </xf>
    <xf numFmtId="0" fontId="4" fillId="0" borderId="0" xfId="65" applyFont="1" applyBorder="1" applyAlignment="1">
      <alignment vertical="top" wrapText="1"/>
      <protection locked="0"/>
    </xf>
    <xf numFmtId="3" fontId="0" fillId="36" borderId="0" xfId="65" applyNumberFormat="1" applyFill="1" applyAlignment="1">
      <alignment/>
      <protection locked="0"/>
    </xf>
    <xf numFmtId="10" fontId="0" fillId="42" borderId="0" xfId="69" applyFont="1" applyFill="1" applyAlignment="1" applyProtection="1">
      <alignment vertical="top"/>
      <protection locked="0"/>
    </xf>
    <xf numFmtId="3" fontId="0" fillId="41" borderId="0" xfId="42" applyNumberFormat="1" applyFont="1" applyFill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/>
    </xf>
    <xf numFmtId="3" fontId="0" fillId="41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66" applyFont="1" applyAlignment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1" borderId="0" xfId="0" applyFont="1" applyFill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1 3" xfId="55"/>
    <cellStyle name="Heading 2" xfId="56"/>
    <cellStyle name="Heading 2 2" xfId="57"/>
    <cellStyle name="Heading 2 3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zoomScale="75" zoomScaleNormal="75" zoomScalePageLayoutView="0" workbookViewId="0" topLeftCell="A34">
      <selection activeCell="H64" sqref="H64"/>
    </sheetView>
  </sheetViews>
  <sheetFormatPr defaultColWidth="9.140625" defaultRowHeight="12.75"/>
  <cols>
    <col min="1" max="1" width="57.7109375" style="0" customWidth="1"/>
    <col min="2" max="2" width="11.8515625" style="0" customWidth="1"/>
    <col min="3" max="3" width="8.8515625" style="0" bestFit="1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504</v>
      </c>
      <c r="C3" s="8"/>
      <c r="D3" s="453" t="s">
        <v>445</v>
      </c>
      <c r="E3" s="8"/>
      <c r="F3" s="8"/>
      <c r="G3" s="8"/>
      <c r="H3" s="8"/>
    </row>
    <row r="4" spans="1:8" ht="12.75">
      <c r="A4" s="2" t="s">
        <v>478</v>
      </c>
      <c r="C4" s="8"/>
      <c r="D4" s="452" t="s">
        <v>440</v>
      </c>
      <c r="E4" s="427"/>
      <c r="H4" s="8"/>
    </row>
    <row r="5" spans="1:8" ht="12.75">
      <c r="A5" s="51"/>
      <c r="C5" s="8"/>
      <c r="D5" s="451" t="s">
        <v>441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1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0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0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0" t="s">
        <v>496</v>
      </c>
    </row>
    <row r="18" spans="1:4" ht="15" customHeight="1">
      <c r="A18" s="388" t="s">
        <v>314</v>
      </c>
      <c r="C18" s="8"/>
      <c r="D18" s="8"/>
    </row>
    <row r="19" spans="1:4" ht="15" customHeight="1">
      <c r="A19" s="512" t="s">
        <v>315</v>
      </c>
      <c r="B19" s="8" t="s">
        <v>312</v>
      </c>
      <c r="C19" s="8" t="s">
        <v>64</v>
      </c>
      <c r="D19" s="491" t="s">
        <v>495</v>
      </c>
    </row>
    <row r="20" spans="1:4" ht="13.5" thickBot="1">
      <c r="A20" s="513"/>
      <c r="B20" s="8" t="s">
        <v>313</v>
      </c>
      <c r="C20" s="8" t="s">
        <v>64</v>
      </c>
      <c r="D20" s="490" t="s">
        <v>495</v>
      </c>
    </row>
    <row r="21" spans="1:4" ht="12.75">
      <c r="A21" s="512" t="s">
        <v>311</v>
      </c>
      <c r="B21" s="8" t="s">
        <v>312</v>
      </c>
      <c r="C21" s="8"/>
      <c r="D21" s="422">
        <v>1</v>
      </c>
    </row>
    <row r="22" spans="1:4" ht="12.75">
      <c r="A22" s="512"/>
      <c r="B22" s="8" t="s">
        <v>313</v>
      </c>
      <c r="C22" s="8"/>
      <c r="D22" s="422">
        <v>1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4" t="s">
        <v>67</v>
      </c>
      <c r="C26" s="8"/>
      <c r="E26" s="442" t="s">
        <v>297</v>
      </c>
    </row>
    <row r="27" spans="1:5" ht="12.75">
      <c r="A27" s="255" t="s">
        <v>68</v>
      </c>
      <c r="C27" s="8"/>
      <c r="E27" s="443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0">
        <v>3010436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257843.8434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0</v>
      </c>
      <c r="E43" s="386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257843.8434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257844</v>
      </c>
      <c r="E47" s="386">
        <f aca="true" t="shared" si="0" ref="E47:E53">D47</f>
        <v>257844</v>
      </c>
      <c r="H47" s="40"/>
      <c r="J47" s="5"/>
      <c r="K47" s="5"/>
    </row>
    <row r="48" spans="1:11" ht="12.75">
      <c r="A48" t="s">
        <v>290</v>
      </c>
      <c r="B48" s="507" t="s">
        <v>505</v>
      </c>
      <c r="D48" s="425"/>
      <c r="E48" s="386">
        <f>D48</f>
        <v>0</v>
      </c>
      <c r="F48" s="22"/>
      <c r="H48" s="40"/>
      <c r="J48" s="5"/>
      <c r="K48" s="5"/>
    </row>
    <row r="49" spans="1:11" ht="12.75">
      <c r="A49" t="s">
        <v>291</v>
      </c>
      <c r="D49" s="426"/>
      <c r="E49" s="386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437</v>
      </c>
      <c r="C51" s="502">
        <v>1</v>
      </c>
      <c r="D51" s="503">
        <v>0</v>
      </c>
      <c r="E51" s="386">
        <f>+C51*D51</f>
        <v>0</v>
      </c>
      <c r="G51" s="3"/>
      <c r="H51" s="40"/>
      <c r="J51" s="5"/>
      <c r="K51" s="5"/>
    </row>
    <row r="52" spans="1:11" ht="12.75">
      <c r="A52" t="s">
        <v>460</v>
      </c>
      <c r="D52" s="427">
        <v>6214</v>
      </c>
      <c r="E52" s="386">
        <f>D52</f>
        <v>6214</v>
      </c>
      <c r="G52" s="488"/>
      <c r="H52" s="40"/>
      <c r="J52" s="5"/>
      <c r="K52" s="5"/>
    </row>
    <row r="53" spans="4:11" ht="12.75">
      <c r="D53" s="427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3">
        <f>SUM(E43:E53)</f>
        <v>264058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1505218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148715.5384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1505218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109128.305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109128.37127845883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109128.37127845883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109128.37127845883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109128.305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1"/>
  <sheetViews>
    <sheetView zoomScale="75" zoomScaleNormal="75" zoomScalePageLayoutView="0" workbookViewId="0" topLeftCell="A115">
      <selection activeCell="E131" sqref="E131"/>
    </sheetView>
  </sheetViews>
  <sheetFormatPr defaultColWidth="9.140625" defaultRowHeight="12.75"/>
  <cols>
    <col min="1" max="1" width="67.14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EB-2008-0381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463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250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Greater Sudbury Hydro Inc</v>
      </c>
      <c r="B6" s="114"/>
      <c r="D6" s="136"/>
      <c r="E6" s="114"/>
      <c r="G6" s="114"/>
      <c r="H6" s="463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63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8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256</v>
      </c>
      <c r="B10" s="428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339</v>
      </c>
      <c r="B16" s="124">
        <v>1</v>
      </c>
      <c r="C16" s="257">
        <f>REGINFO!E54</f>
        <v>264058</v>
      </c>
      <c r="D16" s="17"/>
      <c r="E16" s="265">
        <f>G16-C16</f>
        <v>27375</v>
      </c>
      <c r="F16" s="3"/>
      <c r="G16" s="265">
        <f>TAXREC!E50</f>
        <v>291433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172160</v>
      </c>
      <c r="D20" s="18"/>
      <c r="E20" s="265">
        <f>G20-C20</f>
        <v>21155</v>
      </c>
      <c r="F20" s="6"/>
      <c r="G20" s="265">
        <f>TAXREC!E61</f>
        <v>193315</v>
      </c>
      <c r="H20" s="150"/>
    </row>
    <row r="21" spans="1:8" ht="12.75">
      <c r="A21" s="157" t="s">
        <v>56</v>
      </c>
      <c r="B21" s="126">
        <v>3</v>
      </c>
      <c r="C21" s="259"/>
      <c r="D21" s="18"/>
      <c r="E21" s="265">
        <f>G21-C21</f>
        <v>62708</v>
      </c>
      <c r="F21" s="6"/>
      <c r="G21" s="265">
        <f>TAXREC!E62</f>
        <v>62708</v>
      </c>
      <c r="H21" s="150"/>
    </row>
    <row r="22" spans="1:8" ht="12.75">
      <c r="A22" s="157" t="s">
        <v>264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263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265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159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158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157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9" t="s">
        <v>393</v>
      </c>
      <c r="B30" s="126"/>
      <c r="C30" s="257"/>
      <c r="D30" s="18"/>
      <c r="E30" s="265">
        <f>G30-C30</f>
        <v>125897</v>
      </c>
      <c r="F30" s="6"/>
      <c r="G30" s="265">
        <f>TAXREC!E66</f>
        <v>125897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9">
        <v>269267</v>
      </c>
      <c r="D33" s="131"/>
      <c r="E33" s="265">
        <f aca="true" t="shared" si="0" ref="E33:E43">G33-C33</f>
        <v>-3776</v>
      </c>
      <c r="F33" s="6"/>
      <c r="G33" s="265">
        <f>TAXREC!E97+TAXREC!E98</f>
        <v>265491</v>
      </c>
      <c r="H33" s="150"/>
    </row>
    <row r="34" spans="1:8" ht="12.75">
      <c r="A34" s="157" t="s">
        <v>57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266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8">
        <f>REGINFO!D70</f>
        <v>109128.305</v>
      </c>
      <c r="D37" s="131"/>
      <c r="E37" s="265">
        <f t="shared" si="0"/>
        <v>-109128.305</v>
      </c>
      <c r="F37" s="6"/>
      <c r="G37" s="265">
        <f>TAXREC!E51</f>
        <v>0</v>
      </c>
      <c r="H37" s="150"/>
    </row>
    <row r="38" spans="1:8" ht="12.75">
      <c r="A38" s="154" t="s">
        <v>262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261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184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493" t="s">
        <v>497</v>
      </c>
      <c r="B43" s="124">
        <v>12</v>
      </c>
      <c r="C43" s="492">
        <v>0</v>
      </c>
      <c r="D43" s="131"/>
      <c r="E43" s="265">
        <f t="shared" si="0"/>
        <v>0</v>
      </c>
      <c r="F43" s="6"/>
      <c r="G43" s="265">
        <f>TAXREC!E111</f>
        <v>0</v>
      </c>
      <c r="H43" s="150"/>
    </row>
    <row r="44" spans="1:8" ht="12.75">
      <c r="A44" s="157" t="s">
        <v>54</v>
      </c>
      <c r="B44" s="126"/>
      <c r="C44" s="104"/>
      <c r="D44" s="131"/>
      <c r="E44" s="138"/>
      <c r="F44" s="6"/>
      <c r="G44" s="138"/>
      <c r="H44" s="150"/>
    </row>
    <row r="45" spans="1:8" ht="12.75">
      <c r="A45" s="157" t="s">
        <v>156</v>
      </c>
      <c r="B45" s="126">
        <v>12</v>
      </c>
      <c r="C45" s="259"/>
      <c r="D45" s="131"/>
      <c r="E45" s="265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0</v>
      </c>
      <c r="F46" s="6"/>
      <c r="G46" s="250">
        <f>TAXREC!E132</f>
        <v>0</v>
      </c>
      <c r="H46" s="150"/>
    </row>
    <row r="47" spans="1:8" ht="12.75">
      <c r="A47" s="157" t="s">
        <v>155</v>
      </c>
      <c r="B47" s="126">
        <v>12</v>
      </c>
      <c r="C47" s="259"/>
      <c r="D47" s="131"/>
      <c r="E47" s="265">
        <f>G47-C47</f>
        <v>0</v>
      </c>
      <c r="F47" s="6"/>
      <c r="G47" s="250">
        <f>TAXREC!E111</f>
        <v>0</v>
      </c>
      <c r="H47" s="150"/>
    </row>
    <row r="48" spans="1:8" ht="12.75">
      <c r="A48" s="157" t="s">
        <v>154</v>
      </c>
      <c r="B48" s="126">
        <v>12</v>
      </c>
      <c r="C48" s="259"/>
      <c r="D48" s="131"/>
      <c r="E48" s="265">
        <f>G48-C48</f>
        <v>0</v>
      </c>
      <c r="F48" s="6"/>
      <c r="G48" s="250">
        <f>TAXREC!E112</f>
        <v>0</v>
      </c>
      <c r="H48" s="150"/>
    </row>
    <row r="49" spans="1:8" ht="15.75">
      <c r="A49" s="479" t="s">
        <v>393</v>
      </c>
      <c r="B49" s="126"/>
      <c r="C49" s="257"/>
      <c r="D49" s="131"/>
      <c r="E49" s="265">
        <f>G49-C49</f>
        <v>1136373</v>
      </c>
      <c r="F49" s="6"/>
      <c r="G49" s="250">
        <f>TAXREC!E108</f>
        <v>1136373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326</v>
      </c>
      <c r="B51" s="124"/>
      <c r="C51" s="261">
        <f>C16+SUM(C20:C30)-SUM(C33:C49)</f>
        <v>57822.69500000001</v>
      </c>
      <c r="D51" s="101"/>
      <c r="E51" s="261">
        <f>E16+SUM(E20:E30)-SUM(E33:E49)</f>
        <v>-786333.6950000001</v>
      </c>
      <c r="F51" s="430" t="s">
        <v>365</v>
      </c>
      <c r="G51" s="261">
        <f>G16+SUM(G20:G30)-SUM(G33:G49)</f>
        <v>-728511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334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338</v>
      </c>
      <c r="B54" s="126">
        <v>13</v>
      </c>
      <c r="C54" s="260">
        <f>IF($C$51&gt;'Tax Rates'!$E$11,'Tax Rates'!$F$16,IF($C$51&gt;'Tax Rates'!$C$11,'Tax Rates'!$E$16,'Tax Rates'!$C$16))</f>
        <v>0.1862</v>
      </c>
      <c r="D54" s="101"/>
      <c r="E54" s="266">
        <f>+G54-C54</f>
        <v>0.17500000000000002</v>
      </c>
      <c r="F54" s="113"/>
      <c r="G54" s="471">
        <f>+'Tax Rates'!F52</f>
        <v>0.3612</v>
      </c>
      <c r="H54" s="150"/>
      <c r="I54" s="468" t="s">
        <v>102</v>
      </c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28</v>
      </c>
      <c r="B56" s="126"/>
      <c r="C56" s="262">
        <f>IF(C51&gt;0,C51*C54,0)</f>
        <v>10766.585809000002</v>
      </c>
      <c r="D56" s="101"/>
      <c r="E56" s="265">
        <f>G56-C56</f>
        <v>-4521.585809000002</v>
      </c>
      <c r="F56" s="430" t="s">
        <v>366</v>
      </c>
      <c r="G56" s="262">
        <f>TAXREC!E145</f>
        <v>6245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36</v>
      </c>
      <c r="B59" s="126">
        <v>14</v>
      </c>
      <c r="C59" s="263"/>
      <c r="D59" s="131"/>
      <c r="E59" s="265">
        <f>+G59-C59</f>
        <v>0</v>
      </c>
      <c r="F59" s="430" t="s">
        <v>366</v>
      </c>
      <c r="G59" s="268">
        <f>TAXREC!E146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37</v>
      </c>
      <c r="B61" s="133"/>
      <c r="C61" s="264">
        <f>+C56-C59</f>
        <v>10766.585809000002</v>
      </c>
      <c r="D61" s="132"/>
      <c r="E61" s="267">
        <f>+E56-E59</f>
        <v>-4521.585809000002</v>
      </c>
      <c r="F61" s="430" t="s">
        <v>366</v>
      </c>
      <c r="G61" s="267">
        <f>+G56-G59</f>
        <v>6245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31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29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17</v>
      </c>
      <c r="B67" s="124">
        <v>15</v>
      </c>
      <c r="C67" s="262">
        <f>Ratebase</f>
        <v>3010436</v>
      </c>
      <c r="D67" s="101"/>
      <c r="E67" s="265">
        <f>G67-C67</f>
        <v>-1814303</v>
      </c>
      <c r="F67" s="6"/>
      <c r="G67" s="473">
        <v>1196133</v>
      </c>
      <c r="H67" s="150"/>
      <c r="I67" s="504" t="s">
        <v>102</v>
      </c>
    </row>
    <row r="68" spans="1:10" ht="12.75">
      <c r="A68" s="151" t="s">
        <v>358</v>
      </c>
      <c r="B68" s="124">
        <v>16</v>
      </c>
      <c r="C68" s="258">
        <f>IF(C67&gt;0,'Tax Rates'!C21,0)</f>
        <v>7500000</v>
      </c>
      <c r="D68" s="101"/>
      <c r="E68" s="265">
        <f>G68-C68</f>
        <v>0</v>
      </c>
      <c r="F68" s="6"/>
      <c r="G68" s="265">
        <f>'Tax Rates'!C57</f>
        <v>7500000</v>
      </c>
      <c r="H68" s="150"/>
      <c r="I68" s="504" t="s">
        <v>102</v>
      </c>
      <c r="J68" s="505" t="s">
        <v>102</v>
      </c>
    </row>
    <row r="69" spans="1:8" ht="12.75">
      <c r="A69" s="151" t="s">
        <v>42</v>
      </c>
      <c r="B69" s="124"/>
      <c r="C69" s="262">
        <f>IF((C67-C68)&gt;0,C67-C68,0)</f>
        <v>0</v>
      </c>
      <c r="D69" s="101"/>
      <c r="E69" s="265">
        <f>SUM(E67:E68)</f>
        <v>-1814303</v>
      </c>
      <c r="F69" s="113"/>
      <c r="G69" s="262">
        <f>G67-G68</f>
        <v>-6303867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359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316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75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218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17</v>
      </c>
      <c r="B76" s="124">
        <v>18</v>
      </c>
      <c r="C76" s="262">
        <f>Ratebase</f>
        <v>3010436</v>
      </c>
      <c r="D76" s="101"/>
      <c r="E76" s="265">
        <f>+G76-C76</f>
        <v>-998025</v>
      </c>
      <c r="F76" s="6"/>
      <c r="G76" s="473">
        <v>2012411</v>
      </c>
      <c r="H76" s="150"/>
      <c r="I76" s="474" t="s">
        <v>468</v>
      </c>
    </row>
    <row r="77" spans="1:9" ht="12.75">
      <c r="A77" s="151" t="s">
        <v>358</v>
      </c>
      <c r="B77" s="124">
        <v>19</v>
      </c>
      <c r="C77" s="258">
        <f>IF(C76&gt;0,'Tax Rates'!C22,0)</f>
        <v>50000000</v>
      </c>
      <c r="D77" s="18"/>
      <c r="E77" s="265">
        <f>+G77-C77</f>
        <v>0</v>
      </c>
      <c r="F77" s="6"/>
      <c r="G77" s="265">
        <f>'Tax Rates'!C58</f>
        <v>50000000</v>
      </c>
      <c r="H77" s="150"/>
      <c r="I77" s="474" t="s">
        <v>468</v>
      </c>
    </row>
    <row r="78" spans="1:8" ht="12.75">
      <c r="A78" s="151" t="s">
        <v>42</v>
      </c>
      <c r="B78" s="124"/>
      <c r="C78" s="262">
        <f>IF((C76-C77)&gt;0,C76-C77,0)</f>
        <v>0</v>
      </c>
      <c r="D78" s="19"/>
      <c r="E78" s="265">
        <f>SUM(E76:E77)</f>
        <v>-998025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359</v>
      </c>
      <c r="B80" s="124">
        <v>20</v>
      </c>
      <c r="C80" s="299">
        <f>'Tax Rates'!C19</f>
        <v>0.00175</v>
      </c>
      <c r="D80" s="101"/>
      <c r="E80" s="266">
        <f>G80-C80</f>
        <v>0</v>
      </c>
      <c r="F80" s="6"/>
      <c r="G80" s="266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317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318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Rates'!G20,0),0)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32</v>
      </c>
      <c r="B85" s="124"/>
      <c r="C85" s="262">
        <f>C82-C83</f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118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227</v>
      </c>
      <c r="B89" s="124"/>
      <c r="C89" s="260">
        <f>IF($C$51&gt;'Tax Rates'!$E$11,'Tax Rates'!$F$16,IF(AND($C$51&gt;='Tax Rates'!$C$11,$C$51&lt;='Tax Rates'!E11),'Tax Rates'!$E$16,'Tax Rates'!$C$16))</f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367</v>
      </c>
      <c r="B91" s="126">
        <v>22</v>
      </c>
      <c r="C91" s="262">
        <f>C61/(1-C89)</f>
        <v>13230.014510936351</v>
      </c>
      <c r="D91" s="20"/>
      <c r="E91" s="138"/>
      <c r="F91" s="429" t="s">
        <v>489</v>
      </c>
      <c r="G91" s="268">
        <f>TAXREC!E157</f>
        <v>6245</v>
      </c>
      <c r="H91" s="150"/>
    </row>
    <row r="92" spans="1:8" ht="12.75">
      <c r="A92" s="157" t="s">
        <v>368</v>
      </c>
      <c r="B92" s="126">
        <v>23</v>
      </c>
      <c r="C92" s="262">
        <f>C85/(1-C89)</f>
        <v>0</v>
      </c>
      <c r="D92" s="20"/>
      <c r="E92" s="138"/>
      <c r="F92" s="429" t="s">
        <v>489</v>
      </c>
      <c r="G92" s="268">
        <f>TAXREC!E159</f>
        <v>0</v>
      </c>
      <c r="H92" s="150"/>
    </row>
    <row r="93" spans="1:8" ht="12.75">
      <c r="A93" s="157" t="s">
        <v>346</v>
      </c>
      <c r="B93" s="126">
        <v>24</v>
      </c>
      <c r="C93" s="262">
        <f>C73</f>
        <v>0</v>
      </c>
      <c r="D93" s="20"/>
      <c r="E93" s="138"/>
      <c r="F93" s="429" t="s">
        <v>489</v>
      </c>
      <c r="G93" s="268">
        <f>TAXREC!E158</f>
        <v>600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490</v>
      </c>
      <c r="B96" s="124">
        <v>25</v>
      </c>
      <c r="C96" s="267">
        <f>SUM(C91:C94)</f>
        <v>13230.014510936351</v>
      </c>
      <c r="D96" s="6"/>
      <c r="E96" s="138"/>
      <c r="F96" s="429" t="s">
        <v>489</v>
      </c>
      <c r="G96" s="412">
        <f>SUM(G91:G95)</f>
        <v>6845</v>
      </c>
      <c r="H96" s="163"/>
    </row>
    <row r="97" spans="1:8" ht="12.75">
      <c r="A97" s="402" t="s">
        <v>308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305</v>
      </c>
      <c r="B100" s="122"/>
      <c r="C100" s="111"/>
      <c r="D100" s="3"/>
      <c r="E100" s="111"/>
      <c r="F100" s="3"/>
      <c r="G100" s="199"/>
      <c r="H100" s="163"/>
    </row>
    <row r="101" spans="1:8" ht="15">
      <c r="A101" s="165" t="s">
        <v>247</v>
      </c>
      <c r="B101" s="122"/>
      <c r="C101" s="111"/>
      <c r="D101" s="3"/>
      <c r="E101" s="142" t="s">
        <v>249</v>
      </c>
      <c r="F101" s="37"/>
      <c r="G101" s="199"/>
      <c r="H101" s="163"/>
    </row>
    <row r="102" spans="1:8" ht="12.75">
      <c r="A102" s="155" t="s">
        <v>344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56</v>
      </c>
      <c r="B103" s="126">
        <v>3</v>
      </c>
      <c r="C103" s="111"/>
      <c r="D103" s="3"/>
      <c r="E103" s="250">
        <f>E21</f>
        <v>62708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50">
        <f>E22</f>
        <v>0</v>
      </c>
      <c r="F104" s="37"/>
      <c r="G104" s="200"/>
      <c r="H104" s="163"/>
    </row>
    <row r="105" spans="1:8" ht="12.75">
      <c r="A105" s="157" t="s">
        <v>100</v>
      </c>
      <c r="B105" s="126">
        <v>4</v>
      </c>
      <c r="C105" s="111"/>
      <c r="D105" s="3"/>
      <c r="E105" s="250">
        <f>E23</f>
        <v>0</v>
      </c>
      <c r="F105" s="37"/>
      <c r="G105" s="200"/>
      <c r="H105" s="163"/>
    </row>
    <row r="106" spans="1:8" ht="12.75">
      <c r="A106" s="157" t="s">
        <v>44</v>
      </c>
      <c r="B106" s="126">
        <v>5</v>
      </c>
      <c r="C106" s="111"/>
      <c r="D106" s="3"/>
      <c r="E106" s="250">
        <f>E24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50">
        <f>E26</f>
        <v>0</v>
      </c>
      <c r="F107" s="37"/>
      <c r="G107" s="200"/>
      <c r="H107" s="163"/>
    </row>
    <row r="108" spans="1:8" ht="12.75">
      <c r="A108" s="157" t="s">
        <v>362</v>
      </c>
      <c r="B108" s="126">
        <v>6</v>
      </c>
      <c r="C108" s="111"/>
      <c r="D108" s="3"/>
      <c r="E108" s="250">
        <f>E28</f>
        <v>0</v>
      </c>
      <c r="F108" s="37"/>
      <c r="G108" s="200"/>
      <c r="H108" s="163"/>
    </row>
    <row r="109" spans="1:8" ht="12.75">
      <c r="A109" s="155" t="s">
        <v>360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57</v>
      </c>
      <c r="B110" s="126">
        <v>8</v>
      </c>
      <c r="C110" s="111"/>
      <c r="D110" s="3"/>
      <c r="E110" s="250">
        <f>E34</f>
        <v>0</v>
      </c>
      <c r="F110" s="37"/>
      <c r="G110" s="200"/>
      <c r="H110" s="163"/>
    </row>
    <row r="111" spans="1:8" ht="12.75">
      <c r="A111" s="157" t="s">
        <v>45</v>
      </c>
      <c r="B111" s="126">
        <v>9</v>
      </c>
      <c r="C111" s="111"/>
      <c r="D111" s="3"/>
      <c r="E111" s="250">
        <f>E35</f>
        <v>0</v>
      </c>
      <c r="F111" s="37"/>
      <c r="G111" s="200"/>
      <c r="H111" s="163"/>
    </row>
    <row r="112" spans="1:8" ht="12.75">
      <c r="A112" s="157" t="s">
        <v>44</v>
      </c>
      <c r="B112" s="126">
        <v>10</v>
      </c>
      <c r="C112" s="111"/>
      <c r="D112" s="3"/>
      <c r="E112" s="250">
        <f>E36</f>
        <v>0</v>
      </c>
      <c r="F112" s="37"/>
      <c r="G112" s="200"/>
      <c r="H112" s="163"/>
    </row>
    <row r="113" spans="1:8" ht="12.75">
      <c r="A113" s="154" t="s">
        <v>474</v>
      </c>
      <c r="B113" s="126">
        <v>11</v>
      </c>
      <c r="C113" s="111"/>
      <c r="D113" s="3"/>
      <c r="E113" s="47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50">
        <f>E38</f>
        <v>0</v>
      </c>
      <c r="F114" s="37"/>
      <c r="G114" s="200"/>
      <c r="H114" s="163"/>
    </row>
    <row r="115" spans="1:8" ht="12.75">
      <c r="A115" s="154" t="s">
        <v>101</v>
      </c>
      <c r="B115" s="124">
        <v>4</v>
      </c>
      <c r="C115" s="111"/>
      <c r="D115" s="3"/>
      <c r="E115" s="250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50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50">
        <f>E41</f>
        <v>0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50">
        <f>E45</f>
        <v>0</v>
      </c>
      <c r="F118" s="37"/>
      <c r="G118" s="200"/>
      <c r="H118" s="163"/>
    </row>
    <row r="119" spans="1:8" ht="12.75">
      <c r="A119" s="157" t="s">
        <v>364</v>
      </c>
      <c r="B119" s="126">
        <v>12</v>
      </c>
      <c r="C119" s="111"/>
      <c r="D119" s="3"/>
      <c r="E119" s="250">
        <f>E47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220</v>
      </c>
      <c r="B121" s="126">
        <v>26</v>
      </c>
      <c r="C121" s="111"/>
      <c r="D121" s="116" t="s">
        <v>189</v>
      </c>
      <c r="E121" s="262">
        <f>SUM(E103:E108)-SUM(E110:E119)</f>
        <v>62708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492</v>
      </c>
      <c r="B123" s="126"/>
      <c r="C123" s="111"/>
      <c r="D123" s="3" t="s">
        <v>231</v>
      </c>
      <c r="E123" s="467">
        <v>0.1862</v>
      </c>
      <c r="F123" s="468"/>
      <c r="G123" s="200" t="s">
        <v>102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102</v>
      </c>
      <c r="H124" s="163"/>
    </row>
    <row r="125" spans="1:8" ht="12.75">
      <c r="A125" s="157" t="s">
        <v>246</v>
      </c>
      <c r="B125" s="126"/>
      <c r="C125" s="111"/>
      <c r="D125" s="3" t="s">
        <v>189</v>
      </c>
      <c r="E125" s="262">
        <f>E121*E123</f>
        <v>11676.2296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114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117</v>
      </c>
      <c r="B129" s="126"/>
      <c r="C129" s="111"/>
      <c r="D129" s="3"/>
      <c r="E129" s="262">
        <f>E125-E127</f>
        <v>11676.2296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196</v>
      </c>
      <c r="B131" s="126"/>
      <c r="C131" s="111"/>
      <c r="D131" s="3"/>
      <c r="E131" s="310">
        <f>IF((E121+C51)&gt;'Tax Rates'!$E$47,'Tax Rates'!$F$52-1.12%,IF((E121+C51)&gt;'Tax Rates'!$D$47,'Tax Rates'!$E$52-1.12%,IF((E121+C51)&gt;'Tax Rates'!$C$47,'Tax Rates'!$D$52-1.12%,'Tax Rates'!$C$52-1.12%)))</f>
        <v>0.175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350</v>
      </c>
      <c r="B133" s="129"/>
      <c r="C133" s="111"/>
      <c r="D133" s="3"/>
      <c r="E133" s="483">
        <f>E129/(1-E131)</f>
        <v>14153.005575757577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30">
      <c r="A135" s="168" t="s">
        <v>353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5.5">
      <c r="A137" s="170" t="s">
        <v>235</v>
      </c>
      <c r="B137" s="129"/>
      <c r="C137" s="111"/>
      <c r="D137" s="117" t="s">
        <v>189</v>
      </c>
      <c r="E137" s="300">
        <f>C51</f>
        <v>57822.69500000001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237</v>
      </c>
      <c r="B139" s="129"/>
      <c r="C139" s="111"/>
      <c r="D139" s="118" t="s">
        <v>231</v>
      </c>
      <c r="E139" s="310">
        <f>IF((E121+E137)&gt;'Tax Rates'!E47,'Tax Rates'!F52,IF((E121+E137)&gt;'Tax Rates'!D47,'Tax Rates'!E52,IF((E121+E137)&gt;'Tax Rates'!C47,'Tax Rates'!D52,'Tax Rates'!C52)))</f>
        <v>0.1862</v>
      </c>
      <c r="F139" s="196" t="s">
        <v>102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229</v>
      </c>
      <c r="B141" s="129"/>
      <c r="C141" s="111"/>
      <c r="D141" s="117" t="s">
        <v>189</v>
      </c>
      <c r="E141" s="301">
        <f>IF(E137&gt;0,E137*E139,0)</f>
        <v>10766.585809000002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238</v>
      </c>
      <c r="B143" s="129"/>
      <c r="C143" s="111"/>
      <c r="D143" s="117" t="s">
        <v>188</v>
      </c>
      <c r="E143" s="302">
        <f>TAXREC!E146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230</v>
      </c>
      <c r="B145" s="129"/>
      <c r="C145" s="111"/>
      <c r="D145" s="118" t="s">
        <v>189</v>
      </c>
      <c r="E145" s="300">
        <f>E141-E143</f>
        <v>10766.585809000002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5.5">
      <c r="A147" s="170" t="s">
        <v>239</v>
      </c>
      <c r="B147" s="129"/>
      <c r="C147" s="111"/>
      <c r="D147" s="117" t="s">
        <v>188</v>
      </c>
      <c r="E147" s="300">
        <f>C61</f>
        <v>10766.585809000002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232</v>
      </c>
      <c r="B149" s="129"/>
      <c r="C149" s="111"/>
      <c r="D149" s="117" t="s">
        <v>189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5" t="s">
        <v>20</v>
      </c>
      <c r="B151" s="129"/>
      <c r="C151" s="111"/>
      <c r="D151" s="118"/>
      <c r="E151" s="478"/>
      <c r="F151" s="37"/>
      <c r="G151" s="200"/>
      <c r="H151" s="163"/>
    </row>
    <row r="152" spans="1:8" ht="12.75">
      <c r="A152" s="170" t="s">
        <v>17</v>
      </c>
      <c r="B152" s="129"/>
      <c r="C152" s="111"/>
      <c r="D152" s="118" t="s">
        <v>189</v>
      </c>
      <c r="E152" s="300">
        <f>C67</f>
        <v>3010436</v>
      </c>
      <c r="F152" s="37"/>
      <c r="G152" s="200"/>
      <c r="H152" s="163"/>
    </row>
    <row r="153" spans="1:8" ht="12.75">
      <c r="A153" s="170" t="s">
        <v>356</v>
      </c>
      <c r="B153" s="129"/>
      <c r="C153" s="111"/>
      <c r="D153" s="117" t="s">
        <v>188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233</v>
      </c>
      <c r="B154" s="129"/>
      <c r="C154" s="111"/>
      <c r="D154" s="117" t="s">
        <v>189</v>
      </c>
      <c r="E154" s="300">
        <f>E152-E153</f>
        <v>-4489564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357</v>
      </c>
      <c r="B156" s="129"/>
      <c r="C156" s="111"/>
      <c r="D156" s="118" t="s">
        <v>231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234</v>
      </c>
      <c r="B158" s="129"/>
      <c r="C158" s="111"/>
      <c r="D158" s="118" t="s">
        <v>189</v>
      </c>
      <c r="E158" s="300">
        <f>IF(E154&gt;0,E154*E156*B9/B10,0)</f>
        <v>0</v>
      </c>
      <c r="F158" s="37"/>
      <c r="G158" s="200"/>
      <c r="H158" s="163"/>
    </row>
    <row r="159" spans="1:8" ht="12.75">
      <c r="A159" s="170" t="s">
        <v>309</v>
      </c>
      <c r="B159" s="129"/>
      <c r="C159" s="111"/>
      <c r="D159" s="117" t="s">
        <v>188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244</v>
      </c>
      <c r="B160" s="129"/>
      <c r="C160" s="111"/>
      <c r="D160" s="117" t="s">
        <v>189</v>
      </c>
      <c r="E160" s="47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5" t="s">
        <v>236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17</v>
      </c>
      <c r="B163" s="129"/>
      <c r="C163" s="111"/>
      <c r="D163" s="118"/>
      <c r="E163" s="300">
        <f>C76</f>
        <v>3010436</v>
      </c>
      <c r="F163" s="37"/>
      <c r="G163" s="200"/>
      <c r="H163" s="163"/>
    </row>
    <row r="164" spans="1:8" ht="12.75">
      <c r="A164" s="170" t="s">
        <v>355</v>
      </c>
      <c r="B164" s="129"/>
      <c r="C164" s="111"/>
      <c r="D164" s="117" t="s">
        <v>188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240</v>
      </c>
      <c r="B165" s="129"/>
      <c r="C165" s="111"/>
      <c r="D165" s="118" t="s">
        <v>189</v>
      </c>
      <c r="E165" s="300">
        <f>E163-E164</f>
        <v>-46989564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506" t="s">
        <v>503</v>
      </c>
      <c r="B167" s="129"/>
      <c r="C167" s="111"/>
      <c r="D167" s="118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241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319</v>
      </c>
      <c r="B170" s="129"/>
      <c r="C170" s="111"/>
      <c r="D170" s="117" t="s">
        <v>188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242</v>
      </c>
      <c r="B171" s="129"/>
      <c r="C171" s="111"/>
      <c r="D171" s="118" t="s">
        <v>189</v>
      </c>
      <c r="E171" s="300">
        <f>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13" t="s">
        <v>345</v>
      </c>
      <c r="B173" s="129"/>
      <c r="C173" s="111"/>
      <c r="D173" s="117" t="s">
        <v>188</v>
      </c>
      <c r="E173" s="303">
        <f>C85</f>
        <v>0</v>
      </c>
      <c r="F173" s="37"/>
      <c r="G173" s="200"/>
      <c r="H173" s="163"/>
    </row>
    <row r="174" spans="1:8" ht="12.75">
      <c r="A174" s="154" t="s">
        <v>245</v>
      </c>
      <c r="B174" s="129"/>
      <c r="C174" s="111"/>
      <c r="D174" s="118" t="s">
        <v>189</v>
      </c>
      <c r="E174" s="47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343</v>
      </c>
      <c r="B176" s="129"/>
      <c r="C176" s="111"/>
      <c r="D176" s="118"/>
      <c r="E176" s="467">
        <f>IF((E121+G51)&gt;'Tax Rates'!E47,'Tax Rates'!F52-1.12%,IF((E121+G51)&gt;'Tax Rates'!D47,'Tax Rates'!E52-1.12%,IF((E121+G51)&gt;'Tax Rates'!C47,'Tax Rates'!D52,'Tax Rates'!C52-1.12%)))</f>
        <v>0.175</v>
      </c>
      <c r="F176" s="46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243</v>
      </c>
      <c r="B178" s="129"/>
      <c r="C178" s="111"/>
      <c r="D178" s="118" t="s">
        <v>187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33</v>
      </c>
      <c r="B179" s="129"/>
      <c r="C179" s="111"/>
      <c r="D179" s="118" t="s">
        <v>187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20</v>
      </c>
      <c r="B180" s="129"/>
      <c r="C180" s="111"/>
      <c r="D180" s="118" t="s">
        <v>187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351</v>
      </c>
      <c r="B182" s="129"/>
      <c r="C182" s="111"/>
      <c r="D182" s="118" t="s">
        <v>189</v>
      </c>
      <c r="E182" s="482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473</v>
      </c>
      <c r="B184" s="129"/>
      <c r="C184" s="111"/>
      <c r="D184" s="118" t="s">
        <v>187</v>
      </c>
      <c r="E184" s="482">
        <f>E133</f>
        <v>14153.005575757577</v>
      </c>
      <c r="F184" s="37" t="s">
        <v>102</v>
      </c>
      <c r="G184" s="200"/>
      <c r="H184" s="163"/>
    </row>
    <row r="185" spans="1:8" ht="12.75">
      <c r="A185" s="167"/>
      <c r="B185" s="129"/>
      <c r="C185" s="111"/>
      <c r="D185" s="118"/>
      <c r="E185" s="143"/>
      <c r="F185" s="37"/>
      <c r="G185" s="200"/>
      <c r="H185" s="163"/>
    </row>
    <row r="186" spans="1:8" ht="15">
      <c r="A186" s="172" t="s">
        <v>352</v>
      </c>
      <c r="B186" s="129"/>
      <c r="C186" s="111"/>
      <c r="D186" s="118" t="s">
        <v>189</v>
      </c>
      <c r="E186" s="482">
        <f>E182+E184</f>
        <v>14153.005575757577</v>
      </c>
      <c r="F186" s="37"/>
      <c r="G186" s="200"/>
      <c r="H186" s="163"/>
    </row>
    <row r="187" spans="1:8" ht="12.75">
      <c r="A187" s="161" t="s">
        <v>248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58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83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224</v>
      </c>
      <c r="B194" s="126"/>
      <c r="C194" s="111"/>
      <c r="D194" s="119"/>
      <c r="E194" s="306">
        <f>REGINFO!D62</f>
        <v>109128.305</v>
      </c>
      <c r="F194" s="3"/>
      <c r="G194" s="122"/>
      <c r="H194" s="163"/>
    </row>
    <row r="195" spans="1:8" ht="12.75">
      <c r="A195" s="154" t="s">
        <v>251</v>
      </c>
      <c r="B195" s="126"/>
      <c r="C195" s="111"/>
      <c r="D195" s="119"/>
      <c r="E195" s="306">
        <f>REGINFO!D70</f>
        <v>109128.305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306">
        <f>E194-E195</f>
        <v>0</v>
      </c>
      <c r="F197" s="3"/>
      <c r="G197" s="122"/>
      <c r="H197" s="163"/>
    </row>
    <row r="198" spans="1:8" ht="12.75">
      <c r="A198" s="154" t="s">
        <v>342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257</v>
      </c>
      <c r="B200" s="126"/>
      <c r="C200" s="111"/>
      <c r="D200" s="119"/>
      <c r="E200" s="146"/>
      <c r="F200" s="3"/>
      <c r="G200" s="487"/>
      <c r="H200" s="163"/>
    </row>
    <row r="201" spans="1:8" ht="12.75">
      <c r="A201" s="175" t="s">
        <v>85</v>
      </c>
      <c r="B201" s="126"/>
      <c r="C201" s="111"/>
      <c r="D201" s="119"/>
      <c r="E201" s="146"/>
      <c r="F201" s="3"/>
      <c r="G201" s="487"/>
      <c r="H201" s="163"/>
    </row>
    <row r="202" spans="1:8" ht="12.75">
      <c r="A202" s="154" t="s">
        <v>252</v>
      </c>
      <c r="B202" s="126"/>
      <c r="C202" s="111"/>
      <c r="D202" s="119"/>
      <c r="E202" s="306">
        <f>G37+G42</f>
        <v>0</v>
      </c>
      <c r="F202" s="3"/>
      <c r="G202" s="487"/>
      <c r="H202" s="163"/>
    </row>
    <row r="203" spans="1:8" ht="12.75">
      <c r="A203" s="154" t="s">
        <v>494</v>
      </c>
      <c r="B203" s="126"/>
      <c r="C203" s="111"/>
      <c r="D203" s="119"/>
      <c r="E203" s="306">
        <v>2675825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84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475</v>
      </c>
      <c r="B207" s="126"/>
      <c r="C207" s="111"/>
      <c r="D207" s="119"/>
      <c r="E207" s="46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225</v>
      </c>
      <c r="B209" s="177"/>
      <c r="C209" s="178"/>
      <c r="D209" s="179"/>
      <c r="E209" s="307">
        <f>+E197-E205</f>
        <v>0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3:5" ht="12.75">
      <c r="C224" t="s">
        <v>102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  <pageSetUpPr fitToPage="1"/>
  </sheetPr>
  <dimension ref="A1:K164"/>
  <sheetViews>
    <sheetView zoomScale="75" zoomScaleNormal="75" zoomScalePageLayoutView="0" workbookViewId="0" topLeftCell="A112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Greater Sudbury Hydro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5">
        <f>Ratebase*REGINFO!D33*0.0025</f>
        <v>3763.045</v>
      </c>
      <c r="D13" s="82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7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4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324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259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322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323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3">
        <v>4489096</v>
      </c>
      <c r="D31" s="284"/>
      <c r="E31" s="282">
        <f>C31-D31</f>
        <v>4489096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3">
        <v>830624</v>
      </c>
      <c r="D32" s="284"/>
      <c r="E32" s="282">
        <f>C32-D32</f>
        <v>830624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3">
        <v>0</v>
      </c>
      <c r="D33" s="284"/>
      <c r="E33" s="282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3">
        <v>486434</v>
      </c>
      <c r="D34" s="284"/>
      <c r="E34" s="282">
        <f>C34-D34</f>
        <v>486434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3">
        <v>4489096</v>
      </c>
      <c r="D39" s="284"/>
      <c r="E39" s="282">
        <f>C39-D39</f>
        <v>4489096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3">
        <v>375846</v>
      </c>
      <c r="D40" s="284"/>
      <c r="E40" s="282">
        <f aca="true" t="shared" si="0" ref="E40:E48">C40-D40</f>
        <v>375846</v>
      </c>
      <c r="F40" s="11"/>
      <c r="G40" s="484"/>
      <c r="H40" s="6"/>
      <c r="I40" s="6"/>
    </row>
    <row r="41" spans="1:9" ht="12.75">
      <c r="A41" s="4" t="s">
        <v>275</v>
      </c>
      <c r="B41" s="23" t="s">
        <v>188</v>
      </c>
      <c r="C41" s="283">
        <v>170542</v>
      </c>
      <c r="D41" s="284"/>
      <c r="E41" s="282">
        <f t="shared" si="0"/>
        <v>170542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3">
        <v>285922</v>
      </c>
      <c r="D42" s="284"/>
      <c r="E42" s="282">
        <f t="shared" si="0"/>
        <v>285922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3">
        <v>193315</v>
      </c>
      <c r="D43" s="284"/>
      <c r="E43" s="282">
        <f t="shared" si="0"/>
        <v>193315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3">
        <v>0</v>
      </c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480</v>
      </c>
      <c r="B45" s="23" t="s">
        <v>188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491</v>
      </c>
      <c r="B46" s="23" t="s">
        <v>188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97" t="s">
        <v>498</v>
      </c>
      <c r="B47" s="23" t="s">
        <v>188</v>
      </c>
      <c r="C47" s="283">
        <v>0</v>
      </c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96" t="s">
        <v>499</v>
      </c>
      <c r="B48" s="23" t="s">
        <v>188</v>
      </c>
      <c r="C48" s="283">
        <v>0</v>
      </c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79">
        <f>SUM(C31:C36)-SUM(C39:C49)</f>
        <v>291433</v>
      </c>
      <c r="D50" s="279">
        <f>SUM(D31:D36)-SUM(D39:D49)</f>
        <v>0</v>
      </c>
      <c r="E50" s="279">
        <f>SUM(E31:E35)-SUM(E39:E48)</f>
        <v>291433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3">
        <v>0</v>
      </c>
      <c r="D51" s="283"/>
      <c r="E51" s="280">
        <f>+C51-D51</f>
        <v>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3">
        <v>0</v>
      </c>
      <c r="D52" s="283"/>
      <c r="E52" s="281">
        <f>+C52-D52</f>
        <v>0</v>
      </c>
      <c r="F52" s="8"/>
      <c r="G52" s="414" t="s">
        <v>472</v>
      </c>
    </row>
    <row r="53" spans="1:6" ht="12.75">
      <c r="A53" s="2" t="s">
        <v>131</v>
      </c>
      <c r="B53" s="8" t="s">
        <v>189</v>
      </c>
      <c r="C53" s="279">
        <f>C50-C51-C52</f>
        <v>291433</v>
      </c>
      <c r="D53" s="279">
        <f>D50-D51-D52</f>
        <v>0</v>
      </c>
      <c r="E53" s="279">
        <f>E50-E51-E52</f>
        <v>291433</v>
      </c>
      <c r="F53" s="8"/>
    </row>
    <row r="54" spans="1:6" ht="24">
      <c r="A54" s="86" t="s">
        <v>214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5">
        <f>C52</f>
        <v>0</v>
      </c>
      <c r="D59" s="285">
        <f>D52</f>
        <v>0</v>
      </c>
      <c r="E59" s="270">
        <f>+C59-D59</f>
        <v>0</v>
      </c>
      <c r="F59" s="8"/>
      <c r="G59" s="414" t="s">
        <v>472</v>
      </c>
    </row>
    <row r="60" spans="1:6" ht="12.75">
      <c r="A60" s="4" t="s">
        <v>325</v>
      </c>
      <c r="B60" s="8" t="s">
        <v>187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187</v>
      </c>
      <c r="C61" s="285">
        <f>C43</f>
        <v>193315</v>
      </c>
      <c r="D61" s="285">
        <f>D43</f>
        <v>0</v>
      </c>
      <c r="E61" s="270">
        <f>+C61-D61</f>
        <v>193315</v>
      </c>
      <c r="F61" s="8"/>
      <c r="G61" s="414"/>
    </row>
    <row r="62" spans="1:6" ht="12.75">
      <c r="A62" t="s">
        <v>6</v>
      </c>
      <c r="B62" s="8" t="s">
        <v>187</v>
      </c>
      <c r="C62" s="316">
        <v>62708</v>
      </c>
      <c r="D62" s="285">
        <v>0</v>
      </c>
      <c r="E62" s="270">
        <f>+C62-D62</f>
        <v>62708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442</v>
      </c>
      <c r="B65" s="8" t="s">
        <v>187</v>
      </c>
      <c r="C65" s="284">
        <v>0</v>
      </c>
      <c r="D65" s="284"/>
      <c r="E65" s="270">
        <f>+C65-D65</f>
        <v>0</v>
      </c>
      <c r="F65" s="8"/>
    </row>
    <row r="66" spans="1:6" ht="15">
      <c r="A66" s="465" t="s">
        <v>393</v>
      </c>
      <c r="B66" s="8"/>
      <c r="C66" s="445">
        <f>'TAXREC 3 No True-up'!C47</f>
        <v>125897</v>
      </c>
      <c r="D66" s="445">
        <f>'TAXREC 3 No True-up'!D47</f>
        <v>0</v>
      </c>
      <c r="E66" s="270">
        <f>+C66-D66</f>
        <v>125897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0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381920</v>
      </c>
      <c r="D70" s="270">
        <f>SUM(D59:D68)</f>
        <v>0</v>
      </c>
      <c r="E70" s="270">
        <f>SUM(E59:E68)</f>
        <v>381920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187</v>
      </c>
      <c r="C76" s="480">
        <v>0</v>
      </c>
      <c r="D76" s="292"/>
      <c r="E76" s="47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498" t="s">
        <v>500</v>
      </c>
      <c r="B77" s="8" t="s">
        <v>187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499" t="s">
        <v>501</v>
      </c>
      <c r="B78" s="8" t="s">
        <v>187</v>
      </c>
      <c r="C78" s="292">
        <v>0</v>
      </c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500" t="s">
        <v>502</v>
      </c>
      <c r="B79" s="8" t="s">
        <v>187</v>
      </c>
      <c r="C79" s="292">
        <v>0</v>
      </c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189</v>
      </c>
      <c r="C82" s="250">
        <f>C70+C80</f>
        <v>381920</v>
      </c>
      <c r="D82" s="250">
        <f>D70+D80</f>
        <v>0</v>
      </c>
      <c r="E82" s="250">
        <f>E70+E80</f>
        <v>381920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151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430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197</v>
      </c>
      <c r="B94" s="271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2">
        <f>20554+244937</f>
        <v>265491</v>
      </c>
      <c r="D97" s="292"/>
      <c r="E97" s="270">
        <f>+C97-D97</f>
        <v>265491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2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393</v>
      </c>
      <c r="B108" s="8"/>
      <c r="C108" s="253">
        <f>'TAXREC 3 No True-up'!C73</f>
        <v>1136373</v>
      </c>
      <c r="D108" s="253">
        <f>'TAXREC 3 No True-up'!D73</f>
        <v>0</v>
      </c>
      <c r="E108" s="270">
        <f t="shared" si="5"/>
        <v>1136373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s="31"/>
      <c r="B110" s="8"/>
      <c r="C110" s="292"/>
      <c r="D110" s="292"/>
      <c r="E110" s="281"/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188</v>
      </c>
      <c r="C111" s="250">
        <f>'TAXREC 2'!C119</f>
        <v>0</v>
      </c>
      <c r="D111" s="250">
        <f>'TAXREC 2'!D119</f>
        <v>0</v>
      </c>
      <c r="E111" s="250">
        <f>'TAXREC 2'!E119</f>
        <v>0</v>
      </c>
      <c r="F111" s="8"/>
      <c r="G111" s="45"/>
      <c r="H111" s="45"/>
      <c r="I111" s="45"/>
      <c r="J111" s="45"/>
      <c r="K111" s="45"/>
    </row>
    <row r="112" spans="1:11" ht="12.75">
      <c r="A112" t="s">
        <v>163</v>
      </c>
      <c r="B112" s="8" t="s">
        <v>188</v>
      </c>
      <c r="C112" s="250">
        <f>'TAXREC 2'!C120</f>
        <v>0</v>
      </c>
      <c r="D112" s="250">
        <f>'TAXREC 2'!D120</f>
        <v>0</v>
      </c>
      <c r="E112" s="250">
        <f>'TAXREC 2'!E120</f>
        <v>0</v>
      </c>
      <c r="F112" s="8"/>
      <c r="G112" s="45"/>
      <c r="H112" s="45"/>
      <c r="I112" s="23"/>
      <c r="J112" s="23"/>
      <c r="K112" s="74"/>
    </row>
    <row r="113" spans="1:11" ht="12.75">
      <c r="A113" s="4"/>
      <c r="B113" s="8"/>
      <c r="C113" s="22"/>
      <c r="D113" s="22"/>
      <c r="E113" s="294"/>
      <c r="F113" s="8"/>
      <c r="G113" s="45"/>
      <c r="H113" s="45"/>
      <c r="I113" s="23"/>
      <c r="J113" s="45"/>
      <c r="K113" s="74"/>
    </row>
    <row r="114" spans="1:11" ht="12.75">
      <c r="A114" s="4" t="s">
        <v>164</v>
      </c>
      <c r="B114" s="8" t="s">
        <v>189</v>
      </c>
      <c r="C114" s="250">
        <f>SUM(C97:C112)</f>
        <v>1401864</v>
      </c>
      <c r="D114" s="250">
        <f>SUM(D97:D112)</f>
        <v>0</v>
      </c>
      <c r="E114" s="250">
        <f>SUM(E97:E112)</f>
        <v>1401864</v>
      </c>
      <c r="F114" s="8"/>
      <c r="G114" s="45"/>
      <c r="H114" s="45"/>
      <c r="I114" s="23"/>
      <c r="J114" s="45"/>
      <c r="K114" s="23"/>
    </row>
    <row r="115" spans="1:11" ht="12.75">
      <c r="A115" s="10" t="s">
        <v>206</v>
      </c>
      <c r="B115" s="8"/>
      <c r="C115" s="5"/>
      <c r="D115" s="5"/>
      <c r="E115" s="5"/>
      <c r="F115" s="8"/>
      <c r="G115" s="45"/>
      <c r="H115" s="45"/>
      <c r="I115" s="23"/>
      <c r="J115" s="23"/>
      <c r="K115" s="23"/>
    </row>
    <row r="116" spans="1:11" ht="12.75">
      <c r="A116" s="2" t="s">
        <v>16</v>
      </c>
      <c r="B116" s="8" t="s">
        <v>188</v>
      </c>
      <c r="C116" s="292"/>
      <c r="D116" s="292"/>
      <c r="E116" s="270">
        <f>+C116-D116</f>
        <v>0</v>
      </c>
      <c r="F116" s="8"/>
      <c r="G116" s="75"/>
      <c r="H116" s="76"/>
      <c r="I116" s="77"/>
      <c r="J116" s="77"/>
      <c r="K116" s="77"/>
    </row>
    <row r="117" spans="1:11" ht="12.75">
      <c r="A117" s="67" t="s">
        <v>222</v>
      </c>
      <c r="B117" s="8" t="s">
        <v>188</v>
      </c>
      <c r="C117" s="292">
        <v>0</v>
      </c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25.5">
      <c r="A118" s="511" t="s">
        <v>506</v>
      </c>
      <c r="B118" s="8" t="s">
        <v>188</v>
      </c>
      <c r="C118" s="292">
        <v>0</v>
      </c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7"/>
      <c r="B119" s="8"/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68"/>
      <c r="B120" s="8" t="s">
        <v>188</v>
      </c>
      <c r="C120" s="292"/>
      <c r="D120" s="292"/>
      <c r="E120" s="270">
        <f>+C120-D120</f>
        <v>0</v>
      </c>
      <c r="F120" s="8"/>
      <c r="G120" s="75"/>
      <c r="H120" s="76"/>
      <c r="I120" s="76"/>
      <c r="J120" s="76"/>
      <c r="K120" s="76"/>
    </row>
    <row r="121" spans="1:11" ht="12.75">
      <c r="A121" s="10" t="s">
        <v>51</v>
      </c>
      <c r="B121" s="8" t="s">
        <v>189</v>
      </c>
      <c r="C121" s="250">
        <f>SUM(C115:C120)</f>
        <v>0</v>
      </c>
      <c r="D121" s="250">
        <f>SUM(D115:D120)</f>
        <v>0</v>
      </c>
      <c r="E121" s="250">
        <f>SUM(E115:E120)</f>
        <v>0</v>
      </c>
      <c r="F121" s="8"/>
      <c r="G121" s="78"/>
      <c r="H121" s="76"/>
      <c r="I121" s="76"/>
      <c r="J121" s="76"/>
      <c r="K121" s="76"/>
    </row>
    <row r="122" spans="2:11" ht="12.75">
      <c r="B122" s="8"/>
      <c r="C122" s="22"/>
      <c r="D122" s="22"/>
      <c r="E122" s="22"/>
      <c r="F122" s="8"/>
      <c r="G122" s="76"/>
      <c r="H122" s="76"/>
      <c r="I122" s="72"/>
      <c r="J122" s="72"/>
      <c r="K122" s="72"/>
    </row>
    <row r="123" spans="1:11" ht="12.75">
      <c r="A123" s="4" t="s">
        <v>19</v>
      </c>
      <c r="B123" s="8" t="s">
        <v>189</v>
      </c>
      <c r="C123" s="250">
        <f>C114+C121</f>
        <v>1401864</v>
      </c>
      <c r="D123" s="250">
        <f>D114+D121</f>
        <v>0</v>
      </c>
      <c r="E123" s="250">
        <f>+E114+E121</f>
        <v>1401864</v>
      </c>
      <c r="F123" s="8"/>
      <c r="G123" s="45"/>
      <c r="H123" s="45"/>
      <c r="I123" s="45"/>
      <c r="J123" s="45"/>
      <c r="K123" s="45"/>
    </row>
    <row r="124" spans="2:11" ht="12.75">
      <c r="B124" s="8"/>
      <c r="C124" s="22"/>
      <c r="D124" s="22"/>
      <c r="E124" s="22"/>
      <c r="F124" s="8"/>
      <c r="G124" s="45"/>
      <c r="H124" s="45"/>
      <c r="I124" s="45"/>
      <c r="J124" s="45"/>
      <c r="K124" s="45"/>
    </row>
    <row r="125" spans="1:11" ht="12.75">
      <c r="A125" s="289" t="s">
        <v>176</v>
      </c>
      <c r="C125" s="8"/>
      <c r="D125" s="8"/>
      <c r="E125" s="8"/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aca="true" t="shared" si="6" ref="C126:E130">IF($E116&gt;$C$13,C116,)</f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>IF($E117&gt;$C$13,D117,)</f>
        <v>0</v>
      </c>
      <c r="E127" s="288">
        <f>IF($E117&gt;$C$13,E117,)</f>
        <v>0</v>
      </c>
      <c r="F127" s="8"/>
      <c r="G127" s="45"/>
      <c r="H127" s="45"/>
      <c r="I127" s="45"/>
      <c r="J127" s="45"/>
      <c r="K127" s="45"/>
    </row>
    <row r="128" spans="1:11" ht="12.75">
      <c r="A128" s="286" t="str">
        <f>IF($E118&gt;$C$13,A118," ")</f>
        <v> </v>
      </c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/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tr">
        <f>IF($E120&gt;$C$13,A120," ")</f>
        <v> </v>
      </c>
      <c r="B130" s="271"/>
      <c r="C130" s="288">
        <f t="shared" si="6"/>
        <v>0</v>
      </c>
      <c r="D130" s="288">
        <f t="shared" si="6"/>
        <v>0</v>
      </c>
      <c r="E130" s="288">
        <f t="shared" si="6"/>
        <v>0</v>
      </c>
      <c r="F130" s="8"/>
      <c r="G130" s="45"/>
      <c r="H130" s="45"/>
      <c r="I130" s="45"/>
      <c r="J130" s="45"/>
      <c r="K130" s="45"/>
    </row>
    <row r="131" spans="1:11" ht="12.75">
      <c r="A131" s="287" t="s">
        <v>199</v>
      </c>
      <c r="B131" s="271"/>
      <c r="C131" s="250">
        <f>SUM(C126:C130)</f>
        <v>0</v>
      </c>
      <c r="D131" s="250">
        <f>SUM(D126:D130)</f>
        <v>0</v>
      </c>
      <c r="E131" s="250">
        <f>SUM(E126:E130)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200</v>
      </c>
      <c r="B132" s="271"/>
      <c r="C132" s="250">
        <f>C121-C131</f>
        <v>0</v>
      </c>
      <c r="D132" s="250">
        <f>D121-D131</f>
        <v>0</v>
      </c>
      <c r="E132" s="250">
        <f>E121-E131</f>
        <v>0</v>
      </c>
      <c r="F132" s="8"/>
      <c r="G132" s="45"/>
      <c r="H132" s="45"/>
      <c r="I132" s="45"/>
      <c r="J132" s="45"/>
      <c r="K132" s="45"/>
    </row>
    <row r="133" spans="1:11" ht="12.75">
      <c r="A133" s="271" t="s">
        <v>198</v>
      </c>
      <c r="B133" s="271"/>
      <c r="C133" s="250">
        <f>C131+C132</f>
        <v>0</v>
      </c>
      <c r="D133" s="250">
        <f>D131+D132</f>
        <v>0</v>
      </c>
      <c r="E133" s="250">
        <f>E131+E132</f>
        <v>0</v>
      </c>
      <c r="F133" s="8"/>
      <c r="G133" s="45"/>
      <c r="H133" s="45"/>
      <c r="I133" s="45"/>
      <c r="J133" s="45"/>
      <c r="K133" s="45"/>
    </row>
    <row r="134" spans="2:11" ht="12.75">
      <c r="B134" s="8"/>
      <c r="C134" s="22"/>
      <c r="D134" s="22"/>
      <c r="E134" s="22"/>
      <c r="F134" s="8"/>
      <c r="G134" s="45"/>
      <c r="H134" s="45"/>
      <c r="I134" s="45"/>
      <c r="J134" s="45"/>
      <c r="K134" s="45"/>
    </row>
    <row r="135" spans="1:11" ht="12.75">
      <c r="A135" s="13" t="s">
        <v>81</v>
      </c>
      <c r="B135" s="8" t="s">
        <v>189</v>
      </c>
      <c r="C135" s="250">
        <f>+C53+C82-C123</f>
        <v>-728511</v>
      </c>
      <c r="D135" s="250">
        <f>D53+D82-D123</f>
        <v>0</v>
      </c>
      <c r="E135" s="250">
        <f>E53+E82-E123</f>
        <v>-728511</v>
      </c>
      <c r="F135" s="8"/>
      <c r="G135" s="45"/>
      <c r="H135" s="45"/>
      <c r="I135" s="45"/>
      <c r="J135" s="45"/>
      <c r="K135" s="45"/>
    </row>
    <row r="136" spans="1:11" ht="12.75">
      <c r="A136" s="12" t="s">
        <v>46</v>
      </c>
      <c r="B136" s="8"/>
      <c r="D136" s="30"/>
      <c r="E136" s="30"/>
      <c r="F136" s="8"/>
      <c r="G136" s="45"/>
      <c r="H136" s="45"/>
      <c r="I136" s="45"/>
      <c r="J136" s="45"/>
      <c r="K136" s="45"/>
    </row>
    <row r="137" spans="1:11" ht="12.75">
      <c r="A137" s="12" t="s">
        <v>373</v>
      </c>
      <c r="B137" s="8" t="s">
        <v>188</v>
      </c>
      <c r="C137" s="292">
        <v>0</v>
      </c>
      <c r="D137" s="292"/>
      <c r="E137" s="26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 t="s">
        <v>374</v>
      </c>
      <c r="B138" s="8" t="s">
        <v>188</v>
      </c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308"/>
      <c r="D139" s="308"/>
      <c r="E139" s="392">
        <f>C139-D139</f>
        <v>0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189</v>
      </c>
      <c r="C140" s="251">
        <f>C135-C137-C138-C139</f>
        <v>-728511</v>
      </c>
      <c r="D140" s="251">
        <f>D135-D137-D138-D139</f>
        <v>0</v>
      </c>
      <c r="E140" s="251">
        <f>E135-E137-E138-E139</f>
        <v>-728511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7"/>
      <c r="D141" s="87"/>
      <c r="E141" s="87"/>
      <c r="F141" s="8"/>
      <c r="G141" s="45"/>
      <c r="H141" s="45"/>
      <c r="I141" s="45"/>
      <c r="J141" s="45"/>
      <c r="K141" s="45"/>
    </row>
    <row r="142" spans="1:11" ht="12.75">
      <c r="A142" s="318" t="s">
        <v>306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187</v>
      </c>
      <c r="C143" s="296">
        <v>0</v>
      </c>
      <c r="D143" s="296">
        <f>D140*C150</f>
        <v>0</v>
      </c>
      <c r="E143" s="251">
        <f>C143-D143</f>
        <v>0</v>
      </c>
      <c r="F143" s="8"/>
      <c r="G143" s="509" t="s">
        <v>508</v>
      </c>
      <c r="H143" s="45"/>
      <c r="I143" s="45"/>
      <c r="J143" s="45"/>
      <c r="K143" s="45"/>
    </row>
    <row r="144" spans="1:11" ht="12.75">
      <c r="A144" s="46" t="s">
        <v>320</v>
      </c>
      <c r="B144" s="8" t="s">
        <v>187</v>
      </c>
      <c r="C144" s="296">
        <f>5922+323</f>
        <v>6245</v>
      </c>
      <c r="D144" s="296">
        <f>D140*C151</f>
        <v>0</v>
      </c>
      <c r="E144" s="290">
        <f>C144-D144</f>
        <v>6245</v>
      </c>
      <c r="F144" s="8"/>
      <c r="G144" s="45"/>
      <c r="H144" s="45"/>
      <c r="I144" s="45"/>
      <c r="J144" s="45"/>
      <c r="K144" s="45"/>
    </row>
    <row r="145" spans="1:11" ht="12.75">
      <c r="A145" s="46" t="s">
        <v>173</v>
      </c>
      <c r="B145" s="8" t="s">
        <v>189</v>
      </c>
      <c r="C145" s="251">
        <f>C143+C144</f>
        <v>6245</v>
      </c>
      <c r="D145" s="251">
        <f>D143+D144</f>
        <v>0</v>
      </c>
      <c r="E145" s="251">
        <f>E143+E144</f>
        <v>6245</v>
      </c>
      <c r="F145" s="8"/>
      <c r="G145" s="45"/>
      <c r="H145" s="45"/>
      <c r="I145" s="45"/>
      <c r="J145" s="45"/>
      <c r="K145" s="45"/>
    </row>
    <row r="146" spans="1:11" ht="12.75">
      <c r="A146" s="46" t="s">
        <v>332</v>
      </c>
      <c r="B146" s="8" t="s">
        <v>188</v>
      </c>
      <c r="C146" s="296">
        <v>0</v>
      </c>
      <c r="D146" s="296"/>
      <c r="E146" s="291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18" t="s">
        <v>99</v>
      </c>
      <c r="B147" s="8" t="s">
        <v>189</v>
      </c>
      <c r="C147" s="251">
        <f>C145-C146</f>
        <v>6245</v>
      </c>
      <c r="D147" s="251">
        <f>D145-D146</f>
        <v>0</v>
      </c>
      <c r="E147" s="251">
        <f>E145-E146</f>
        <v>6245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18" t="s">
        <v>306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327</v>
      </c>
      <c r="B150" s="8"/>
      <c r="C150" s="403">
        <f>C143/C140</f>
        <v>0</v>
      </c>
      <c r="D150" s="5"/>
      <c r="E150" s="404">
        <f>C150</f>
        <v>0</v>
      </c>
      <c r="F150" s="8"/>
      <c r="G150" s="481" t="s">
        <v>466</v>
      </c>
      <c r="H150" s="45"/>
      <c r="I150" s="45"/>
      <c r="J150" s="45"/>
      <c r="K150" s="45"/>
    </row>
    <row r="151" spans="1:11" ht="12.75">
      <c r="A151" s="46" t="s">
        <v>328</v>
      </c>
      <c r="B151" s="8"/>
      <c r="C151" s="403">
        <f>C144/C140</f>
        <v>-0.008572279622407898</v>
      </c>
      <c r="D151" s="5"/>
      <c r="E151" s="404">
        <f>C151</f>
        <v>-0.008572279622407898</v>
      </c>
      <c r="F151" s="8"/>
      <c r="G151" s="510" t="s">
        <v>507</v>
      </c>
      <c r="H151" s="45"/>
      <c r="I151" s="45"/>
      <c r="J151" s="45"/>
      <c r="K151" s="45"/>
    </row>
    <row r="152" spans="1:11" ht="12.75">
      <c r="A152" t="s">
        <v>329</v>
      </c>
      <c r="B152" s="8"/>
      <c r="C152" s="404">
        <f>SUM(C150:C151)</f>
        <v>-0.008572279622407898</v>
      </c>
      <c r="D152" s="5"/>
      <c r="E152" s="404">
        <f>SUM(E150:E151)</f>
        <v>-0.008572279622407898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354</v>
      </c>
      <c r="B154" s="8"/>
    </row>
    <row r="155" spans="1:2" ht="12.75">
      <c r="A155" s="14"/>
      <c r="B155" s="8"/>
    </row>
    <row r="156" spans="1:2" ht="12.75">
      <c r="A156" s="2" t="s">
        <v>471</v>
      </c>
      <c r="B156" s="8"/>
    </row>
    <row r="157" spans="1:5" ht="12.75">
      <c r="A157" t="s">
        <v>219</v>
      </c>
      <c r="B157" s="85" t="s">
        <v>187</v>
      </c>
      <c r="C157" s="250">
        <f>C147</f>
        <v>6245</v>
      </c>
      <c r="D157" s="250">
        <f>D147</f>
        <v>0</v>
      </c>
      <c r="E157" s="250">
        <f>E147</f>
        <v>6245</v>
      </c>
    </row>
    <row r="158" spans="1:5" ht="12.75">
      <c r="A158" t="s">
        <v>20</v>
      </c>
      <c r="B158" s="85" t="s">
        <v>187</v>
      </c>
      <c r="C158" s="477">
        <v>600</v>
      </c>
      <c r="D158" s="250"/>
      <c r="E158" s="250">
        <f>C158+D158</f>
        <v>600</v>
      </c>
    </row>
    <row r="159" spans="1:5" ht="12.75">
      <c r="A159" t="s">
        <v>218</v>
      </c>
      <c r="B159" s="85" t="s">
        <v>187</v>
      </c>
      <c r="C159" s="494">
        <v>0</v>
      </c>
      <c r="D159" s="250"/>
      <c r="E159" s="250">
        <f>C159+D159</f>
        <v>0</v>
      </c>
    </row>
    <row r="160" ht="12.75">
      <c r="B160" s="8"/>
    </row>
    <row r="161" spans="1:5" ht="12.75">
      <c r="A161" s="2" t="s">
        <v>303</v>
      </c>
      <c r="B161" s="65" t="s">
        <v>189</v>
      </c>
      <c r="C161" s="250">
        <f>C157+C158+C159</f>
        <v>6845</v>
      </c>
      <c r="D161" s="250">
        <f>D157+D158+D159</f>
        <v>0</v>
      </c>
      <c r="E161" s="250">
        <f>E157+E158+E159</f>
        <v>6845</v>
      </c>
    </row>
    <row r="162" ht="12.75">
      <c r="C162" s="84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G63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Greater Sudbury Hydro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50">
        <f>C13-D13</f>
        <v>0</v>
      </c>
    </row>
    <row r="14" spans="1:7" ht="12.75">
      <c r="A14" s="60" t="s">
        <v>281</v>
      </c>
      <c r="B14" s="60"/>
      <c r="C14" s="292"/>
      <c r="D14" s="292"/>
      <c r="E14" s="250">
        <f aca="true" t="shared" si="0" ref="E14:E21">C14-D14</f>
        <v>0</v>
      </c>
      <c r="G14">
        <v>70004</v>
      </c>
    </row>
    <row r="15" spans="1:5" ht="12.75">
      <c r="A15" s="60" t="s">
        <v>282</v>
      </c>
      <c r="B15" s="60"/>
      <c r="C15" s="292"/>
      <c r="D15" s="292"/>
      <c r="E15" s="250">
        <f t="shared" si="0"/>
        <v>0</v>
      </c>
    </row>
    <row r="16" spans="1:5" ht="12.75">
      <c r="A16" s="60" t="s">
        <v>283</v>
      </c>
      <c r="B16" s="60"/>
      <c r="C16" s="292"/>
      <c r="D16" s="292"/>
      <c r="E16" s="250">
        <f t="shared" si="0"/>
        <v>0</v>
      </c>
    </row>
    <row r="17" spans="1:5" ht="12.75">
      <c r="A17" s="60" t="s">
        <v>284</v>
      </c>
      <c r="B17" s="60"/>
      <c r="C17" s="292"/>
      <c r="D17" s="292"/>
      <c r="E17" s="250">
        <f t="shared" si="0"/>
        <v>0</v>
      </c>
    </row>
    <row r="18" spans="1:5" ht="12.75">
      <c r="A18" s="60" t="s">
        <v>447</v>
      </c>
      <c r="B18" s="60"/>
      <c r="C18" s="292"/>
      <c r="D18" s="292"/>
      <c r="E18" s="250">
        <f t="shared" si="0"/>
        <v>0</v>
      </c>
    </row>
    <row r="19" spans="1:5" ht="12.75">
      <c r="A19" s="60" t="s">
        <v>447</v>
      </c>
      <c r="B19" s="60"/>
      <c r="C19" s="292"/>
      <c r="D19" s="292"/>
      <c r="E19" s="250">
        <f t="shared" si="0"/>
        <v>0</v>
      </c>
    </row>
    <row r="20" spans="1:5" ht="12.75">
      <c r="A20" s="60"/>
      <c r="B20" s="60"/>
      <c r="C20" s="292"/>
      <c r="D20" s="292"/>
      <c r="E20" s="250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50">
        <f>C25-D25</f>
        <v>0</v>
      </c>
    </row>
    <row r="26" spans="1:7" ht="12.75">
      <c r="A26" s="60" t="s">
        <v>281</v>
      </c>
      <c r="B26" s="60"/>
      <c r="C26" s="292">
        <v>0</v>
      </c>
      <c r="D26" s="292"/>
      <c r="E26" s="250">
        <f aca="true" t="shared" si="1" ref="E26:E33">C26-D26</f>
        <v>0</v>
      </c>
      <c r="G26">
        <v>103537</v>
      </c>
    </row>
    <row r="27" spans="1:5" ht="12.75">
      <c r="A27" s="60" t="s">
        <v>282</v>
      </c>
      <c r="B27" s="60"/>
      <c r="C27" s="292"/>
      <c r="D27" s="292"/>
      <c r="E27" s="250">
        <f t="shared" si="1"/>
        <v>0</v>
      </c>
    </row>
    <row r="28" spans="1:5" ht="12.75">
      <c r="A28" s="60" t="s">
        <v>283</v>
      </c>
      <c r="B28" s="60"/>
      <c r="C28" s="292"/>
      <c r="D28" s="292"/>
      <c r="E28" s="250">
        <f t="shared" si="1"/>
        <v>0</v>
      </c>
    </row>
    <row r="29" spans="1:5" ht="12.75">
      <c r="A29" s="60" t="s">
        <v>284</v>
      </c>
      <c r="B29" s="60"/>
      <c r="C29" s="292"/>
      <c r="D29" s="292"/>
      <c r="E29" s="250">
        <f t="shared" si="1"/>
        <v>0</v>
      </c>
    </row>
    <row r="30" spans="1:5" ht="12.75">
      <c r="A30" s="60" t="s">
        <v>447</v>
      </c>
      <c r="B30" s="60"/>
      <c r="C30" s="292"/>
      <c r="D30" s="292"/>
      <c r="E30" s="250">
        <f t="shared" si="1"/>
        <v>0</v>
      </c>
    </row>
    <row r="31" spans="1:5" ht="12.75">
      <c r="A31" s="60" t="s">
        <v>447</v>
      </c>
      <c r="B31" s="60"/>
      <c r="C31" s="292"/>
      <c r="D31" s="292"/>
      <c r="E31" s="250">
        <f t="shared" si="1"/>
        <v>0</v>
      </c>
    </row>
    <row r="32" spans="1:5" ht="12.75">
      <c r="A32" s="60"/>
      <c r="B32" s="60"/>
      <c r="C32" s="292"/>
      <c r="D32" s="292"/>
      <c r="E32" s="250">
        <f t="shared" si="1"/>
        <v>0</v>
      </c>
    </row>
    <row r="33" spans="1:5" ht="13.5" thickBot="1">
      <c r="A33" s="61"/>
      <c r="B33" s="60"/>
      <c r="C33" s="292"/>
      <c r="D33" s="292"/>
      <c r="E33" s="250">
        <f t="shared" si="1"/>
        <v>0</v>
      </c>
    </row>
    <row r="34" spans="1:5" ht="12.75">
      <c r="A34" s="55" t="s">
        <v>132</v>
      </c>
      <c r="C34" s="22"/>
      <c r="D34" s="22"/>
      <c r="E34" s="277"/>
    </row>
    <row r="35" spans="1:7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50">
        <f>C41-D41</f>
        <v>0</v>
      </c>
    </row>
    <row r="42" spans="1:5" ht="12.75">
      <c r="A42" s="60"/>
      <c r="B42" s="60"/>
      <c r="C42" s="292"/>
      <c r="D42" s="292"/>
      <c r="E42" s="250">
        <f aca="true" t="shared" si="2" ref="E42:E49">C42-D42</f>
        <v>0</v>
      </c>
    </row>
    <row r="43" spans="1:5" ht="12.75">
      <c r="A43" s="60" t="s">
        <v>267</v>
      </c>
      <c r="B43" s="60"/>
      <c r="C43" s="292"/>
      <c r="D43" s="292"/>
      <c r="E43" s="250">
        <f t="shared" si="2"/>
        <v>0</v>
      </c>
    </row>
    <row r="44" spans="1:5" ht="12.75">
      <c r="A44" s="60" t="s">
        <v>268</v>
      </c>
      <c r="B44" s="60"/>
      <c r="C44" s="292">
        <v>0</v>
      </c>
      <c r="D44" s="292"/>
      <c r="E44" s="250">
        <f t="shared" si="2"/>
        <v>0</v>
      </c>
    </row>
    <row r="45" spans="1:5" ht="12.75">
      <c r="A45" s="60" t="s">
        <v>269</v>
      </c>
      <c r="B45" s="60"/>
      <c r="C45" s="292"/>
      <c r="D45" s="292"/>
      <c r="E45" s="250">
        <f t="shared" si="2"/>
        <v>0</v>
      </c>
    </row>
    <row r="46" spans="1:5" ht="12.75">
      <c r="A46" s="60" t="s">
        <v>270</v>
      </c>
      <c r="B46" s="60"/>
      <c r="C46" s="292"/>
      <c r="D46" s="292"/>
      <c r="E46" s="250">
        <f t="shared" si="2"/>
        <v>0</v>
      </c>
    </row>
    <row r="47" spans="1:5" ht="12.75">
      <c r="A47" s="60" t="s">
        <v>447</v>
      </c>
      <c r="B47" s="60"/>
      <c r="C47" s="292"/>
      <c r="D47" s="292"/>
      <c r="E47" s="250">
        <f t="shared" si="2"/>
        <v>0</v>
      </c>
    </row>
    <row r="48" spans="1:5" ht="12.75">
      <c r="A48" s="60" t="s">
        <v>447</v>
      </c>
      <c r="B48" s="60"/>
      <c r="C48" s="292"/>
      <c r="D48" s="292"/>
      <c r="E48" s="250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50">
        <f>C53-D53</f>
        <v>0</v>
      </c>
    </row>
    <row r="54" spans="1:5" ht="12.75">
      <c r="A54" s="245"/>
      <c r="B54" s="60"/>
      <c r="C54" s="292"/>
      <c r="D54" s="292"/>
      <c r="E54" s="250">
        <f aca="true" t="shared" si="3" ref="E54:E61">C54-D54</f>
        <v>0</v>
      </c>
    </row>
    <row r="55" spans="1:5" ht="12.75">
      <c r="A55" s="245" t="s">
        <v>267</v>
      </c>
      <c r="B55" s="60"/>
      <c r="C55" s="292"/>
      <c r="D55" s="292"/>
      <c r="E55" s="250">
        <f t="shared" si="3"/>
        <v>0</v>
      </c>
    </row>
    <row r="56" spans="1:5" ht="12.75">
      <c r="A56" s="245" t="s">
        <v>268</v>
      </c>
      <c r="B56" s="60"/>
      <c r="C56" s="292">
        <v>0</v>
      </c>
      <c r="D56" s="292"/>
      <c r="E56" s="250">
        <f t="shared" si="3"/>
        <v>0</v>
      </c>
    </row>
    <row r="57" spans="1:5" ht="12.75">
      <c r="A57" s="245" t="s">
        <v>269</v>
      </c>
      <c r="B57" s="60"/>
      <c r="C57" s="292"/>
      <c r="D57" s="292"/>
      <c r="E57" s="250">
        <f t="shared" si="3"/>
        <v>0</v>
      </c>
    </row>
    <row r="58" spans="1:5" ht="12.75">
      <c r="A58" s="245" t="s">
        <v>270</v>
      </c>
      <c r="B58" s="60"/>
      <c r="C58" s="292"/>
      <c r="D58" s="292"/>
      <c r="E58" s="250">
        <f t="shared" si="3"/>
        <v>0</v>
      </c>
    </row>
    <row r="59" spans="1:5" ht="12.75">
      <c r="A59" s="60" t="s">
        <v>447</v>
      </c>
      <c r="B59" s="60"/>
      <c r="C59" s="292"/>
      <c r="D59" s="292"/>
      <c r="E59" s="250">
        <f t="shared" si="3"/>
        <v>0</v>
      </c>
    </row>
    <row r="60" spans="1:5" ht="12.75">
      <c r="A60" s="60" t="s">
        <v>447</v>
      </c>
      <c r="B60" s="60"/>
      <c r="C60" s="292"/>
      <c r="D60" s="292"/>
      <c r="E60" s="250">
        <f t="shared" si="3"/>
        <v>0</v>
      </c>
    </row>
    <row r="61" spans="1:5" ht="13.5" thickBot="1">
      <c r="A61" s="61"/>
      <c r="B61" s="60"/>
      <c r="C61" s="292"/>
      <c r="D61" s="292"/>
      <c r="E61" s="250">
        <f t="shared" si="3"/>
        <v>0</v>
      </c>
    </row>
    <row r="62" spans="1:5" ht="12.75">
      <c r="A62" s="55" t="s">
        <v>132</v>
      </c>
      <c r="C62" s="22"/>
      <c r="D62" s="22"/>
      <c r="E62" s="277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="75" zoomScaleNormal="75" zoomScalePageLayoutView="0" workbookViewId="0" topLeftCell="A1">
      <pane xSplit="1" ySplit="6" topLeftCell="B9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88" sqref="C8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464</v>
      </c>
      <c r="B5" s="8"/>
      <c r="C5" s="8" t="s">
        <v>2</v>
      </c>
      <c r="D5" s="8"/>
      <c r="E5" s="8"/>
      <c r="F5" s="8"/>
    </row>
    <row r="6" spans="1:6" ht="12.75">
      <c r="A6" s="414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Greater Sudbury Hydro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85">
        <f>TAXREC!C13</f>
        <v>3763.045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187</v>
      </c>
      <c r="C17" s="293"/>
      <c r="D17" s="293"/>
      <c r="E17" s="311">
        <f>C17-D17</f>
        <v>0</v>
      </c>
    </row>
    <row r="18" spans="1:5" ht="12.75">
      <c r="A18" s="66" t="s">
        <v>253</v>
      </c>
      <c r="B18" t="s">
        <v>187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135</v>
      </c>
      <c r="B19" t="s">
        <v>187</v>
      </c>
      <c r="C19" s="293"/>
      <c r="D19" s="293"/>
      <c r="E19" s="311">
        <f t="shared" si="0"/>
        <v>0</v>
      </c>
    </row>
    <row r="20" spans="1:5" ht="12.75">
      <c r="A20" s="66" t="s">
        <v>448</v>
      </c>
      <c r="B20" t="s">
        <v>187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187</v>
      </c>
      <c r="C21" s="293"/>
      <c r="D21" s="293"/>
      <c r="E21" s="311">
        <f t="shared" si="0"/>
        <v>0</v>
      </c>
    </row>
    <row r="22" spans="1:5" ht="12.75">
      <c r="A22" s="66"/>
      <c r="B22" t="s">
        <v>187</v>
      </c>
      <c r="C22" s="293"/>
      <c r="D22" s="293"/>
      <c r="E22" s="311">
        <f t="shared" si="0"/>
        <v>0</v>
      </c>
    </row>
    <row r="23" spans="1:5" ht="12.75">
      <c r="A23" s="66" t="s">
        <v>137</v>
      </c>
      <c r="B23" t="s">
        <v>187</v>
      </c>
      <c r="C23" s="293"/>
      <c r="D23" s="293"/>
      <c r="E23" s="311">
        <f t="shared" si="0"/>
        <v>0</v>
      </c>
    </row>
    <row r="24" spans="1:5" ht="12.75">
      <c r="A24" s="66" t="s">
        <v>138</v>
      </c>
      <c r="B24" t="s">
        <v>187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187</v>
      </c>
      <c r="C25" s="293"/>
      <c r="D25" s="293"/>
      <c r="E25" s="311">
        <f t="shared" si="0"/>
        <v>0</v>
      </c>
    </row>
    <row r="26" spans="1:5" ht="12.75">
      <c r="A26" s="66" t="s">
        <v>191</v>
      </c>
      <c r="B26" t="s">
        <v>187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187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187</v>
      </c>
      <c r="C28" s="293"/>
      <c r="D28" s="293"/>
      <c r="E28" s="311">
        <f t="shared" si="0"/>
        <v>0</v>
      </c>
    </row>
    <row r="29" spans="1:5" ht="12.75">
      <c r="A29" s="66" t="s">
        <v>139</v>
      </c>
      <c r="B29" t="s">
        <v>187</v>
      </c>
      <c r="C29" s="293"/>
      <c r="D29" s="293"/>
      <c r="E29" s="311">
        <f t="shared" si="0"/>
        <v>0</v>
      </c>
    </row>
    <row r="30" spans="1:5" ht="12.75">
      <c r="A30" s="66" t="s">
        <v>140</v>
      </c>
      <c r="B30" t="s">
        <v>187</v>
      </c>
      <c r="C30" s="293"/>
      <c r="D30" s="293"/>
      <c r="E30" s="311">
        <f t="shared" si="0"/>
        <v>0</v>
      </c>
    </row>
    <row r="31" spans="1:5" ht="12.75">
      <c r="A31" s="66" t="s">
        <v>254</v>
      </c>
      <c r="B31" t="s">
        <v>187</v>
      </c>
      <c r="C31" s="293"/>
      <c r="D31" s="293"/>
      <c r="E31" s="311">
        <f t="shared" si="0"/>
        <v>0</v>
      </c>
    </row>
    <row r="32" spans="1:5" ht="12.75">
      <c r="A32" s="66" t="s">
        <v>141</v>
      </c>
      <c r="B32" t="s">
        <v>187</v>
      </c>
      <c r="C32" s="293"/>
      <c r="D32" s="293"/>
      <c r="E32" s="311">
        <f t="shared" si="0"/>
        <v>0</v>
      </c>
    </row>
    <row r="33" spans="1:5" ht="12.75">
      <c r="A33" s="66" t="s">
        <v>142</v>
      </c>
      <c r="B33" t="s">
        <v>187</v>
      </c>
      <c r="C33" s="293"/>
      <c r="D33" s="293"/>
      <c r="E33" s="311">
        <f t="shared" si="0"/>
        <v>0</v>
      </c>
    </row>
    <row r="34" spans="1:5" ht="12.75">
      <c r="A34" s="66" t="s">
        <v>143</v>
      </c>
      <c r="B34" t="s">
        <v>187</v>
      </c>
      <c r="C34" s="293"/>
      <c r="D34" s="293"/>
      <c r="E34" s="311">
        <f t="shared" si="0"/>
        <v>0</v>
      </c>
    </row>
    <row r="35" spans="1:5" ht="12.75">
      <c r="A35" s="66" t="s">
        <v>193</v>
      </c>
      <c r="B35" t="s">
        <v>187</v>
      </c>
      <c r="C35" s="293"/>
      <c r="D35" s="293"/>
      <c r="E35" s="311">
        <f t="shared" si="0"/>
        <v>0</v>
      </c>
    </row>
    <row r="36" spans="1:5" ht="12.75">
      <c r="A36" s="66" t="s">
        <v>469</v>
      </c>
      <c r="B36" t="s">
        <v>187</v>
      </c>
      <c r="C36" s="293"/>
      <c r="D36" s="293"/>
      <c r="E36" s="311">
        <f t="shared" si="0"/>
        <v>0</v>
      </c>
    </row>
    <row r="37" spans="1:5" ht="12.75">
      <c r="A37" s="66"/>
      <c r="B37" t="s">
        <v>187</v>
      </c>
      <c r="C37" s="293"/>
      <c r="D37" s="293"/>
      <c r="E37" s="311">
        <f t="shared" si="0"/>
        <v>0</v>
      </c>
    </row>
    <row r="38" spans="2:5" ht="12.75">
      <c r="B38" t="s">
        <v>187</v>
      </c>
      <c r="C38" s="293"/>
      <c r="D38" s="293"/>
      <c r="E38" s="250">
        <f t="shared" si="0"/>
        <v>0</v>
      </c>
    </row>
    <row r="39" spans="2:5" ht="12.75">
      <c r="B39" t="s">
        <v>187</v>
      </c>
      <c r="C39" s="292"/>
      <c r="D39" s="293"/>
      <c r="E39" s="250">
        <f t="shared" si="0"/>
        <v>0</v>
      </c>
    </row>
    <row r="40" spans="1:5" ht="12.75">
      <c r="A40" s="67" t="s">
        <v>204</v>
      </c>
      <c r="B40" t="s">
        <v>187</v>
      </c>
      <c r="C40" s="292"/>
      <c r="D40" s="292"/>
      <c r="E40" s="250">
        <f t="shared" si="0"/>
        <v>0</v>
      </c>
    </row>
    <row r="41" spans="1:5" ht="12.75">
      <c r="A41" s="66"/>
      <c r="B41" t="s">
        <v>187</v>
      </c>
      <c r="C41" s="292"/>
      <c r="D41" s="292"/>
      <c r="E41" s="250">
        <f t="shared" si="0"/>
        <v>0</v>
      </c>
    </row>
    <row r="42" spans="1:5" ht="12.75">
      <c r="A42" s="66"/>
      <c r="B42" t="s">
        <v>187</v>
      </c>
      <c r="C42" s="292"/>
      <c r="D42" s="292"/>
      <c r="E42" s="250">
        <f t="shared" si="0"/>
        <v>0</v>
      </c>
    </row>
    <row r="43" spans="1:5" ht="12.75">
      <c r="A43" s="66"/>
      <c r="B43" t="s">
        <v>187</v>
      </c>
      <c r="C43" s="292"/>
      <c r="D43" s="292"/>
      <c r="E43" s="250">
        <f t="shared" si="0"/>
        <v>0</v>
      </c>
    </row>
    <row r="44" spans="1:5" ht="12.75">
      <c r="A44" s="66"/>
      <c r="B44" t="s">
        <v>187</v>
      </c>
      <c r="C44" s="292"/>
      <c r="D44" s="292"/>
      <c r="E44" s="250">
        <f t="shared" si="0"/>
        <v>0</v>
      </c>
    </row>
    <row r="45" spans="1:5" ht="12.75">
      <c r="A45" s="66"/>
      <c r="B45" t="s">
        <v>187</v>
      </c>
      <c r="C45" s="292"/>
      <c r="D45" s="292"/>
      <c r="E45" s="277"/>
    </row>
    <row r="46" spans="1:5" ht="12.75">
      <c r="A46" s="69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172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str">
        <f>IF($E19&gt;$C$11,#REF!," ")</f>
        <v> </v>
      </c>
      <c r="B51" s="271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 </v>
      </c>
      <c r="B54" s="271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3" t="str">
        <f>IF($E37&gt;$C$11,A37," ")</f>
        <v> </v>
      </c>
      <c r="B68" s="271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144</v>
      </c>
      <c r="B77" s="271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4" t="s">
        <v>203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170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145</v>
      </c>
    </row>
    <row r="82" spans="1:5" ht="12.75">
      <c r="A82" s="66" t="s">
        <v>146</v>
      </c>
      <c r="B82" s="8" t="s">
        <v>188</v>
      </c>
      <c r="C82" s="292"/>
      <c r="D82" s="292"/>
      <c r="E82" s="250">
        <f>C82-D82</f>
        <v>0</v>
      </c>
    </row>
    <row r="83" spans="1:5" ht="12.75">
      <c r="A83" s="70" t="s">
        <v>152</v>
      </c>
      <c r="B83" s="8" t="s">
        <v>188</v>
      </c>
      <c r="C83" s="292"/>
      <c r="D83" s="292"/>
      <c r="E83" s="250">
        <f aca="true" t="shared" si="5" ref="E83:E98">C83-D83</f>
        <v>0</v>
      </c>
    </row>
    <row r="84" spans="1:5" ht="12.75">
      <c r="A84" s="70" t="s">
        <v>147</v>
      </c>
      <c r="B84" s="8" t="s">
        <v>188</v>
      </c>
      <c r="C84" s="292"/>
      <c r="D84" s="292"/>
      <c r="E84" s="250">
        <f t="shared" si="5"/>
        <v>0</v>
      </c>
    </row>
    <row r="85" spans="1:5" ht="12.75">
      <c r="A85" s="70" t="s">
        <v>255</v>
      </c>
      <c r="B85" s="8" t="s">
        <v>188</v>
      </c>
      <c r="C85" s="292"/>
      <c r="D85" s="292"/>
      <c r="E85" s="250">
        <f t="shared" si="5"/>
        <v>0</v>
      </c>
    </row>
    <row r="86" spans="1:5" ht="12.75">
      <c r="A86" s="66" t="s">
        <v>194</v>
      </c>
      <c r="B86" s="8" t="s">
        <v>188</v>
      </c>
      <c r="C86" s="292"/>
      <c r="D86" s="292"/>
      <c r="E86" s="250">
        <f t="shared" si="5"/>
        <v>0</v>
      </c>
    </row>
    <row r="87" spans="1:5" ht="12.75">
      <c r="A87" s="66" t="s">
        <v>375</v>
      </c>
      <c r="B87" s="8" t="s">
        <v>188</v>
      </c>
      <c r="C87" s="292"/>
      <c r="D87" s="292"/>
      <c r="E87" s="250">
        <f t="shared" si="5"/>
        <v>0</v>
      </c>
    </row>
    <row r="88" spans="1:5" ht="12.75">
      <c r="A88" s="66" t="s">
        <v>195</v>
      </c>
      <c r="B88" s="8" t="s">
        <v>188</v>
      </c>
      <c r="C88" s="292"/>
      <c r="D88" s="292"/>
      <c r="E88" s="250">
        <f t="shared" si="5"/>
        <v>0</v>
      </c>
    </row>
    <row r="89" spans="1:5" ht="12.75">
      <c r="A89" s="66" t="s">
        <v>167</v>
      </c>
      <c r="B89" s="8" t="s">
        <v>188</v>
      </c>
      <c r="C89" s="292"/>
      <c r="D89" s="292"/>
      <c r="E89" s="250">
        <f t="shared" si="5"/>
        <v>0</v>
      </c>
    </row>
    <row r="90" spans="1:5" ht="12.75">
      <c r="A90" s="66" t="s">
        <v>168</v>
      </c>
      <c r="B90" s="8" t="s">
        <v>188</v>
      </c>
      <c r="C90" s="292"/>
      <c r="D90" s="292"/>
      <c r="E90" s="250">
        <f t="shared" si="5"/>
        <v>0</v>
      </c>
    </row>
    <row r="91" spans="1:5" ht="12.75">
      <c r="A91" s="66" t="s">
        <v>169</v>
      </c>
      <c r="B91" s="8" t="s">
        <v>188</v>
      </c>
      <c r="C91" s="292"/>
      <c r="D91" s="292"/>
      <c r="E91" s="250">
        <f t="shared" si="5"/>
        <v>0</v>
      </c>
    </row>
    <row r="92" spans="2:5" ht="12.75">
      <c r="B92" s="8" t="s">
        <v>188</v>
      </c>
      <c r="C92" s="292"/>
      <c r="D92" s="292"/>
      <c r="E92" s="250"/>
    </row>
    <row r="93" spans="1:5" ht="12.75">
      <c r="A93" s="66"/>
      <c r="B93" s="8" t="s">
        <v>188</v>
      </c>
      <c r="C93" s="292"/>
      <c r="D93" s="292"/>
      <c r="E93" s="250">
        <f t="shared" si="5"/>
        <v>0</v>
      </c>
    </row>
    <row r="94" spans="1:5" ht="12.75">
      <c r="A94" s="66"/>
      <c r="B94" s="8" t="s">
        <v>188</v>
      </c>
      <c r="C94" s="292"/>
      <c r="D94" s="292"/>
      <c r="E94" s="250">
        <f t="shared" si="5"/>
        <v>0</v>
      </c>
    </row>
    <row r="95" spans="1:5" ht="12.75">
      <c r="A95" s="67" t="s">
        <v>205</v>
      </c>
      <c r="B95" s="8" t="s">
        <v>188</v>
      </c>
      <c r="C95" s="292"/>
      <c r="D95" s="292"/>
      <c r="E95" s="250">
        <f t="shared" si="5"/>
        <v>0</v>
      </c>
    </row>
    <row r="96" spans="1:5" ht="12.75">
      <c r="A96" s="66" t="s">
        <v>470</v>
      </c>
      <c r="B96" s="8" t="s">
        <v>188</v>
      </c>
      <c r="C96" s="292">
        <v>0</v>
      </c>
      <c r="D96" s="292"/>
      <c r="E96" s="250">
        <f t="shared" si="5"/>
        <v>0</v>
      </c>
    </row>
    <row r="97" spans="1:5" ht="12.75">
      <c r="A97" s="66"/>
      <c r="B97" s="8" t="s">
        <v>188</v>
      </c>
      <c r="C97" s="292"/>
      <c r="D97" s="292"/>
      <c r="E97" s="250">
        <f t="shared" si="5"/>
        <v>0</v>
      </c>
    </row>
    <row r="98" spans="1:5" ht="12.75">
      <c r="A98" s="66"/>
      <c r="B98" s="8" t="s">
        <v>188</v>
      </c>
      <c r="C98" s="292"/>
      <c r="D98" s="292"/>
      <c r="E98" s="250">
        <f t="shared" si="5"/>
        <v>0</v>
      </c>
    </row>
    <row r="99" spans="1:5" ht="12.75">
      <c r="A99" s="66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174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202</v>
      </c>
      <c r="B119" s="271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6" t="s">
        <v>201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171</v>
      </c>
      <c r="B121" s="271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2"/>
  <sheetViews>
    <sheetView zoomScale="75" zoomScaleNormal="75" zoomScalePageLayoutView="0" workbookViewId="0" topLeftCell="A1">
      <pane xSplit="1" ySplit="8" topLeftCell="B2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69" sqref="C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383</v>
      </c>
      <c r="E3" s="91"/>
    </row>
    <row r="4" spans="1:6" ht="15.75">
      <c r="A4" s="462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Greater Sudbury Hydro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133</v>
      </c>
      <c r="B19" t="s">
        <v>187</v>
      </c>
      <c r="C19" s="293"/>
      <c r="D19" s="293"/>
      <c r="E19" s="311">
        <f aca="true" t="shared" si="0" ref="E19:E45">C19-D19</f>
        <v>0</v>
      </c>
    </row>
    <row r="20" spans="1:5" ht="12.75">
      <c r="A20" t="s">
        <v>386</v>
      </c>
      <c r="B20" t="s">
        <v>187</v>
      </c>
      <c r="C20" s="293"/>
      <c r="D20" s="293"/>
      <c r="E20" s="311">
        <f t="shared" si="0"/>
        <v>0</v>
      </c>
    </row>
    <row r="21" spans="1:5" ht="12.75">
      <c r="A21" t="s">
        <v>452</v>
      </c>
      <c r="B21" t="s">
        <v>187</v>
      </c>
      <c r="C21" s="293"/>
      <c r="D21" s="293"/>
      <c r="E21" s="311">
        <f t="shared" si="0"/>
        <v>0</v>
      </c>
    </row>
    <row r="22" spans="1:5" ht="12.75">
      <c r="A22" s="66" t="s">
        <v>389</v>
      </c>
      <c r="B22" t="s">
        <v>187</v>
      </c>
      <c r="C22" s="293"/>
      <c r="D22" s="312"/>
      <c r="E22" s="311">
        <f t="shared" si="0"/>
        <v>0</v>
      </c>
    </row>
    <row r="23" spans="1:5" ht="12.75">
      <c r="A23" s="66" t="s">
        <v>390</v>
      </c>
      <c r="B23" t="s">
        <v>187</v>
      </c>
      <c r="C23" s="293"/>
      <c r="D23" s="293"/>
      <c r="E23" s="311">
        <f t="shared" si="0"/>
        <v>0</v>
      </c>
    </row>
    <row r="24" spans="1:5" ht="12.75">
      <c r="A24" s="66" t="s">
        <v>453</v>
      </c>
      <c r="B24" t="s">
        <v>187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187</v>
      </c>
      <c r="C25" s="293"/>
      <c r="D25" s="293"/>
      <c r="E25" s="311">
        <f t="shared" si="0"/>
        <v>0</v>
      </c>
    </row>
    <row r="26" spans="1:5" ht="12.75">
      <c r="A26" s="66" t="s">
        <v>134</v>
      </c>
      <c r="B26" t="s">
        <v>187</v>
      </c>
      <c r="C26" s="293"/>
      <c r="D26" s="293"/>
      <c r="E26" s="311">
        <f t="shared" si="0"/>
        <v>0</v>
      </c>
    </row>
    <row r="27" spans="1:5" ht="12.75">
      <c r="A27" s="66" t="s">
        <v>436</v>
      </c>
      <c r="B27" t="s">
        <v>187</v>
      </c>
      <c r="C27" s="293"/>
      <c r="D27" s="293"/>
      <c r="E27" s="311">
        <f t="shared" si="0"/>
        <v>0</v>
      </c>
    </row>
    <row r="28" spans="1:5" ht="12.75">
      <c r="A28" s="66" t="s">
        <v>388</v>
      </c>
      <c r="B28" t="s">
        <v>187</v>
      </c>
      <c r="C28" s="293"/>
      <c r="D28" s="293"/>
      <c r="E28" s="311">
        <f t="shared" si="0"/>
        <v>0</v>
      </c>
    </row>
    <row r="29" spans="1:5" ht="12.75">
      <c r="A29" s="66" t="s">
        <v>136</v>
      </c>
      <c r="B29" t="s">
        <v>187</v>
      </c>
      <c r="C29" s="293"/>
      <c r="D29" s="293"/>
      <c r="E29" s="311">
        <f t="shared" si="0"/>
        <v>0</v>
      </c>
    </row>
    <row r="30" spans="1:5" ht="12.75">
      <c r="A30" s="66" t="s">
        <v>387</v>
      </c>
      <c r="B30" t="s">
        <v>187</v>
      </c>
      <c r="C30" s="293"/>
      <c r="D30" s="293"/>
      <c r="E30" s="311">
        <f t="shared" si="0"/>
        <v>0</v>
      </c>
    </row>
    <row r="31" spans="1:5" ht="12.75">
      <c r="A31" s="66" t="s">
        <v>192</v>
      </c>
      <c r="B31" t="s">
        <v>187</v>
      </c>
      <c r="C31" s="293"/>
      <c r="D31" s="293"/>
      <c r="E31" s="311">
        <f t="shared" si="0"/>
        <v>0</v>
      </c>
    </row>
    <row r="32" spans="1:5" ht="12.75">
      <c r="A32" s="66" t="s">
        <v>431</v>
      </c>
      <c r="B32" t="s">
        <v>187</v>
      </c>
      <c r="C32" s="293"/>
      <c r="D32" s="293"/>
      <c r="E32" s="311">
        <f t="shared" si="0"/>
        <v>0</v>
      </c>
    </row>
    <row r="33" spans="1:5" ht="12.75">
      <c r="A33" s="66" t="s">
        <v>432</v>
      </c>
      <c r="B33" t="s">
        <v>187</v>
      </c>
      <c r="C33" s="293"/>
      <c r="D33" s="293"/>
      <c r="E33" s="311">
        <f t="shared" si="0"/>
        <v>0</v>
      </c>
    </row>
    <row r="34" spans="1:5" ht="12.75">
      <c r="A34" s="66" t="s">
        <v>449</v>
      </c>
      <c r="B34" t="s">
        <v>187</v>
      </c>
      <c r="C34" s="293"/>
      <c r="D34" s="293"/>
      <c r="E34" s="311">
        <f t="shared" si="0"/>
        <v>0</v>
      </c>
    </row>
    <row r="35" spans="1:5" ht="12.75">
      <c r="A35" s="80" t="s">
        <v>450</v>
      </c>
      <c r="C35" s="293"/>
      <c r="D35" s="293"/>
      <c r="E35" s="311">
        <f t="shared" si="0"/>
        <v>0</v>
      </c>
    </row>
    <row r="36" spans="1:5" ht="12.75">
      <c r="A36" s="66" t="s">
        <v>433</v>
      </c>
      <c r="C36" s="293"/>
      <c r="D36" s="293"/>
      <c r="E36" s="311">
        <f t="shared" si="0"/>
        <v>0</v>
      </c>
    </row>
    <row r="37" spans="1:5" ht="12.75">
      <c r="A37" s="66" t="s">
        <v>434</v>
      </c>
      <c r="C37" s="293"/>
      <c r="D37" s="293"/>
      <c r="E37" s="311">
        <f t="shared" si="0"/>
        <v>0</v>
      </c>
    </row>
    <row r="38" spans="1:5" ht="12.75">
      <c r="A38" s="80" t="s">
        <v>391</v>
      </c>
      <c r="C38" s="293"/>
      <c r="D38" s="293"/>
      <c r="E38" s="311">
        <f t="shared" si="0"/>
        <v>0</v>
      </c>
    </row>
    <row r="39" spans="2:5" ht="12.75">
      <c r="B39" t="s">
        <v>187</v>
      </c>
      <c r="C39" s="293"/>
      <c r="D39" s="293"/>
      <c r="E39" s="311">
        <f t="shared" si="0"/>
        <v>0</v>
      </c>
    </row>
    <row r="40" spans="1:5" ht="12.75">
      <c r="A40" s="80" t="s">
        <v>385</v>
      </c>
      <c r="B40" t="s">
        <v>187</v>
      </c>
      <c r="C40" s="293">
        <v>125897</v>
      </c>
      <c r="D40" s="293"/>
      <c r="E40" s="311">
        <f t="shared" si="0"/>
        <v>125897</v>
      </c>
    </row>
    <row r="41" spans="1:5" ht="12.75">
      <c r="A41" s="66" t="s">
        <v>456</v>
      </c>
      <c r="B41" t="s">
        <v>187</v>
      </c>
      <c r="C41" s="293"/>
      <c r="D41" s="293"/>
      <c r="E41" s="311">
        <f t="shared" si="0"/>
        <v>0</v>
      </c>
    </row>
    <row r="42" spans="2:5" ht="12.75">
      <c r="B42" t="s">
        <v>187</v>
      </c>
      <c r="C42" s="293"/>
      <c r="D42" s="293"/>
      <c r="E42" s="311">
        <f t="shared" si="0"/>
        <v>0</v>
      </c>
    </row>
    <row r="43" spans="1:5" ht="12.75">
      <c r="A43" s="67" t="s">
        <v>204</v>
      </c>
      <c r="B43" t="s">
        <v>187</v>
      </c>
      <c r="C43" s="293"/>
      <c r="D43" s="293"/>
      <c r="E43" s="311">
        <f t="shared" si="0"/>
        <v>0</v>
      </c>
    </row>
    <row r="44" spans="2:5" ht="12.75">
      <c r="B44" t="s">
        <v>187</v>
      </c>
      <c r="C44" s="292"/>
      <c r="D44" s="292"/>
      <c r="E44" s="250">
        <f t="shared" si="0"/>
        <v>0</v>
      </c>
    </row>
    <row r="45" spans="2:5" ht="12.75">
      <c r="B45" t="s">
        <v>187</v>
      </c>
      <c r="C45" s="292"/>
      <c r="D45" s="292"/>
      <c r="E45" s="250">
        <f t="shared" si="0"/>
        <v>0</v>
      </c>
    </row>
    <row r="46" spans="1:5" ht="12.75">
      <c r="A46" s="66"/>
      <c r="B46" t="s">
        <v>187</v>
      </c>
      <c r="C46" s="292"/>
      <c r="D46" s="292"/>
      <c r="E46" s="277"/>
    </row>
    <row r="47" spans="1:5" ht="12.75">
      <c r="A47" s="448" t="s">
        <v>395</v>
      </c>
      <c r="B47" t="s">
        <v>189</v>
      </c>
      <c r="C47" s="250">
        <f>SUM(C19:C46)</f>
        <v>125897</v>
      </c>
      <c r="D47" s="250">
        <f>SUM(D19:D46)</f>
        <v>0</v>
      </c>
      <c r="E47" s="250">
        <f>SUM(E19:E46)</f>
        <v>125897</v>
      </c>
    </row>
    <row r="48" ht="12.75">
      <c r="A48" s="66"/>
    </row>
    <row r="49" ht="12.75">
      <c r="A49" s="80" t="s">
        <v>145</v>
      </c>
    </row>
    <row r="51" spans="1:5" ht="12.75">
      <c r="A51" s="70" t="s">
        <v>386</v>
      </c>
      <c r="B51" s="8" t="s">
        <v>188</v>
      </c>
      <c r="C51" s="292"/>
      <c r="D51" s="292"/>
      <c r="E51" s="250">
        <f aca="true" t="shared" si="1" ref="E51:E61">C51-D51</f>
        <v>0</v>
      </c>
    </row>
    <row r="52" spans="1:5" ht="12.75">
      <c r="A52" s="66" t="s">
        <v>452</v>
      </c>
      <c r="B52" s="8" t="s">
        <v>188</v>
      </c>
      <c r="C52" s="292"/>
      <c r="D52" s="292"/>
      <c r="E52" s="250">
        <f t="shared" si="1"/>
        <v>0</v>
      </c>
    </row>
    <row r="53" spans="1:5" ht="12.75">
      <c r="A53" t="s">
        <v>387</v>
      </c>
      <c r="B53" s="8" t="s">
        <v>188</v>
      </c>
      <c r="C53" s="292"/>
      <c r="D53" s="292"/>
      <c r="E53" s="250">
        <f t="shared" si="1"/>
        <v>0</v>
      </c>
    </row>
    <row r="54" spans="1:5" ht="12.75">
      <c r="A54" t="s">
        <v>435</v>
      </c>
      <c r="B54" s="8" t="s">
        <v>188</v>
      </c>
      <c r="C54" s="292"/>
      <c r="D54" s="292"/>
      <c r="E54" s="250">
        <f t="shared" si="1"/>
        <v>0</v>
      </c>
    </row>
    <row r="55" spans="1:5" ht="12.75">
      <c r="A55" s="66" t="s">
        <v>443</v>
      </c>
      <c r="B55" s="8" t="s">
        <v>188</v>
      </c>
      <c r="C55" s="292"/>
      <c r="D55" s="292"/>
      <c r="E55" s="250">
        <f t="shared" si="1"/>
        <v>0</v>
      </c>
    </row>
    <row r="56" spans="1:5" ht="12.75">
      <c r="A56" s="66" t="s">
        <v>455</v>
      </c>
      <c r="B56" s="8" t="s">
        <v>188</v>
      </c>
      <c r="C56" s="292"/>
      <c r="D56" s="292"/>
      <c r="E56" s="250">
        <f t="shared" si="1"/>
        <v>0</v>
      </c>
    </row>
    <row r="57" spans="1:5" ht="12.75">
      <c r="A57" s="2" t="s">
        <v>451</v>
      </c>
      <c r="B57" s="8" t="s">
        <v>188</v>
      </c>
      <c r="C57" s="292"/>
      <c r="D57" s="292"/>
      <c r="E57" s="250">
        <f t="shared" si="1"/>
        <v>0</v>
      </c>
    </row>
    <row r="58" spans="1:5" ht="12.75">
      <c r="A58" s="66" t="s">
        <v>454</v>
      </c>
      <c r="B58" s="8" t="s">
        <v>188</v>
      </c>
      <c r="C58" s="292"/>
      <c r="D58" s="292"/>
      <c r="E58" s="250">
        <f t="shared" si="1"/>
        <v>0</v>
      </c>
    </row>
    <row r="59" spans="1:5" ht="12.75">
      <c r="A59" s="66"/>
      <c r="B59" s="8" t="s">
        <v>188</v>
      </c>
      <c r="C59" s="292"/>
      <c r="D59" s="292"/>
      <c r="E59" s="250">
        <f t="shared" si="1"/>
        <v>0</v>
      </c>
    </row>
    <row r="60" spans="1:5" ht="12.75">
      <c r="A60" s="466" t="s">
        <v>392</v>
      </c>
      <c r="B60" s="8" t="s">
        <v>188</v>
      </c>
      <c r="C60" s="292"/>
      <c r="D60" s="292"/>
      <c r="E60" s="250">
        <f t="shared" si="1"/>
        <v>0</v>
      </c>
    </row>
    <row r="61" spans="2:5" ht="12.75">
      <c r="B61" s="8" t="s">
        <v>188</v>
      </c>
      <c r="C61" s="292"/>
      <c r="D61" s="292"/>
      <c r="E61" s="250">
        <f t="shared" si="1"/>
        <v>0</v>
      </c>
    </row>
    <row r="62" spans="1:5" ht="12.75">
      <c r="A62" s="466" t="s">
        <v>385</v>
      </c>
      <c r="B62" s="8" t="s">
        <v>188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188</v>
      </c>
      <c r="C63" s="292"/>
      <c r="D63" s="292"/>
      <c r="E63" s="250">
        <f t="shared" si="2"/>
        <v>0</v>
      </c>
    </row>
    <row r="64" spans="2:5" ht="12.75">
      <c r="B64" s="8" t="s">
        <v>188</v>
      </c>
      <c r="C64" s="292"/>
      <c r="D64" s="292"/>
      <c r="E64" s="250">
        <f t="shared" si="2"/>
        <v>0</v>
      </c>
    </row>
    <row r="65" spans="2:5" ht="12.75">
      <c r="B65" s="8" t="s">
        <v>188</v>
      </c>
      <c r="C65" s="292"/>
      <c r="D65" s="292"/>
      <c r="E65" s="250">
        <f t="shared" si="2"/>
        <v>0</v>
      </c>
    </row>
    <row r="66" spans="2:5" ht="12.75">
      <c r="B66" s="8" t="s">
        <v>188</v>
      </c>
      <c r="C66" s="292"/>
      <c r="D66" s="292"/>
      <c r="E66" s="250">
        <f t="shared" si="2"/>
        <v>0</v>
      </c>
    </row>
    <row r="67" spans="1:5" ht="12.75">
      <c r="A67" s="66"/>
      <c r="B67" s="8" t="s">
        <v>188</v>
      </c>
      <c r="C67" s="292"/>
      <c r="D67" s="292"/>
      <c r="E67" s="250">
        <f t="shared" si="2"/>
        <v>0</v>
      </c>
    </row>
    <row r="68" spans="1:5" ht="12.75">
      <c r="A68" s="67" t="s">
        <v>205</v>
      </c>
      <c r="B68" s="8" t="s">
        <v>188</v>
      </c>
      <c r="C68" s="292"/>
      <c r="D68" s="292"/>
      <c r="E68" s="250">
        <f t="shared" si="2"/>
        <v>0</v>
      </c>
    </row>
    <row r="69" spans="1:5" ht="25.5">
      <c r="A69" s="511" t="s">
        <v>506</v>
      </c>
      <c r="B69" s="8" t="s">
        <v>188</v>
      </c>
      <c r="C69" s="292">
        <f>338255+338000+460118</f>
        <v>1136373</v>
      </c>
      <c r="D69" s="292"/>
      <c r="E69" s="250">
        <f t="shared" si="2"/>
        <v>1136373</v>
      </c>
    </row>
    <row r="70" spans="1:5" ht="12.75">
      <c r="A70" s="66"/>
      <c r="B70" s="8" t="s">
        <v>188</v>
      </c>
      <c r="C70" s="292"/>
      <c r="D70" s="292"/>
      <c r="E70" s="250">
        <f t="shared" si="2"/>
        <v>0</v>
      </c>
    </row>
    <row r="71" spans="1:5" ht="12.75">
      <c r="A71" s="66"/>
      <c r="B71" s="8" t="s">
        <v>188</v>
      </c>
      <c r="C71" s="292"/>
      <c r="D71" s="292"/>
      <c r="E71" s="250">
        <f t="shared" si="2"/>
        <v>0</v>
      </c>
    </row>
    <row r="72" spans="1:5" ht="12.75">
      <c r="A72" s="66"/>
      <c r="B72" s="8" t="s">
        <v>188</v>
      </c>
      <c r="C72" s="292"/>
      <c r="D72" s="292"/>
      <c r="E72" s="277">
        <f t="shared" si="2"/>
        <v>0</v>
      </c>
    </row>
    <row r="73" spans="1:5" ht="12.75">
      <c r="A73" s="447" t="s">
        <v>394</v>
      </c>
      <c r="B73" s="8" t="s">
        <v>189</v>
      </c>
      <c r="C73" s="250">
        <f>SUM(C51:C72)</f>
        <v>1136373</v>
      </c>
      <c r="D73" s="250">
        <f>SUM(D51:D72)</f>
        <v>0</v>
      </c>
      <c r="E73" s="250">
        <f>SUM(E51:E72)</f>
        <v>1136373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zoomScale="75" zoomScaleNormal="75" zoomScalePageLayoutView="0" workbookViewId="0" topLeftCell="A19">
      <selection activeCell="K48" sqref="K4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1.57421875" style="8" bestFit="1" customWidth="1"/>
    <col min="4" max="4" width="11.28125" style="8" bestFit="1" customWidth="1"/>
    <col min="5" max="5" width="11.7109375" style="8" bestFit="1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EB-2008-0381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307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Greater Sudbury Hydro Inc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9" t="s">
        <v>335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0" t="s">
        <v>481</v>
      </c>
      <c r="B8" s="521"/>
      <c r="C8" s="521"/>
      <c r="D8" s="521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400001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483</v>
      </c>
      <c r="B10" s="325"/>
      <c r="C10" s="374" t="s">
        <v>111</v>
      </c>
      <c r="D10" s="374"/>
      <c r="E10" s="374" t="s">
        <v>111</v>
      </c>
      <c r="F10" s="375" t="s">
        <v>477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400000</v>
      </c>
      <c r="D11" s="376"/>
      <c r="E11" s="376">
        <v>1128000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300</v>
      </c>
      <c r="B13" s="408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299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304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260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330</v>
      </c>
      <c r="B21" s="405" t="s">
        <v>482</v>
      </c>
      <c r="C21" s="360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331</v>
      </c>
      <c r="B22" s="406" t="s">
        <v>476</v>
      </c>
      <c r="C22" s="361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4" t="s">
        <v>488</v>
      </c>
      <c r="B23" s="515"/>
      <c r="C23" s="515"/>
      <c r="D23" s="515"/>
      <c r="E23" s="515"/>
      <c r="F23" s="515"/>
      <c r="G23" s="437"/>
      <c r="H23" s="419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0"/>
      <c r="B24" s="411"/>
      <c r="C24" s="411"/>
      <c r="D24" s="411"/>
      <c r="E24" s="411"/>
      <c r="F24" s="411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9" t="s">
        <v>336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0" t="s">
        <v>484</v>
      </c>
      <c r="B26" s="521"/>
      <c r="C26" s="521"/>
      <c r="D26" s="521"/>
      <c r="E26" s="521"/>
      <c r="F26" s="52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439</v>
      </c>
      <c r="B28" s="325"/>
      <c r="C28" s="368" t="s">
        <v>111</v>
      </c>
      <c r="D28" s="368" t="s">
        <v>111</v>
      </c>
      <c r="E28" s="368" t="s">
        <v>111</v>
      </c>
      <c r="F28" s="369" t="s">
        <v>477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8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299</v>
      </c>
      <c r="B32" s="408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8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260</v>
      </c>
      <c r="B34" s="408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8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8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8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486</v>
      </c>
      <c r="B39" s="405" t="s">
        <v>482</v>
      </c>
      <c r="C39" s="360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487</v>
      </c>
      <c r="B40" s="406" t="s">
        <v>476</v>
      </c>
      <c r="C40" s="361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6" t="s">
        <v>333</v>
      </c>
      <c r="B41" s="515"/>
      <c r="C41" s="515"/>
      <c r="D41" s="515"/>
      <c r="E41" s="515"/>
      <c r="F41" s="51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7"/>
      <c r="B42" s="517"/>
      <c r="C42" s="517"/>
      <c r="D42" s="517"/>
      <c r="E42" s="517"/>
      <c r="F42" s="51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9" t="s">
        <v>337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7" t="s">
        <v>485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477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8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299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260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0.00175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347</v>
      </c>
      <c r="B57" s="405" t="s">
        <v>482</v>
      </c>
      <c r="C57" s="360">
        <v>7500000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348</v>
      </c>
      <c r="B58" s="406" t="s">
        <v>476</v>
      </c>
      <c r="C58" s="361">
        <v>50000000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4" t="s">
        <v>349</v>
      </c>
      <c r="B59" s="518"/>
      <c r="C59" s="518"/>
      <c r="D59" s="518"/>
      <c r="E59" s="518"/>
      <c r="F59" s="518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9"/>
      <c r="B60" s="519"/>
      <c r="C60" s="519"/>
      <c r="D60" s="519"/>
      <c r="E60" s="519"/>
      <c r="F60" s="519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tabSelected="1" view="pageLayout" workbookViewId="0" topLeftCell="A4">
      <selection activeCell="K32" sqref="K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Greater Sudbury Hydro Inc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509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93">
        <v>0</v>
      </c>
      <c r="D11" s="389"/>
      <c r="E11" s="395">
        <f>C22</f>
        <v>0</v>
      </c>
      <c r="F11" s="418"/>
      <c r="G11" s="395">
        <f>E22</f>
        <v>0</v>
      </c>
      <c r="H11" s="418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7" ht="27" customHeight="1">
      <c r="A12" s="80" t="s">
        <v>396</v>
      </c>
      <c r="B12" s="65" t="s">
        <v>190</v>
      </c>
      <c r="C12" s="394"/>
      <c r="D12" s="390"/>
      <c r="E12" s="508">
        <v>0</v>
      </c>
      <c r="F12" s="94"/>
      <c r="G12" s="417">
        <f>C12+E12</f>
        <v>0</v>
      </c>
      <c r="H12" s="94"/>
      <c r="I12" s="417">
        <f>(E12/12*9)+(G12/12*3)</f>
        <v>0</v>
      </c>
      <c r="J12" s="390"/>
      <c r="K12" s="501">
        <v>0</v>
      </c>
      <c r="L12" s="390"/>
      <c r="M12" s="417">
        <v>0</v>
      </c>
      <c r="N12" s="390"/>
      <c r="O12" s="395">
        <f aca="true" t="shared" si="0" ref="O12:O20">SUM(C12:N12)</f>
        <v>0</v>
      </c>
      <c r="Q12" s="22"/>
    </row>
    <row r="13" spans="1:15" ht="27" customHeight="1">
      <c r="A13" s="80" t="s">
        <v>438</v>
      </c>
      <c r="B13" s="65"/>
      <c r="C13" s="394"/>
      <c r="D13" s="94"/>
      <c r="E13" s="394"/>
      <c r="F13" s="94"/>
      <c r="G13" s="394"/>
      <c r="H13" s="94"/>
      <c r="I13" s="394"/>
      <c r="J13" s="390"/>
      <c r="K13" s="394"/>
      <c r="L13" s="390"/>
      <c r="M13" s="394"/>
      <c r="N13" s="390"/>
      <c r="O13" s="395">
        <f t="shared" si="0"/>
        <v>0</v>
      </c>
    </row>
    <row r="14" spans="1:15" ht="38.25">
      <c r="A14" s="80" t="s">
        <v>397</v>
      </c>
      <c r="B14" s="65" t="s">
        <v>190</v>
      </c>
      <c r="C14" s="394"/>
      <c r="D14" s="390"/>
      <c r="E14" s="394"/>
      <c r="F14" s="94"/>
      <c r="G14" s="394">
        <v>0</v>
      </c>
      <c r="H14" s="94"/>
      <c r="I14" s="427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398</v>
      </c>
      <c r="B15" s="65" t="s">
        <v>190</v>
      </c>
      <c r="C15" s="394"/>
      <c r="D15" s="390"/>
      <c r="E15" s="508" t="s">
        <v>102</v>
      </c>
      <c r="F15" s="94"/>
      <c r="G15" s="394"/>
      <c r="H15" s="94"/>
      <c r="I15" s="394">
        <v>0</v>
      </c>
      <c r="J15" s="390"/>
      <c r="K15" s="394">
        <v>0</v>
      </c>
      <c r="L15" s="390"/>
      <c r="M15" s="394">
        <v>0</v>
      </c>
      <c r="N15" s="390"/>
      <c r="O15" s="395">
        <f t="shared" si="0"/>
        <v>0</v>
      </c>
    </row>
    <row r="16" spans="1:15" ht="27" customHeight="1">
      <c r="A16" s="80" t="s">
        <v>399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>
        <v>0</v>
      </c>
      <c r="L16" s="390"/>
      <c r="M16" s="394"/>
      <c r="N16" s="390"/>
      <c r="O16" s="395">
        <f t="shared" si="0"/>
        <v>0</v>
      </c>
    </row>
    <row r="17" spans="1:15" ht="27.75" customHeight="1">
      <c r="A17" s="80" t="s">
        <v>400</v>
      </c>
      <c r="B17" s="65" t="s">
        <v>190</v>
      </c>
      <c r="C17" s="394"/>
      <c r="D17" s="390"/>
      <c r="E17" s="394">
        <v>0</v>
      </c>
      <c r="F17" s="94"/>
      <c r="G17" s="394">
        <v>0</v>
      </c>
      <c r="H17" s="94"/>
      <c r="I17" s="394">
        <v>0</v>
      </c>
      <c r="J17" s="390"/>
      <c r="K17" s="394">
        <v>0</v>
      </c>
      <c r="L17" s="390"/>
      <c r="M17" s="394">
        <f>TAXCALC!E182</f>
        <v>0</v>
      </c>
      <c r="N17" s="390"/>
      <c r="O17" s="395">
        <f t="shared" si="0"/>
        <v>0</v>
      </c>
    </row>
    <row r="18" spans="1:15" ht="38.25">
      <c r="A18" s="80" t="s">
        <v>401</v>
      </c>
      <c r="B18" s="65" t="s">
        <v>190</v>
      </c>
      <c r="C18" s="394"/>
      <c r="D18" s="390"/>
      <c r="E18" s="394"/>
      <c r="F18" s="94"/>
      <c r="G18" s="394"/>
      <c r="H18" s="94"/>
      <c r="I18" s="394">
        <v>0</v>
      </c>
      <c r="J18" s="390"/>
      <c r="K18" s="394"/>
      <c r="L18" s="390"/>
      <c r="M18" s="394"/>
      <c r="N18" s="390"/>
      <c r="O18" s="395">
        <f t="shared" si="0"/>
        <v>0</v>
      </c>
    </row>
    <row r="19" spans="1:17" ht="24" customHeight="1">
      <c r="A19" s="431" t="s">
        <v>402</v>
      </c>
      <c r="B19" s="65" t="s">
        <v>190</v>
      </c>
      <c r="C19" s="394"/>
      <c r="D19" s="390"/>
      <c r="E19" s="394">
        <v>0</v>
      </c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  <c r="Q19" s="22"/>
    </row>
    <row r="20" spans="1:17" ht="24.75" customHeight="1">
      <c r="A20" s="80" t="s">
        <v>467</v>
      </c>
      <c r="B20" s="65" t="s">
        <v>188</v>
      </c>
      <c r="C20" s="394">
        <v>0</v>
      </c>
      <c r="D20" s="390"/>
      <c r="E20" s="394">
        <v>0</v>
      </c>
      <c r="F20" s="94"/>
      <c r="G20" s="394">
        <v>0</v>
      </c>
      <c r="H20" s="94"/>
      <c r="I20" s="394">
        <v>0</v>
      </c>
      <c r="J20" s="390"/>
      <c r="K20" s="394">
        <v>0</v>
      </c>
      <c r="L20" s="390"/>
      <c r="M20" s="394"/>
      <c r="N20" s="390"/>
      <c r="O20" s="395">
        <f t="shared" si="0"/>
        <v>0</v>
      </c>
      <c r="Q20" s="489"/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8"/>
    </row>
    <row r="22" spans="1:19" ht="13.5" thickBot="1">
      <c r="A22" s="80" t="s">
        <v>372</v>
      </c>
      <c r="B22" s="34"/>
      <c r="C22" s="396">
        <f>SUM(C11:C20)</f>
        <v>0</v>
      </c>
      <c r="D22" s="418"/>
      <c r="E22" s="396">
        <f>SUM(E11:E20)</f>
        <v>0</v>
      </c>
      <c r="F22" s="418"/>
      <c r="G22" s="396">
        <f>SUM(G11:G20)</f>
        <v>0</v>
      </c>
      <c r="H22" s="418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0</v>
      </c>
      <c r="N22" s="389"/>
      <c r="O22" s="486">
        <f>SUM(O11:O20)</f>
        <v>0</v>
      </c>
      <c r="S22" s="22"/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403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404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405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49" t="s">
        <v>406</v>
      </c>
      <c r="B31" s="79"/>
      <c r="C31" s="79"/>
      <c r="D31" s="79"/>
      <c r="E31" s="79"/>
      <c r="F31" s="79"/>
      <c r="G31" s="79"/>
      <c r="H31" s="79"/>
      <c r="I31" s="446"/>
      <c r="J31" s="446"/>
      <c r="K31" s="526" t="s">
        <v>510</v>
      </c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3" t="s">
        <v>407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419"/>
      <c r="Q33" s="419"/>
      <c r="R33" s="419"/>
      <c r="S33" s="419"/>
    </row>
    <row r="34" spans="1:19" ht="12.75">
      <c r="A34" s="522" t="s">
        <v>408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419"/>
      <c r="Q34" s="419"/>
      <c r="R34" s="419"/>
      <c r="S34" s="419"/>
    </row>
    <row r="35" spans="1:19" ht="12.75">
      <c r="A35" s="522" t="s">
        <v>429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419"/>
      <c r="Q35" s="419"/>
      <c r="R35" s="419"/>
      <c r="S35" s="419"/>
    </row>
    <row r="36" spans="1:19" ht="12.75">
      <c r="A36" s="522" t="s">
        <v>409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419"/>
      <c r="Q36" s="419"/>
      <c r="R36" s="419"/>
      <c r="S36" s="419"/>
    </row>
    <row r="37" spans="1:19" ht="12.75">
      <c r="A37" s="436" t="s">
        <v>369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370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410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411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412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413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414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415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416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417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418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415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419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420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421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422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423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379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424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425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381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380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382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426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427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428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22" t="s">
        <v>458</v>
      </c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</row>
    <row r="75" spans="1:15" ht="12.75">
      <c r="A75" s="433" t="s">
        <v>371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headerFooter alignWithMargins="0">
    <oddHeader>&amp;R&amp;9Halton Hills Hydro Inc.
EB-2008-0381
Deferred PILs Combined Proceeding
Appendix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2011-07-08T19:48:10Z</cp:lastPrinted>
  <dcterms:created xsi:type="dcterms:W3CDTF">2001-11-07T16:15:53Z</dcterms:created>
  <dcterms:modified xsi:type="dcterms:W3CDTF">2011-10-26T15:53:09Z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