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<sst xmlns="http://schemas.openxmlformats.org/spreadsheetml/2006/main" count="898" uniqueCount="519">
  <si>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</si>
  <si>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</si>
  <si>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</si>
  <si>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</si>
  <si>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</si>
  <si>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</si>
  <si>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</si>
  <si>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</si>
  <si>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</si>
  <si>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</si>
  <si>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</si>
  <si>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</si>
  <si>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</si>
  <si>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</si>
  <si>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</si>
  <si>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</si>
  <si>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</si>
  <si>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</si>
  <si>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</si>
  <si>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</si>
  <si>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</si>
  <si>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</si>
  <si>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</si>
  <si>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</si>
  <si>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</si>
  <si>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</si>
  <si>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</si>
  <si>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</si>
  <si>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</si>
  <si>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</si>
  <si>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</si>
  <si>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</si>
  <si>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</si>
  <si>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</si>
  <si>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</si>
  <si>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</si>
  <si>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</si>
  <si>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</si>
  <si>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</si>
  <si>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</si>
  <si>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</si>
  <si>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</si>
  <si>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</si>
  <si>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</si>
  <si>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</si>
  <si>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</si>
  <si>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</si>
  <si>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</si>
  <si>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</si>
  <si>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</si>
  <si>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</si>
  <si>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</si>
  <si>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</si>
  <si>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</si>
  <si>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</si>
  <si>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</si>
  <si>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</si>
  <si>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</si>
  <si>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</si>
  <si>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</si>
  <si>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</si>
  <si>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</si>
  <si>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</si>
  <si>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</si>
  <si>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</si>
  <si>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</si>
  <si>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</si>
  <si>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</si>
  <si>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</si>
  <si>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</si>
  <si>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</si>
  <si>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</si>
  <si>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</si>
  <si>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</si>
  <si>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</si>
  <si>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</si>
  <si>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</si>
  <si>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</si>
  <si>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</si>
  <si>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</si>
  <si>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</si>
  <si>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</si>
  <si>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</si>
  <si>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</si>
  <si>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</si>
  <si>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</si>
  <si>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</si>
  <si>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</si>
  <si>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</si>
  <si>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</si>
  <si>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</si>
  <si>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</si>
  <si>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</si>
  <si>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</si>
  <si>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</si>
  <si>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</si>
  <si>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</si>
  <si>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</si>
  <si>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</si>
  <si>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</si>
  <si>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</si>
  <si>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</si>
  <si>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</si>
  <si>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</si>
  <si>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</si>
  <si>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</si>
  <si>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</si>
  <si>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</si>
  <si>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</si>
  <si>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</si>
  <si>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</si>
  <si>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</si>
  <si>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</si>
  <si>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</si>
  <si>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</si>
  <si>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</si>
  <si>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</si>
  <si>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</si>
  <si>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</si>
  <si>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</si>
  <si>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</si>
  <si>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</si>
  <si>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</si>
  <si>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</si>
  <si>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</si>
  <si>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</si>
  <si>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</si>
  <si>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</si>
  <si>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</si>
  <si>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</si>
  <si>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</si>
  <si>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</si>
  <si>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</si>
  <si>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</si>
  <si>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</si>
  <si>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</si>
  <si>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</si>
  <si>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</si>
  <si>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</si>
  <si>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</si>
  <si>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</si>
  <si>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</si>
  <si>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</si>
  <si>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</si>
  <si>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</si>
  <si>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</si>
  <si>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</si>
  <si>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</si>
  <si>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</si>
  <si>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</si>
  <si>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</si>
  <si>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</si>
  <si>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</si>
  <si>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</si>
  <si>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</si>
  <si>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</si>
  <si>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</si>
  <si>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</si>
  <si>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</si>
  <si>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</si>
  <si>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</si>
  <si>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</si>
  <si>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</si>
  <si>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</si>
  <si>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</si>
  <si>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</si>
  <si>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</si>
  <si>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</si>
  <si>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</si>
  <si>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</si>
  <si>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</si>
  <si>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</si>
  <si>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</si>
  <si>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</si>
  <si>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</si>
  <si>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</si>
  <si>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</si>
  <si>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</si>
  <si>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</si>
  <si>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</si>
  <si>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</si>
  <si>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</si>
  <si>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</si>
  <si>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</si>
  <si>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</si>
  <si>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</si>
  <si>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</si>
  <si>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</si>
  <si>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</si>
  <si>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</si>
  <si>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</si>
  <si>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</si>
  <si>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</si>
  <si>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</si>
  <si>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</si>
  <si>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</si>
  <si>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</si>
  <si>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</si>
  <si>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</si>
  <si>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</si>
  <si>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</si>
  <si>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</si>
  <si>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</si>
  <si>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</si>
  <si>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</si>
  <si>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</si>
  <si>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</si>
  <si>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</si>
  <si>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</si>
  <si>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</si>
  <si>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</si>
  <si>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</si>
  <si>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</si>
  <si>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</si>
  <si>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</si>
  <si>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</si>
  <si>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</si>
  <si>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</si>
  <si>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</si>
  <si>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</si>
  <si>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</si>
  <si>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</si>
  <si>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</si>
  <si>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</si>
  <si>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</si>
  <si>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</si>
  <si>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</si>
  <si>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</si>
  <si>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</si>
  <si>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</si>
  <si>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</si>
  <si>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</si>
  <si>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</si>
  <si>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</si>
  <si>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</si>
  <si>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</si>
  <si>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</si>
  <si>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</si>
  <si>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</si>
  <si>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</si>
  <si>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</si>
  <si>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</si>
  <si>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</si>
  <si>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</si>
  <si>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</si>
  <si>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</si>
  <si>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</si>
  <si>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</si>
  <si>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</si>
  <si>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</si>
  <si>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</si>
  <si>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</si>
  <si>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</si>
  <si>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</si>
  <si>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</si>
  <si>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</si>
  <si>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</si>
  <si>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</si>
  <si>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</si>
  <si>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</si>
  <si>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</si>
  <si>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</si>
  <si>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</si>
  <si>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</si>
  <si>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</si>
  <si>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</si>
  <si>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</si>
  <si>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</si>
  <si>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</si>
  <si>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</si>
  <si>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</si>
  <si>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</si>
  <si>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</si>
  <si>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</si>
  <si>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</si>
  <si>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</si>
  <si>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</si>
  <si>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</si>
  <si>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</si>
  <si>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</si>
  <si>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</si>
  <si>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</si>
  <si>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</si>
  <si>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</si>
  <si>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</si>
  <si>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</si>
  <si>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</si>
  <si>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</si>
  <si>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</si>
  <si>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</si>
  <si>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</si>
  <si>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</si>
  <si>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</si>
  <si>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</si>
  <si>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</si>
  <si>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</si>
  <si>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</si>
  <si>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</si>
  <si>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</si>
  <si>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</si>
  <si>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</si>
  <si>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</si>
  <si>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</si>
  <si>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</si>
  <si>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</si>
  <si>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</si>
  <si>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</si>
  <si>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</si>
  <si>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</si>
  <si>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</si>
  <si>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</si>
  <si>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</si>
  <si>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</si>
  <si>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</si>
  <si>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</si>
  <si>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</si>
  <si>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</si>
  <si>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</si>
  <si>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</si>
  <si>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</si>
  <si>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</si>
  <si>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</si>
  <si>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</si>
  <si>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</si>
  <si>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</si>
  <si>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</si>
  <si>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</si>
  <si>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</si>
  <si>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</si>
  <si>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</si>
  <si>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</si>
  <si>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</si>
  <si>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</si>
  <si>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</si>
  <si>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</si>
  <si>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</si>
  <si>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</si>
  <si>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</si>
  <si>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</si>
  <si>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</si>
  <si>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</si>
  <si>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</si>
  <si>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</si>
  <si>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</si>
  <si>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</si>
  <si>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</si>
  <si>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</si>
  <si>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</si>
  <si>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</si>
  <si>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</si>
  <si>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</si>
  <si>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</si>
  <si>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</si>
  <si>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</si>
  <si>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</si>
  <si>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</si>
  <si>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</si>
  <si>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</si>
  <si>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</si>
  <si>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</si>
  <si>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</si>
  <si>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</si>
  <si>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</si>
  <si>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</si>
  <si>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</si>
  <si>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</si>
  <si>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</si>
  <si>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</si>
  <si>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</si>
  <si>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</si>
  <si>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</si>
  <si>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</si>
  <si>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</si>
  <si>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</si>
  <si>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</si>
  <si>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</si>
  <si>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</si>
  <si>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</si>
  <si>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</si>
  <si>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</si>
  <si>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</si>
  <si>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</si>
  <si>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</si>
  <si>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</si>
  <si>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</si>
  <si>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</si>
  <si>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</si>
  <si>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</si>
  <si>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</si>
  <si>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</si>
  <si>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</si>
  <si>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</si>
  <si>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</si>
  <si>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</si>
  <si>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</si>
  <si>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</si>
  <si>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</si>
  <si>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</si>
  <si>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</si>
  <si>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</si>
  <si>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</si>
  <si>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</si>
  <si>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</si>
  <si>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</si>
  <si>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</si>
  <si>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</si>
  <si>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</si>
  <si>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</si>
  <si>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</si>
  <si>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</si>
  <si>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</si>
  <si>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</si>
  <si>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</si>
  <si>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</si>
  <si>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</si>
  <si>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</si>
  <si>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</si>
  <si>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</si>
  <si>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</si>
  <si>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</si>
  <si>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</si>
  <si>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</si>
  <si>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</si>
  <si>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</si>
  <si>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</si>
  <si>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</si>
  <si>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</si>
  <si>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</si>
  <si>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</si>
  <si>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</si>
  <si>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</si>
  <si>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</si>
  <si>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</si>
  <si>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</si>
  <si>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</si>
  <si>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</si>
  <si>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</si>
  <si>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</si>
  <si>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</si>
  <si>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</si>
  <si>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</si>
  <si>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</si>
  <si>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</si>
  <si>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</si>
  <si>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</si>
  <si>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</si>
  <si>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</si>
  <si>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</si>
  <si>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</si>
  <si>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</si>
  <si>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</si>
  <si>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</si>
  <si>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</si>
  <si>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</si>
  <si>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</si>
  <si>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</si>
  <si>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</si>
  <si>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</si>
  <si>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</si>
  <si>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</si>
  <si>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</si>
  <si>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</si>
  <si>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</si>
  <si>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</si>
  <si>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</si>
  <si>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</si>
  <si>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</si>
  <si>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</si>
  <si>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</si>
  <si>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</si>
  <si>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</si>
  <si>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</si>
  <si>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</si>
  <si>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</si>
  <si>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</si>
  <si>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</si>
  <si>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</si>
  <si>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</si>
  <si>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</si>
  <si>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</si>
  <si>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</si>
  <si>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</si>
  <si>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</si>
  <si>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</si>
  <si>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</si>
  <si>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</si>
  <si>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</si>
  <si>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</si>
  <si>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</si>
  <si>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</si>
  <si>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</si>
  <si>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</si>
  <si>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</si>
  <si>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</si>
  <si>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PILs TAXES - EB-2010-</t>
  </si>
  <si>
    <t>Other Liabilities (2405) - Allowance for doubtful accounts</t>
  </si>
  <si>
    <t>Amortization of debt discount</t>
  </si>
  <si>
    <t>Partnership income per T5013 (net of 2001 loss)</t>
  </si>
  <si>
    <t>Prospectus &amp; underwriting fees</t>
  </si>
  <si>
    <t>Income not earned on movement of Regulatory A/Cs</t>
  </si>
  <si>
    <t>Deferred cost deductible (market ready)</t>
  </si>
  <si>
    <t>RSVA Reserve (1580)</t>
  </si>
  <si>
    <t>Reserves for Transition Costs</t>
  </si>
  <si>
    <t>Reserves for rebate payment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</si>
  <si>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</si>
  <si>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</si>
  <si>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</si>
  <si>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</si>
  <si>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</si>
  <si>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</si>
  <si>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</si>
  <si>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</si>
  <si>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Utility Name: West Nipissing Energy Services Ltd</t>
  </si>
  <si>
    <t>Financially distressed</t>
  </si>
  <si>
    <t>does not exclude surtax</t>
  </si>
  <si>
    <t>agrees to PILs proxy</t>
  </si>
  <si>
    <t>rate as per proxy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</si>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</sst>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45" borderId="0" xfId="0" applyFont="1" applyFill="1" applyAlignment="1">
      <alignment vertical="top" wrapText="1"/>
    </xf>
    <xf numFmtId="0" fontId="57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10" fontId="0" fillId="0" borderId="0" xfId="0" applyNumberFormat="1" applyFont="1" applyBorder="1" applyAlignment="1">
      <alignment horizontal="left" vertical="top"/>
    </xf>
    <xf numFmtId="3" fontId="0" fillId="36" borderId="17" xfId="42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36" borderId="0" xfId="0" applyNumberFormat="1" applyFont="1" applyFill="1" applyAlignment="1">
      <alignment/>
    </xf>
    <xf numFmtId="0" fontId="0" fillId="40" borderId="0" xfId="0" applyFont="1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</sheetPr>
  <dimension ref="A1:P76"/>
  <sheetViews>
    <sheetView zoomScale="80" zoomScaleNormal="80" zoomScalePageLayoutView="0" workbookViewId="0" topLeftCell="A1">
      <selection activeCell="M51" sqref="M51"/>
    </sheetView>
  </sheetViews>
  <sheetFormatPr defaultColWidth="9.140625" defaultRowHeight="12.75"/>
  <cols>
    <col min="1" max="1" width="57.7109375" style="0" customWidth="1"/>
    <col min="2" max="2" width="12.2812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494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512</v>
      </c>
      <c r="C3" s="8"/>
      <c r="D3" s="448" t="s">
        <v>445</v>
      </c>
      <c r="E3" s="8"/>
      <c r="F3" s="8"/>
      <c r="G3" s="8"/>
      <c r="H3" s="8"/>
    </row>
    <row r="4" spans="1:8" ht="12.75">
      <c r="A4" s="2" t="s">
        <v>475</v>
      </c>
      <c r="C4" s="8"/>
      <c r="D4" s="447" t="s">
        <v>440</v>
      </c>
      <c r="E4" s="421"/>
      <c r="H4" s="8"/>
    </row>
    <row r="5" spans="1:8" ht="12.75">
      <c r="A5" s="52"/>
      <c r="C5" s="8"/>
      <c r="D5" s="446" t="s">
        <v>441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510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511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511</v>
      </c>
    </row>
    <row r="18" spans="1:4" ht="15" customHeight="1">
      <c r="A18" s="388" t="s">
        <v>313</v>
      </c>
      <c r="C18" s="8"/>
      <c r="D18" s="8"/>
    </row>
    <row r="19" spans="1:4" ht="15" customHeight="1">
      <c r="A19" s="507" t="s">
        <v>314</v>
      </c>
      <c r="B19" s="8" t="s">
        <v>311</v>
      </c>
      <c r="C19" s="8" t="s">
        <v>64</v>
      </c>
      <c r="D19" s="387"/>
    </row>
    <row r="20" spans="1:4" ht="13.5" thickBot="1">
      <c r="A20" s="508"/>
      <c r="B20" s="8" t="s">
        <v>312</v>
      </c>
      <c r="C20" s="8" t="s">
        <v>64</v>
      </c>
      <c r="D20" s="257" t="s">
        <v>511</v>
      </c>
    </row>
    <row r="21" spans="1:4" ht="12.75">
      <c r="A21" s="507" t="s">
        <v>310</v>
      </c>
      <c r="B21" s="8" t="s">
        <v>311</v>
      </c>
      <c r="C21" s="8"/>
      <c r="D21" s="491">
        <v>1</v>
      </c>
    </row>
    <row r="22" spans="1:4" ht="12.75">
      <c r="A22" s="507"/>
      <c r="B22" s="8" t="s">
        <v>312</v>
      </c>
      <c r="C22" s="8"/>
      <c r="D22" s="491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19" t="s">
        <v>476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295</v>
      </c>
    </row>
    <row r="27" spans="1:5" ht="12.75">
      <c r="A27" s="255" t="s">
        <v>68</v>
      </c>
      <c r="C27" s="8"/>
      <c r="E27" s="437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79">
        <v>3010436</v>
      </c>
      <c r="H31" s="5"/>
    </row>
    <row r="32" ht="6" customHeight="1"/>
    <row r="33" spans="1:8" ht="12.75">
      <c r="A33" t="s">
        <v>71</v>
      </c>
      <c r="D33" s="480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0">
        <v>0.0988</v>
      </c>
      <c r="H37" s="41"/>
    </row>
    <row r="38" ht="4.5" customHeight="1">
      <c r="H38" s="34"/>
    </row>
    <row r="39" spans="1:8" ht="12.75">
      <c r="A39" t="s">
        <v>74</v>
      </c>
      <c r="D39" s="480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257843.8434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0">
        <v>0</v>
      </c>
      <c r="E43" s="386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257843.8434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B47" s="2" t="s">
        <v>513</v>
      </c>
      <c r="D47" s="481">
        <v>257844</v>
      </c>
      <c r="E47" s="386">
        <f aca="true" t="shared" si="0" ref="E47:E53">D47</f>
        <v>257844</v>
      </c>
      <c r="H47" s="40"/>
      <c r="J47" s="5"/>
      <c r="K47" s="5"/>
    </row>
    <row r="48" spans="1:11" ht="12.75">
      <c r="A48" t="s">
        <v>288</v>
      </c>
      <c r="D48" s="481">
        <v>0</v>
      </c>
      <c r="E48" s="386">
        <f>D48</f>
        <v>0</v>
      </c>
      <c r="F48" s="22"/>
      <c r="H48" s="40"/>
      <c r="J48" s="5"/>
      <c r="K48" s="5"/>
    </row>
    <row r="49" spans="1:11" ht="12.75">
      <c r="A49" t="s">
        <v>289</v>
      </c>
      <c r="D49" s="482"/>
      <c r="E49" s="386">
        <v>0</v>
      </c>
      <c r="F49" s="22"/>
      <c r="H49" s="40"/>
      <c r="J49" s="5"/>
      <c r="K49" s="5"/>
    </row>
    <row r="50" spans="1:11" ht="12.75">
      <c r="A50" t="s">
        <v>290</v>
      </c>
      <c r="D50" s="421"/>
      <c r="E50" s="386">
        <f t="shared" si="0"/>
        <v>0</v>
      </c>
      <c r="H50" s="40"/>
      <c r="J50" s="5"/>
      <c r="K50" s="5"/>
    </row>
    <row r="51" spans="1:11" ht="12.75">
      <c r="A51" t="s">
        <v>437</v>
      </c>
      <c r="D51" s="421"/>
      <c r="E51" s="386">
        <f t="shared" si="0"/>
        <v>0</v>
      </c>
      <c r="H51" s="40"/>
      <c r="J51" s="5"/>
      <c r="K51" s="5"/>
    </row>
    <row r="52" spans="1:11" ht="12.75">
      <c r="A52" t="s">
        <v>460</v>
      </c>
      <c r="D52" s="421"/>
      <c r="E52" s="386">
        <f t="shared" si="0"/>
        <v>0</v>
      </c>
      <c r="H52" s="40"/>
      <c r="J52" s="5"/>
      <c r="K52" s="5"/>
    </row>
    <row r="53" spans="4:11" ht="12.75">
      <c r="D53" s="421"/>
      <c r="E53" s="386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257844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109128.37127845883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109128.37127845883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109128.37127845883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109128.305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</sheetPr>
  <dimension ref="A1:L250"/>
  <sheetViews>
    <sheetView zoomScale="75" zoomScaleNormal="75" zoomScalePageLayoutView="0" workbookViewId="0" topLeftCell="A139">
      <selection activeCell="E176" sqref="E176"/>
    </sheetView>
  </sheetViews>
  <sheetFormatPr defaultColWidth="9.140625" defaultRowHeight="12.75"/>
  <cols>
    <col min="1" max="1" width="66.57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463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West Nipissing Energy Services Ltd</v>
      </c>
      <c r="B6" s="115"/>
      <c r="D6" s="137"/>
      <c r="E6" s="115"/>
      <c r="G6" s="115"/>
      <c r="H6" s="458"/>
    </row>
    <row r="7" spans="1:8" ht="12.75">
      <c r="A7" s="210" t="str">
        <f>REGINFO!A4</f>
        <v>Reporting period:  2002</v>
      </c>
      <c r="B7" s="115"/>
      <c r="D7" s="137"/>
      <c r="E7" s="115"/>
      <c r="G7" s="115"/>
      <c r="H7" s="458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2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254</v>
      </c>
      <c r="B10" s="422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58">
        <f>REGINFO!E54</f>
        <v>257844</v>
      </c>
      <c r="D16" s="17"/>
      <c r="E16" s="266">
        <f>G16-C16</f>
        <v>-243130</v>
      </c>
      <c r="F16" s="3"/>
      <c r="G16" s="266">
        <f>TAXREC!E50</f>
        <v>14714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3">
        <v>172160</v>
      </c>
      <c r="D20" s="18"/>
      <c r="E20" s="266">
        <f>G20-C20</f>
        <v>49403</v>
      </c>
      <c r="F20" s="6"/>
      <c r="G20" s="266">
        <f>TAXREC!E61</f>
        <v>221563</v>
      </c>
      <c r="H20" s="151"/>
    </row>
    <row r="21" spans="1:8" ht="12.75">
      <c r="A21" s="158" t="s">
        <v>56</v>
      </c>
      <c r="B21" s="127">
        <v>3</v>
      </c>
      <c r="C21" s="260">
        <v>24478</v>
      </c>
      <c r="D21" s="18"/>
      <c r="E21" s="266">
        <f>G21-C21</f>
        <v>-24478</v>
      </c>
      <c r="F21" s="6"/>
      <c r="G21" s="266">
        <f>TAXREC!E62</f>
        <v>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483">
        <v>66704</v>
      </c>
      <c r="D24" s="18"/>
      <c r="E24" s="266">
        <f>G24-C24</f>
        <v>-66704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6" t="s">
        <v>393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3">
        <v>269267</v>
      </c>
      <c r="D33" s="132"/>
      <c r="E33" s="266">
        <f aca="true" t="shared" si="0" ref="E33:E42">G33-C33</f>
        <v>58970</v>
      </c>
      <c r="F33" s="6"/>
      <c r="G33" s="266">
        <f>TAXREC!E97+TAXREC!E98</f>
        <v>328237</v>
      </c>
      <c r="H33" s="151"/>
    </row>
    <row r="34" spans="1:8" ht="12.75">
      <c r="A34" s="158" t="s">
        <v>57</v>
      </c>
      <c r="B34" s="127">
        <v>8</v>
      </c>
      <c r="C34" s="260">
        <v>24478</v>
      </c>
      <c r="D34" s="132"/>
      <c r="E34" s="266">
        <f t="shared" si="0"/>
        <v>-24478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483">
        <v>49756</v>
      </c>
      <c r="D36" s="132"/>
      <c r="E36" s="266">
        <f t="shared" si="0"/>
        <v>-49756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109128.37127845883</v>
      </c>
      <c r="D37" s="132"/>
      <c r="E37" s="266">
        <f t="shared" si="0"/>
        <v>-109128.37127845883</v>
      </c>
      <c r="F37" s="6"/>
      <c r="G37" s="266">
        <f>TAXREC!E51</f>
        <v>0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76" t="s">
        <v>393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2">
        <f>C16+SUM(C20:C30)-SUM(C33:C48)-1</f>
        <v>68555.62872154114</v>
      </c>
      <c r="D50" s="102"/>
      <c r="E50" s="262">
        <f>E16+SUM(E20:E30)-SUM(E33:E48)</f>
        <v>-160516.62872154117</v>
      </c>
      <c r="F50" s="424" t="s">
        <v>365</v>
      </c>
      <c r="G50" s="262">
        <f>G16+SUM(G20:G30)-SUM(G33:G48)</f>
        <v>-91960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1">
        <f>IF($C$50&gt;'Tax Rates'!$E$11,'Tax Rates'!$F$16,IF($C$50&gt;'Tax Rates'!$C$11,'Tax Rates'!$E$16,'Tax Rates'!$C$16))</f>
        <v>0.1912</v>
      </c>
      <c r="D53" s="102"/>
      <c r="E53" s="267">
        <f>+G53-C53</f>
        <v>-0.1912</v>
      </c>
      <c r="F53" s="114"/>
      <c r="G53" s="466">
        <f>TAXREC!E151</f>
        <v>0</v>
      </c>
      <c r="H53" s="151"/>
      <c r="I53" s="463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13107.836211558668</v>
      </c>
      <c r="D55" s="102"/>
      <c r="E55" s="266">
        <f>G55-C55</f>
        <v>-13107.836211558668</v>
      </c>
      <c r="F55" s="424" t="s">
        <v>366</v>
      </c>
      <c r="G55" s="263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24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13107.836211558668</v>
      </c>
      <c r="D60" s="133"/>
      <c r="E60" s="268">
        <f>+E55-E58</f>
        <v>-13107.836211558668</v>
      </c>
      <c r="F60" s="424" t="s">
        <v>366</v>
      </c>
      <c r="G60" s="268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v>3010436</v>
      </c>
      <c r="D66" s="102"/>
      <c r="E66" s="266">
        <f>G66-C66</f>
        <v>70102227</v>
      </c>
      <c r="F66" s="6"/>
      <c r="G66" s="484">
        <v>73112663</v>
      </c>
      <c r="H66" s="151"/>
      <c r="I66" s="469" t="s">
        <v>473</v>
      </c>
    </row>
    <row r="67" spans="1:10" ht="12.75">
      <c r="A67" s="152" t="s">
        <v>358</v>
      </c>
      <c r="B67" s="125">
        <v>16</v>
      </c>
      <c r="C67" s="259">
        <f>IF(C66&gt;0,'Tax Rates'!C21,0)</f>
        <v>5000000</v>
      </c>
      <c r="D67" s="102"/>
      <c r="E67" s="266">
        <f>G67-C67</f>
        <v>-500984</v>
      </c>
      <c r="F67" s="6"/>
      <c r="G67" s="468">
        <v>4499016</v>
      </c>
      <c r="H67" s="151"/>
      <c r="I67" s="469" t="s">
        <v>473</v>
      </c>
      <c r="J67" s="470" t="s">
        <v>474</v>
      </c>
    </row>
    <row r="68" spans="1:8" ht="12.75">
      <c r="A68" s="152" t="s">
        <v>42</v>
      </c>
      <c r="B68" s="125"/>
      <c r="C68" s="263">
        <f>IF((C66-C67)&gt;0,C66-C67,0)</f>
        <v>0</v>
      </c>
      <c r="D68" s="102"/>
      <c r="E68" s="266">
        <f>SUM(E66:E67)</f>
        <v>69601243</v>
      </c>
      <c r="F68" s="114"/>
      <c r="G68" s="263">
        <f>G66-G67</f>
        <v>68613647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3">
        <f>IF(C68&gt;0,C68*C70,0)*REGINFO!$B$6/REGINFO!$B$7</f>
        <v>0</v>
      </c>
      <c r="D72" s="101"/>
      <c r="E72" s="266">
        <f>+G72-C72</f>
        <v>205840.94100000002</v>
      </c>
      <c r="F72" s="471" t="s">
        <v>102</v>
      </c>
      <c r="G72" s="263">
        <f>IF(G68&gt;0,G68*G70,0)*REGINFO!$B$6/REGINFO!$B$7</f>
        <v>205840.94100000002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v>3010436</v>
      </c>
      <c r="D75" s="102"/>
      <c r="E75" s="266">
        <f>+G75-C75</f>
        <v>70637092</v>
      </c>
      <c r="F75" s="6"/>
      <c r="G75" s="484">
        <v>73647528</v>
      </c>
      <c r="H75" s="151"/>
      <c r="I75" s="469" t="s">
        <v>473</v>
      </c>
    </row>
    <row r="76" spans="1:9" ht="12.75">
      <c r="A76" s="152" t="s">
        <v>358</v>
      </c>
      <c r="B76" s="125">
        <v>19</v>
      </c>
      <c r="C76" s="259">
        <f>IF(C75&gt;0,'Tax Rates'!C22,0)</f>
        <v>10000000</v>
      </c>
      <c r="D76" s="18"/>
      <c r="E76" s="266">
        <f>+G76-C76</f>
        <v>-5243675</v>
      </c>
      <c r="F76" s="6"/>
      <c r="G76" s="484">
        <v>4756325</v>
      </c>
      <c r="H76" s="151"/>
      <c r="I76" s="469" t="s">
        <v>473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65393417</v>
      </c>
      <c r="F77" s="114"/>
      <c r="G77" s="263">
        <f>G75-G76</f>
        <v>68891203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3">
        <f>IF(C77&gt;0,C77*C79,0)*REGINFO!$B$6/REGINFO!$B$7</f>
        <v>0</v>
      </c>
      <c r="D81" s="102"/>
      <c r="E81" s="266">
        <f>+G81-C81</f>
        <v>155005.20674999998</v>
      </c>
      <c r="F81" s="6"/>
      <c r="G81" s="263">
        <f>G77*G79*B9/B10</f>
        <v>155005.20674999998</v>
      </c>
      <c r="H81" s="151"/>
    </row>
    <row r="82" spans="1:8" ht="12.75">
      <c r="A82" s="152" t="s">
        <v>317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155005.20674999998</v>
      </c>
      <c r="F84" s="103"/>
      <c r="G84" s="263">
        <f>G81-G82</f>
        <v>155005.20674999998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9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0.1912</v>
      </c>
      <c r="D88" s="11"/>
      <c r="E88" s="114"/>
      <c r="F88" s="6"/>
      <c r="G88" s="197"/>
      <c r="H88" s="151"/>
      <c r="I88" s="504" t="s">
        <v>514</v>
      </c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367</v>
      </c>
      <c r="B90" s="127">
        <v>22</v>
      </c>
      <c r="C90" s="263">
        <f>C60/(1-C88)</f>
        <v>16206.523505883615</v>
      </c>
      <c r="D90" s="20"/>
      <c r="E90" s="139"/>
      <c r="F90" s="423" t="s">
        <v>485</v>
      </c>
      <c r="G90" s="269">
        <f>TAXREC!E156</f>
        <v>0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23" t="s">
        <v>485</v>
      </c>
      <c r="G91" s="269">
        <f>TAXREC!E158</f>
        <v>0</v>
      </c>
      <c r="H91" s="151"/>
    </row>
    <row r="92" spans="1:8" ht="12.75">
      <c r="A92" s="158" t="s">
        <v>346</v>
      </c>
      <c r="B92" s="127">
        <v>24</v>
      </c>
      <c r="C92" s="263">
        <f>C72</f>
        <v>0</v>
      </c>
      <c r="D92" s="20"/>
      <c r="E92" s="139"/>
      <c r="F92" s="423" t="s">
        <v>485</v>
      </c>
      <c r="G92" s="269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9" ht="13.5" thickBot="1">
      <c r="A95" s="156" t="s">
        <v>486</v>
      </c>
      <c r="B95" s="125">
        <v>25</v>
      </c>
      <c r="C95" s="268">
        <f>SUM(C90:C93)</f>
        <v>16206.523505883615</v>
      </c>
      <c r="D95" s="6"/>
      <c r="E95" s="139"/>
      <c r="F95" s="423" t="s">
        <v>485</v>
      </c>
      <c r="G95" s="411">
        <f>SUM(G90:G94)</f>
        <v>0</v>
      </c>
      <c r="H95" s="164"/>
      <c r="I95" s="504" t="s">
        <v>515</v>
      </c>
    </row>
    <row r="96" spans="1:8" ht="12.75">
      <c r="A96" s="402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-24478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-66704</v>
      </c>
      <c r="F105" s="37"/>
      <c r="G105" s="200"/>
      <c r="H105" s="164"/>
    </row>
    <row r="106" spans="1:8" ht="12.75">
      <c r="A106" s="158" t="s">
        <v>361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362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-24478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9" ht="12.75">
      <c r="A111" s="158" t="s">
        <v>44</v>
      </c>
      <c r="B111" s="127">
        <v>10</v>
      </c>
      <c r="C111" s="112"/>
      <c r="D111" s="3"/>
      <c r="E111" s="250">
        <f>E36</f>
        <v>-49756</v>
      </c>
      <c r="F111" s="37"/>
      <c r="G111" s="200"/>
      <c r="H111" s="164"/>
      <c r="I111" s="504" t="s">
        <v>102</v>
      </c>
    </row>
    <row r="112" spans="1:8" ht="12.75">
      <c r="A112" s="500" t="s">
        <v>509</v>
      </c>
      <c r="B112" s="127">
        <v>11</v>
      </c>
      <c r="C112" s="112"/>
      <c r="D112" s="3"/>
      <c r="E112" s="465">
        <f>E206</f>
        <v>0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-16948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488</v>
      </c>
      <c r="B122" s="127"/>
      <c r="C122" s="112"/>
      <c r="D122" s="3" t="s">
        <v>231</v>
      </c>
      <c r="E122" s="462">
        <v>0.1912</v>
      </c>
      <c r="F122" s="463" t="s">
        <v>516</v>
      </c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-3240.4576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-3240.4576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462">
        <v>0.18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350</v>
      </c>
      <c r="B132" s="130"/>
      <c r="C132" s="112"/>
      <c r="D132" s="3"/>
      <c r="E132" s="262">
        <f>E128/(1-E130)</f>
        <v>-3951.7775609756095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68555.62872154114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9" ht="12.75">
      <c r="A138" s="171" t="s">
        <v>237</v>
      </c>
      <c r="B138" s="130"/>
      <c r="C138" s="112"/>
      <c r="D138" s="119" t="s">
        <v>231</v>
      </c>
      <c r="E138" s="462">
        <f>E122</f>
        <v>0.1912</v>
      </c>
      <c r="F138" s="505" t="s">
        <v>516</v>
      </c>
      <c r="G138" s="200"/>
      <c r="H138" s="164"/>
      <c r="I138" s="504" t="s">
        <v>102</v>
      </c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13107.836211558668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13107.836211558668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13107.836211558668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0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5" t="s">
        <v>20</v>
      </c>
      <c r="B150" s="130"/>
      <c r="C150" s="112"/>
      <c r="D150" s="119"/>
      <c r="E150" s="475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3010436</v>
      </c>
      <c r="F151" s="37"/>
      <c r="G151" s="200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-1989564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5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0</v>
      </c>
      <c r="F157" s="37"/>
      <c r="G157" s="200"/>
      <c r="H157" s="164"/>
    </row>
    <row r="158" spans="1:8" ht="12.75">
      <c r="A158" s="171" t="s">
        <v>307</v>
      </c>
      <c r="B158" s="130"/>
      <c r="C158" s="112"/>
      <c r="D158" s="118" t="s">
        <v>188</v>
      </c>
      <c r="E158" s="304">
        <f>C72</f>
        <v>0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7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5" t="s">
        <v>236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3010436</v>
      </c>
      <c r="F162" s="37"/>
      <c r="G162" s="200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-6989564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308</v>
      </c>
      <c r="B166" s="130"/>
      <c r="C166" s="112"/>
      <c r="D166" s="119"/>
      <c r="E166" s="305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2" t="s">
        <v>345</v>
      </c>
      <c r="B172" s="130"/>
      <c r="C172" s="112"/>
      <c r="D172" s="118" t="s">
        <v>188</v>
      </c>
      <c r="E172" s="304">
        <f>C84</f>
        <v>0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7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342</v>
      </c>
      <c r="B175" s="130"/>
      <c r="C175" s="112"/>
      <c r="D175" s="119"/>
      <c r="E175" s="462">
        <f>E130</f>
        <v>0.18</v>
      </c>
      <c r="F175" s="463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0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1">
        <f>SUM(E177:E179)</f>
        <v>0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1">
        <f>E132</f>
        <v>-3951.7775609756095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301">
        <f>E181+E183</f>
        <v>-3951.7775609756095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109128.305</v>
      </c>
      <c r="F193" s="3"/>
      <c r="G193" s="123"/>
      <c r="H193" s="164"/>
    </row>
    <row r="194" spans="1:8" ht="12.75">
      <c r="A194" s="500" t="s">
        <v>506</v>
      </c>
      <c r="B194" s="127"/>
      <c r="C194" s="112"/>
      <c r="D194" s="120"/>
      <c r="E194" s="307">
        <f>C37</f>
        <v>109128.37127845883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7">
        <f>E193-E194</f>
        <v>-0.06627845883485861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78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8"/>
      <c r="H200" s="164"/>
    </row>
    <row r="201" spans="1:8" ht="12.75">
      <c r="A201" s="500" t="s">
        <v>507</v>
      </c>
      <c r="B201" s="127"/>
      <c r="C201" s="112"/>
      <c r="D201" s="120"/>
      <c r="E201" s="307">
        <f>G37+G42</f>
        <v>0</v>
      </c>
      <c r="F201" s="3"/>
      <c r="G201" s="478"/>
      <c r="H201" s="164"/>
    </row>
    <row r="202" spans="1:8" ht="12.75">
      <c r="A202" s="500" t="s">
        <v>504</v>
      </c>
      <c r="B202" s="127"/>
      <c r="C202" s="112"/>
      <c r="D202" s="120"/>
      <c r="E202" s="307">
        <f>REGINFO!D62</f>
        <v>109128.305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508</v>
      </c>
      <c r="B206" s="127"/>
      <c r="C206" s="112"/>
      <c r="D206" s="120"/>
      <c r="E206" s="46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-0.06627845883485861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</sheetPr>
  <dimension ref="A1:K163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Nipissing Energy Services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06">
        <f>Ratebase*REGINFO!D33*0.0025</f>
        <v>3763.045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323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257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321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322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187</v>
      </c>
      <c r="C31" s="485">
        <f>3505227</f>
        <v>3505227</v>
      </c>
      <c r="D31" s="285"/>
      <c r="E31" s="283">
        <f>C31-D31</f>
        <v>3505227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5">
        <f>4553743-3505227</f>
        <v>1048516</v>
      </c>
      <c r="D32" s="285"/>
      <c r="E32" s="283">
        <f>C32-D32</f>
        <v>1048516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0</v>
      </c>
      <c r="D33" s="285"/>
      <c r="E33" s="283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43919</v>
      </c>
      <c r="D34" s="285"/>
      <c r="E34" s="283">
        <f>C34-D34</f>
        <v>43919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5">
        <v>3505227</v>
      </c>
      <c r="D39" s="285"/>
      <c r="E39" s="283">
        <f>C39-D39</f>
        <v>3505227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5">
        <v>270627</v>
      </c>
      <c r="D40" s="285"/>
      <c r="E40" s="283">
        <f aca="true" t="shared" si="0" ref="E40:E48">C40-D40</f>
        <v>270627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4">
        <v>200126</v>
      </c>
      <c r="D41" s="285"/>
      <c r="E41" s="283">
        <f t="shared" si="0"/>
        <v>200126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4">
        <v>385405</v>
      </c>
      <c r="D42" s="285"/>
      <c r="E42" s="283">
        <f t="shared" si="0"/>
        <v>385405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5">
        <v>221563</v>
      </c>
      <c r="D43" s="285"/>
      <c r="E43" s="283">
        <f t="shared" si="0"/>
        <v>221563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85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492</v>
      </c>
      <c r="B45" s="23" t="s">
        <v>188</v>
      </c>
      <c r="C45" s="485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14714</v>
      </c>
      <c r="D50" s="280">
        <f>SUM(D31:D36)-SUM(D39:D49)</f>
        <v>0</v>
      </c>
      <c r="E50" s="280">
        <f>SUM(E31:E35)-SUM(E39:E48)</f>
        <v>14714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5">
        <v>0</v>
      </c>
      <c r="D51" s="284"/>
      <c r="E51" s="281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5">
        <v>0</v>
      </c>
      <c r="D52" s="284"/>
      <c r="E52" s="282">
        <f>+C52-D52</f>
        <v>0</v>
      </c>
      <c r="F52" s="8"/>
    </row>
    <row r="53" spans="1:6" ht="12.75">
      <c r="A53" s="2" t="s">
        <v>131</v>
      </c>
      <c r="B53" s="8" t="s">
        <v>189</v>
      </c>
      <c r="C53" s="280">
        <f>C50-C51-C52</f>
        <v>14714</v>
      </c>
      <c r="D53" s="280">
        <f>D50-D51-D52</f>
        <v>0</v>
      </c>
      <c r="E53" s="280">
        <f>E50-E51-E52</f>
        <v>14714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0</v>
      </c>
      <c r="D59" s="286">
        <f>D52</f>
        <v>0</v>
      </c>
      <c r="E59" s="271">
        <f>+C59-D59</f>
        <v>0</v>
      </c>
      <c r="F59" s="8"/>
    </row>
    <row r="60" spans="1:6" ht="12.75">
      <c r="A60" s="4" t="s">
        <v>324</v>
      </c>
      <c r="B60" s="8" t="s">
        <v>187</v>
      </c>
      <c r="C60" s="48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72">
        <f>C43</f>
        <v>221563</v>
      </c>
      <c r="D61" s="286">
        <f>D43</f>
        <v>0</v>
      </c>
      <c r="E61" s="271">
        <f>+C61-D61</f>
        <v>221563</v>
      </c>
      <c r="F61" s="8"/>
      <c r="G61" s="413"/>
    </row>
    <row r="62" spans="1:6" ht="12.75">
      <c r="A62" t="s">
        <v>6</v>
      </c>
      <c r="B62" s="8" t="s">
        <v>187</v>
      </c>
      <c r="C62" s="486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187</v>
      </c>
      <c r="C65" s="285">
        <v>0</v>
      </c>
      <c r="D65" s="285"/>
      <c r="E65" s="271">
        <f>+C65-D65</f>
        <v>0</v>
      </c>
      <c r="F65" s="8"/>
    </row>
    <row r="66" spans="1:6" ht="15">
      <c r="A66" s="460" t="s">
        <v>393</v>
      </c>
      <c r="B66" s="8"/>
      <c r="C66" s="439">
        <f>'TAXREC 3 No True-up'!C50</f>
        <v>0</v>
      </c>
      <c r="D66" s="439">
        <f>'TAXREC 3 No True-up'!D50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221563</v>
      </c>
      <c r="D70" s="271">
        <f>SUM(D59:D68)</f>
        <v>0</v>
      </c>
      <c r="E70" s="271">
        <f>SUM(E59:E68)</f>
        <v>221563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479</v>
      </c>
      <c r="B76" s="8" t="s">
        <v>187</v>
      </c>
      <c r="C76" s="473"/>
      <c r="D76" s="293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221563</v>
      </c>
      <c r="D82" s="250">
        <f>D70+D80</f>
        <v>0</v>
      </c>
      <c r="E82" s="250">
        <f>E70+E80</f>
        <v>221563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7">
        <v>328237</v>
      </c>
      <c r="D97" s="293"/>
      <c r="E97" s="271">
        <f>+C97-D97</f>
        <v>328237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7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>
        <v>0</v>
      </c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393</v>
      </c>
      <c r="B108" s="8"/>
      <c r="C108" s="253">
        <f>'TAXREC 3 No True-up'!C76</f>
        <v>0</v>
      </c>
      <c r="D108" s="253">
        <f>'TAXREC 3 No True-up'!D76</f>
        <v>0</v>
      </c>
      <c r="E108" s="271">
        <f t="shared" si="5"/>
        <v>0</v>
      </c>
      <c r="F108" s="8"/>
      <c r="G108" s="503" t="s">
        <v>102</v>
      </c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/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328237</v>
      </c>
      <c r="D113" s="250">
        <f>SUM(D97:D111)</f>
        <v>0</v>
      </c>
      <c r="E113" s="250">
        <f>SUM(E97:E111)</f>
        <v>328237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>
        <v>0</v>
      </c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328237</v>
      </c>
      <c r="D122" s="250">
        <f>D113+D120</f>
        <v>0</v>
      </c>
      <c r="E122" s="250">
        <f>+E113+E120</f>
        <v>328237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-91960</v>
      </c>
      <c r="D134" s="250">
        <f>D53+D82-D122</f>
        <v>0</v>
      </c>
      <c r="E134" s="250">
        <f>E53+E82-E122</f>
        <v>-91960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487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-91960</v>
      </c>
      <c r="D139" s="251">
        <f>D134-D136-D137-D138</f>
        <v>0</v>
      </c>
      <c r="E139" s="251">
        <f>E134-E136-E137-E138</f>
        <v>-91960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88"/>
      <c r="D142" s="297"/>
      <c r="E142" s="251">
        <f>C142-D142</f>
        <v>0</v>
      </c>
      <c r="F142" s="8"/>
      <c r="G142" s="45" t="s">
        <v>493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88"/>
      <c r="D143" s="297"/>
      <c r="E143" s="291">
        <f>C143-D143</f>
        <v>0</v>
      </c>
      <c r="F143" s="8"/>
      <c r="G143" s="45" t="s">
        <v>493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3">
        <f>C142/C139</f>
        <v>0</v>
      </c>
      <c r="D149" s="5"/>
      <c r="E149" s="499">
        <f>C149</f>
        <v>0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3">
        <f>C143/C139</f>
        <v>0</v>
      </c>
      <c r="D150" s="5"/>
      <c r="E150" s="499">
        <f>C150</f>
        <v>0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1">
        <f>SUM(C149:C150)</f>
        <v>0</v>
      </c>
      <c r="D151" s="477" t="s">
        <v>487</v>
      </c>
      <c r="E151" s="501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219</v>
      </c>
      <c r="B156" s="86" t="s">
        <v>187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187</v>
      </c>
      <c r="C157" s="489">
        <v>0</v>
      </c>
      <c r="D157" s="250"/>
      <c r="E157" s="250">
        <f>C157+D157</f>
        <v>0</v>
      </c>
    </row>
    <row r="158" spans="1:5" ht="12.75">
      <c r="A158" t="s">
        <v>218</v>
      </c>
      <c r="B158" s="86" t="s">
        <v>187</v>
      </c>
      <c r="C158" s="489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0">
        <f>C156+C157+C158</f>
        <v>0</v>
      </c>
      <c r="D160" s="250">
        <f>D156+D157+D158</f>
        <v>0</v>
      </c>
      <c r="E160" s="250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</sheetPr>
  <dimension ref="A1:F63"/>
  <sheetViews>
    <sheetView zoomScale="75" zoomScaleNormal="75" zoomScalePageLayoutView="0" workbookViewId="0" topLeftCell="A1">
      <selection activeCell="C56" sqref="C56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Nipissing Energy Services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447</v>
      </c>
      <c r="B18" s="61"/>
      <c r="C18" s="293"/>
      <c r="D18" s="293"/>
      <c r="E18" s="250">
        <f t="shared" si="0"/>
        <v>0</v>
      </c>
    </row>
    <row r="19" spans="1:5" ht="12.75">
      <c r="A19" s="61" t="s">
        <v>447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447</v>
      </c>
      <c r="B30" s="61"/>
      <c r="C30" s="293"/>
      <c r="D30" s="293"/>
      <c r="E30" s="250">
        <f t="shared" si="1"/>
        <v>0</v>
      </c>
    </row>
    <row r="31" spans="1:5" ht="12.75">
      <c r="A31" s="61" t="s">
        <v>447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447</v>
      </c>
      <c r="B47" s="61"/>
      <c r="C47" s="293"/>
      <c r="D47" s="293"/>
      <c r="E47" s="250">
        <f t="shared" si="2"/>
        <v>0</v>
      </c>
    </row>
    <row r="48" spans="1:5" ht="12.75">
      <c r="A48" s="61" t="s">
        <v>447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492" t="s">
        <v>495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447</v>
      </c>
      <c r="B59" s="61"/>
      <c r="C59" s="293"/>
      <c r="D59" s="293"/>
      <c r="E59" s="250">
        <f t="shared" si="3"/>
        <v>0</v>
      </c>
    </row>
    <row r="60" spans="1:5" ht="12.75">
      <c r="A60" s="61" t="s">
        <v>447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45" sqref="D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464</v>
      </c>
      <c r="B5" s="8"/>
      <c r="C5" s="8" t="s">
        <v>2</v>
      </c>
      <c r="D5" s="8"/>
      <c r="E5" s="8"/>
      <c r="F5" s="8"/>
    </row>
    <row r="6" spans="1:6" ht="12.75">
      <c r="A6" s="413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Nipissing Energy Services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251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448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477</v>
      </c>
      <c r="B36" t="s">
        <v>187</v>
      </c>
      <c r="C36" s="490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498"/>
      <c r="B41" t="s">
        <v>187</v>
      </c>
      <c r="C41" s="293"/>
      <c r="D41" s="293"/>
      <c r="E41" s="250">
        <f t="shared" si="0"/>
        <v>0</v>
      </c>
    </row>
    <row r="42" spans="1:5" ht="12.75">
      <c r="A42" s="67"/>
      <c r="B42" t="s">
        <v>187</v>
      </c>
      <c r="C42" s="293"/>
      <c r="D42" s="293"/>
      <c r="E42" s="250">
        <f t="shared" si="0"/>
        <v>0</v>
      </c>
    </row>
    <row r="43" spans="1:5" ht="12.75">
      <c r="A43" s="67"/>
      <c r="B43" t="s">
        <v>187</v>
      </c>
      <c r="C43" s="293"/>
      <c r="D43" s="293"/>
      <c r="E43" s="250">
        <f t="shared" si="0"/>
        <v>0</v>
      </c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375</v>
      </c>
      <c r="B87" s="8" t="s">
        <v>188</v>
      </c>
      <c r="C87" s="487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1:5" ht="12.75">
      <c r="A92" s="493"/>
      <c r="B92" s="8" t="s">
        <v>188</v>
      </c>
      <c r="C92" s="293"/>
      <c r="D92" s="293"/>
      <c r="E92" s="250"/>
    </row>
    <row r="93" spans="1:5" ht="12.75">
      <c r="A93" s="493" t="s">
        <v>505</v>
      </c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478</v>
      </c>
      <c r="B96" s="8" t="s">
        <v>188</v>
      </c>
      <c r="C96" s="487"/>
      <c r="D96" s="293"/>
      <c r="E96" s="250">
        <f t="shared" si="5"/>
        <v>0</v>
      </c>
    </row>
    <row r="97" spans="1:5" ht="12.75">
      <c r="A97" s="67" t="s">
        <v>498</v>
      </c>
      <c r="B97" s="8" t="s">
        <v>188</v>
      </c>
      <c r="C97" s="293"/>
      <c r="D97" s="293"/>
      <c r="E97" s="250">
        <f t="shared" si="5"/>
        <v>0</v>
      </c>
    </row>
    <row r="98" spans="1:5" ht="12.75">
      <c r="A98" s="67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IF($E93&gt;$C$11,A93,"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</sheetPr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74" sqref="C7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7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Nipissing Energy Services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452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389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390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453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436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388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387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431</v>
      </c>
      <c r="B32" t="s">
        <v>187</v>
      </c>
      <c r="C32" s="490"/>
      <c r="D32" s="294"/>
      <c r="E32" s="311">
        <f t="shared" si="0"/>
        <v>0</v>
      </c>
    </row>
    <row r="33" spans="1:5" ht="12.75">
      <c r="A33" s="67" t="s">
        <v>432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449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450</v>
      </c>
      <c r="C35" s="490"/>
      <c r="D35" s="294"/>
      <c r="E35" s="311">
        <f t="shared" si="0"/>
        <v>0</v>
      </c>
    </row>
    <row r="36" spans="1:5" ht="12.75">
      <c r="A36" s="67" t="s">
        <v>433</v>
      </c>
      <c r="C36" s="294"/>
      <c r="D36" s="294"/>
      <c r="E36" s="311">
        <f t="shared" si="0"/>
        <v>0</v>
      </c>
    </row>
    <row r="37" spans="1:5" ht="12.75">
      <c r="A37" s="67" t="s">
        <v>434</v>
      </c>
      <c r="C37" s="294"/>
      <c r="D37" s="294"/>
      <c r="E37" s="311">
        <f t="shared" si="0"/>
        <v>0</v>
      </c>
    </row>
    <row r="38" spans="1:5" ht="12.75">
      <c r="A38" s="67" t="s">
        <v>456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81" t="s">
        <v>391</v>
      </c>
      <c r="B40" t="s">
        <v>187</v>
      </c>
      <c r="C40" s="294"/>
      <c r="D40" s="294"/>
      <c r="E40" s="311">
        <f t="shared" si="0"/>
        <v>0</v>
      </c>
    </row>
    <row r="41" spans="1:5" ht="12.75">
      <c r="A41" s="81" t="s">
        <v>385</v>
      </c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1">
        <f t="shared" si="0"/>
        <v>0</v>
      </c>
    </row>
    <row r="44" spans="1:5" ht="12.75">
      <c r="A44" s="495" t="s">
        <v>497</v>
      </c>
      <c r="B44" t="s">
        <v>187</v>
      </c>
      <c r="C44" s="293"/>
      <c r="D44" s="293"/>
      <c r="E44" s="250">
        <f t="shared" si="0"/>
        <v>0</v>
      </c>
    </row>
    <row r="45" spans="1:5" ht="12.75">
      <c r="A45" s="494" t="s">
        <v>496</v>
      </c>
      <c r="B45" t="s">
        <v>187</v>
      </c>
      <c r="C45" s="293"/>
      <c r="D45" s="293"/>
      <c r="E45" s="250">
        <f t="shared" si="0"/>
        <v>0</v>
      </c>
    </row>
    <row r="46" spans="1:5" ht="12.75">
      <c r="A46" s="494" t="s">
        <v>501</v>
      </c>
      <c r="C46" s="293"/>
      <c r="D46" s="293"/>
      <c r="E46" s="278"/>
    </row>
    <row r="47" spans="1:5" ht="12.75">
      <c r="A47" s="494" t="s">
        <v>502</v>
      </c>
      <c r="C47" s="293"/>
      <c r="D47" s="293"/>
      <c r="E47" s="278"/>
    </row>
    <row r="48" spans="1:5" ht="12.75">
      <c r="A48" s="494" t="s">
        <v>503</v>
      </c>
      <c r="C48" s="293"/>
      <c r="D48" s="293"/>
      <c r="E48" s="278"/>
    </row>
    <row r="49" spans="1:5" ht="12.75">
      <c r="A49" s="67"/>
      <c r="B49" t="s">
        <v>187</v>
      </c>
      <c r="C49" s="293"/>
      <c r="D49" s="293"/>
      <c r="E49" s="278"/>
    </row>
    <row r="50" spans="1:5" ht="12.75">
      <c r="A50" s="442" t="s">
        <v>395</v>
      </c>
      <c r="B50" t="s">
        <v>189</v>
      </c>
      <c r="C50" s="250">
        <f>SUM(C19:C49)</f>
        <v>0</v>
      </c>
      <c r="D50" s="250">
        <f>SUM(D19:D49)</f>
        <v>0</v>
      </c>
      <c r="E50" s="250">
        <f>SUM(E19:E49)</f>
        <v>0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3"/>
      <c r="D54" s="293"/>
      <c r="E54" s="250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t="s">
        <v>387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t="s">
        <v>435</v>
      </c>
      <c r="B57" s="8" t="s">
        <v>188</v>
      </c>
      <c r="C57" s="293"/>
      <c r="D57" s="293"/>
      <c r="E57" s="250">
        <f t="shared" si="1"/>
        <v>0</v>
      </c>
    </row>
    <row r="58" spans="1:5" ht="12.75">
      <c r="A58" s="67" t="s">
        <v>443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 t="s">
        <v>455</v>
      </c>
      <c r="B59" s="8" t="s">
        <v>188</v>
      </c>
      <c r="C59" s="293"/>
      <c r="D59" s="293"/>
      <c r="E59" s="250">
        <f t="shared" si="1"/>
        <v>0</v>
      </c>
    </row>
    <row r="60" spans="1:5" ht="12.75">
      <c r="A60" s="2" t="s">
        <v>451</v>
      </c>
      <c r="B60" s="8" t="s">
        <v>188</v>
      </c>
      <c r="C60" s="293"/>
      <c r="D60" s="293"/>
      <c r="E60" s="250">
        <f t="shared" si="1"/>
        <v>0</v>
      </c>
    </row>
    <row r="61" spans="1:5" ht="12.75">
      <c r="A61" s="67" t="s">
        <v>454</v>
      </c>
      <c r="B61" s="8" t="s">
        <v>188</v>
      </c>
      <c r="C61" s="293"/>
      <c r="D61" s="293"/>
      <c r="E61" s="250">
        <f t="shared" si="1"/>
        <v>0</v>
      </c>
    </row>
    <row r="62" spans="1:5" ht="12.75">
      <c r="A62" s="67"/>
      <c r="B62" s="8" t="s">
        <v>188</v>
      </c>
      <c r="C62" s="293"/>
      <c r="D62" s="293"/>
      <c r="E62" s="250">
        <f t="shared" si="1"/>
        <v>0</v>
      </c>
    </row>
    <row r="63" spans="2:5" ht="12.75">
      <c r="B63" s="8" t="s">
        <v>188</v>
      </c>
      <c r="C63" s="293"/>
      <c r="D63" s="293"/>
      <c r="E63" s="250">
        <f t="shared" si="1"/>
        <v>0</v>
      </c>
    </row>
    <row r="64" spans="2:5" ht="12.75">
      <c r="B64" s="8" t="s">
        <v>188</v>
      </c>
      <c r="C64" s="293"/>
      <c r="D64" s="293"/>
      <c r="E64" s="250">
        <f t="shared" si="1"/>
        <v>0</v>
      </c>
    </row>
    <row r="65" spans="2:5" ht="12.75">
      <c r="B65" s="8" t="s">
        <v>188</v>
      </c>
      <c r="C65" s="293"/>
      <c r="D65" s="293"/>
      <c r="E65" s="250">
        <f aca="true" t="shared" si="2" ref="E65:E75">C65-D65</f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s="461" t="s">
        <v>392</v>
      </c>
      <c r="B67" s="8" t="s">
        <v>188</v>
      </c>
      <c r="C67" s="293"/>
      <c r="D67" s="293"/>
      <c r="E67" s="250">
        <f t="shared" si="2"/>
        <v>0</v>
      </c>
    </row>
    <row r="68" spans="2:5" ht="12.75">
      <c r="B68" s="8" t="s">
        <v>188</v>
      </c>
      <c r="C68" s="293"/>
      <c r="D68" s="293"/>
      <c r="E68" s="250">
        <f t="shared" si="2"/>
        <v>0</v>
      </c>
    </row>
    <row r="69" spans="1:5" ht="12.75">
      <c r="A69" s="461" t="s">
        <v>385</v>
      </c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8" t="s">
        <v>205</v>
      </c>
      <c r="B71" s="8" t="s">
        <v>188</v>
      </c>
      <c r="C71" s="293"/>
      <c r="D71" s="293"/>
      <c r="E71" s="250">
        <f t="shared" si="2"/>
        <v>0</v>
      </c>
    </row>
    <row r="72" spans="1:5" ht="12.75">
      <c r="A72" s="502" t="s">
        <v>498</v>
      </c>
      <c r="B72" s="8" t="s">
        <v>188</v>
      </c>
      <c r="C72" s="293"/>
      <c r="D72" s="293"/>
      <c r="E72" s="250">
        <f t="shared" si="2"/>
        <v>0</v>
      </c>
    </row>
    <row r="73" spans="1:5" ht="12.75">
      <c r="A73" s="494" t="s">
        <v>499</v>
      </c>
      <c r="B73" s="8" t="s">
        <v>188</v>
      </c>
      <c r="C73" s="293">
        <v>0</v>
      </c>
      <c r="D73" s="293"/>
      <c r="E73" s="250">
        <f t="shared" si="2"/>
        <v>0</v>
      </c>
    </row>
    <row r="74" spans="1:5" ht="12.75">
      <c r="A74" s="494" t="s">
        <v>500</v>
      </c>
      <c r="B74" s="8" t="s">
        <v>188</v>
      </c>
      <c r="C74" s="293"/>
      <c r="D74" s="293"/>
      <c r="E74" s="250">
        <f t="shared" si="2"/>
        <v>0</v>
      </c>
    </row>
    <row r="75" spans="1:5" ht="12.75">
      <c r="A75" s="67"/>
      <c r="B75" s="8" t="s">
        <v>188</v>
      </c>
      <c r="C75" s="293"/>
      <c r="D75" s="293"/>
      <c r="E75" s="278">
        <f t="shared" si="2"/>
        <v>0</v>
      </c>
    </row>
    <row r="76" spans="1:5" ht="12.75">
      <c r="A76" s="441" t="s">
        <v>394</v>
      </c>
      <c r="B76" s="8" t="s">
        <v>189</v>
      </c>
      <c r="C76" s="250">
        <f>SUM(C54:C75)</f>
        <v>0</v>
      </c>
      <c r="D76" s="250">
        <f>SUM(D54:D75)</f>
        <v>0</v>
      </c>
      <c r="E76" s="250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</sheetPr>
  <dimension ref="A1:R98"/>
  <sheetViews>
    <sheetView tabSelected="1" zoomScalePageLayoutView="0" workbookViewId="0" topLeftCell="A1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1"/>
      <c r="D1" s="341"/>
      <c r="E1" s="341"/>
      <c r="F1" s="341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2" t="s">
        <v>305</v>
      </c>
      <c r="B3" s="341"/>
      <c r="C3" s="341"/>
      <c r="D3" s="341"/>
      <c r="E3" s="341"/>
      <c r="F3" s="343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West Nipissing Energy Services Ltd</v>
      </c>
      <c r="B4" s="341"/>
      <c r="C4" s="341"/>
      <c r="D4" s="341"/>
      <c r="E4" s="341"/>
      <c r="F4" s="341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2002</v>
      </c>
      <c r="B5" s="341"/>
      <c r="C5" s="341"/>
      <c r="D5" s="341"/>
      <c r="E5" s="341"/>
      <c r="F5" s="341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2"/>
      <c r="B7" s="341"/>
      <c r="C7" s="341"/>
      <c r="D7" s="341"/>
      <c r="E7" s="341"/>
      <c r="F7" s="408" t="s">
        <v>334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489</v>
      </c>
      <c r="B8" s="516"/>
      <c r="C8" s="516"/>
      <c r="D8" s="516"/>
      <c r="E8" s="341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0" t="s">
        <v>466</v>
      </c>
      <c r="B10" s="325"/>
      <c r="C10" s="374" t="s">
        <v>111</v>
      </c>
      <c r="D10" s="374"/>
      <c r="E10" s="374" t="s">
        <v>111</v>
      </c>
      <c r="F10" s="375" t="s">
        <v>490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2" t="s">
        <v>298</v>
      </c>
      <c r="B13" s="407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2" t="s">
        <v>297</v>
      </c>
      <c r="B14" s="244"/>
      <c r="C14" s="326">
        <v>0.1312</v>
      </c>
      <c r="D14" s="326"/>
      <c r="E14" s="327">
        <v>0.2612</v>
      </c>
      <c r="F14" s="327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2" t="s">
        <v>258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2"/>
      <c r="B17" s="244"/>
      <c r="C17" s="326"/>
      <c r="D17" s="326"/>
      <c r="E17" s="327"/>
      <c r="F17" s="327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3" t="s">
        <v>329</v>
      </c>
      <c r="B21" s="404" t="s">
        <v>470</v>
      </c>
      <c r="C21" s="360">
        <f>5000000*REGINFO!D21</f>
        <v>5000000</v>
      </c>
      <c r="D21" s="336"/>
      <c r="E21" s="337"/>
      <c r="F21" s="337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3" t="s">
        <v>330</v>
      </c>
      <c r="B22" s="405" t="s">
        <v>471</v>
      </c>
      <c r="C22" s="361">
        <f>10000000*REGINFO!D22</f>
        <v>10000000</v>
      </c>
      <c r="D22" s="338"/>
      <c r="E22" s="339"/>
      <c r="F22" s="339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491</v>
      </c>
      <c r="B23" s="510"/>
      <c r="C23" s="510"/>
      <c r="D23" s="510"/>
      <c r="E23" s="510"/>
      <c r="F23" s="510"/>
      <c r="G23" s="431"/>
      <c r="H23" s="418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9"/>
      <c r="B24" s="410"/>
      <c r="C24" s="410"/>
      <c r="D24" s="410"/>
      <c r="E24" s="410"/>
      <c r="F24" s="410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1"/>
      <c r="E25" s="341"/>
      <c r="F25" s="408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483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0" t="s">
        <v>439</v>
      </c>
      <c r="B28" s="325"/>
      <c r="C28" s="368" t="s">
        <v>111</v>
      </c>
      <c r="D28" s="368"/>
      <c r="E28" s="368" t="s">
        <v>111</v>
      </c>
      <c r="F28" s="369" t="s">
        <v>490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0"/>
      <c r="B29" s="325" t="s">
        <v>116</v>
      </c>
      <c r="C29" s="370">
        <v>200000</v>
      </c>
      <c r="D29" s="370"/>
      <c r="E29" s="370">
        <v>700000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2" t="s">
        <v>115</v>
      </c>
      <c r="B31" s="407">
        <v>2002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2" t="s">
        <v>297</v>
      </c>
      <c r="B32" s="407">
        <v>2002</v>
      </c>
      <c r="C32" s="326">
        <v>0.1312</v>
      </c>
      <c r="D32" s="326"/>
      <c r="E32" s="327">
        <v>0.2612</v>
      </c>
      <c r="F32" s="327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2" t="s">
        <v>29</v>
      </c>
      <c r="B33" s="407">
        <v>2002</v>
      </c>
      <c r="C33" s="328">
        <v>0.06</v>
      </c>
      <c r="D33" s="328"/>
      <c r="E33" s="329">
        <v>0.06</v>
      </c>
      <c r="F33" s="329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2" t="s">
        <v>258</v>
      </c>
      <c r="B34" s="407">
        <v>2002</v>
      </c>
      <c r="C34" s="330">
        <f>SUM(C32:C33)</f>
        <v>0.1912</v>
      </c>
      <c r="D34" s="330"/>
      <c r="E34" s="331">
        <f>SUM(E32:E33)</f>
        <v>0.3212</v>
      </c>
      <c r="F34" s="331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2"/>
      <c r="B35" s="244"/>
      <c r="C35" s="326"/>
      <c r="D35" s="326"/>
      <c r="E35" s="327"/>
      <c r="F35" s="327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1" t="s">
        <v>109</v>
      </c>
      <c r="B36" s="407">
        <v>2002</v>
      </c>
      <c r="C36" s="332">
        <v>0.003</v>
      </c>
      <c r="D36" s="326"/>
      <c r="E36" s="327"/>
      <c r="F36" s="327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1" t="s">
        <v>110</v>
      </c>
      <c r="B37" s="407">
        <v>2002</v>
      </c>
      <c r="C37" s="333">
        <v>0.00225</v>
      </c>
      <c r="D37" s="334"/>
      <c r="E37" s="335"/>
      <c r="F37" s="335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1" t="s">
        <v>113</v>
      </c>
      <c r="B38" s="407">
        <v>2002</v>
      </c>
      <c r="C38" s="334">
        <v>0.0112</v>
      </c>
      <c r="D38" s="336"/>
      <c r="E38" s="337"/>
      <c r="F38" s="337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3" t="s">
        <v>480</v>
      </c>
      <c r="B39" s="404" t="s">
        <v>470</v>
      </c>
      <c r="C39" s="360">
        <f>5000000*REGINFO!D21</f>
        <v>5000000</v>
      </c>
      <c r="D39" s="336"/>
      <c r="E39" s="337"/>
      <c r="F39" s="337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3" t="s">
        <v>481</v>
      </c>
      <c r="B40" s="405" t="s">
        <v>471</v>
      </c>
      <c r="C40" s="361">
        <f>10000000*REGINFO!D22</f>
        <v>10000000</v>
      </c>
      <c r="D40" s="338"/>
      <c r="E40" s="339"/>
      <c r="F40" s="339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332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8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6" t="s">
        <v>482</v>
      </c>
      <c r="B44" s="364"/>
      <c r="C44" s="365"/>
      <c r="D44" s="364"/>
      <c r="E44" s="341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0"/>
      <c r="B46" s="325"/>
      <c r="C46" s="368" t="s">
        <v>111</v>
      </c>
      <c r="D46" s="368"/>
      <c r="E46" s="368" t="s">
        <v>111</v>
      </c>
      <c r="F46" s="369" t="s">
        <v>490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0"/>
      <c r="B47" s="340" t="s">
        <v>116</v>
      </c>
      <c r="C47" s="370">
        <v>200000</v>
      </c>
      <c r="D47" s="370"/>
      <c r="E47" s="370">
        <v>700000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2" t="s">
        <v>115</v>
      </c>
      <c r="B49" s="407">
        <v>2002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2" t="s">
        <v>297</v>
      </c>
      <c r="B50" s="244"/>
      <c r="C50" s="350">
        <v>0.1312</v>
      </c>
      <c r="D50" s="350"/>
      <c r="E50" s="351">
        <v>0.2212</v>
      </c>
      <c r="F50" s="351">
        <f>TAXREC!C149</f>
        <v>0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2" t="s">
        <v>29</v>
      </c>
      <c r="B51" s="244"/>
      <c r="C51" s="352">
        <v>0.06</v>
      </c>
      <c r="D51" s="352"/>
      <c r="E51" s="353">
        <v>0.0975</v>
      </c>
      <c r="F51" s="353">
        <f>TAXREC!C150</f>
        <v>0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2" t="s">
        <v>258</v>
      </c>
      <c r="B52" s="244"/>
      <c r="C52" s="330">
        <f>SUM(C50:C51)</f>
        <v>0.1912</v>
      </c>
      <c r="D52" s="330"/>
      <c r="E52" s="331">
        <f>SUM(E50:E51)</f>
        <v>0.3187</v>
      </c>
      <c r="F52" s="331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2"/>
      <c r="B53" s="244"/>
      <c r="C53" s="350"/>
      <c r="D53" s="350"/>
      <c r="E53" s="351"/>
      <c r="F53" s="351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3" t="s">
        <v>347</v>
      </c>
      <c r="B57" s="404" t="s">
        <v>470</v>
      </c>
      <c r="C57" s="496">
        <v>5000000</v>
      </c>
      <c r="D57" s="358"/>
      <c r="E57" s="359"/>
      <c r="F57" s="359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3" t="s">
        <v>348</v>
      </c>
      <c r="B58" s="405" t="s">
        <v>471</v>
      </c>
      <c r="C58" s="497">
        <v>10000000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349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2"/>
      <c r="B61" s="343"/>
      <c r="C61" s="343"/>
      <c r="D61" s="343"/>
      <c r="E61" s="343"/>
      <c r="F61" s="345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2"/>
      <c r="B62" s="343"/>
      <c r="C62" s="344"/>
      <c r="D62" s="344"/>
      <c r="E62" s="344"/>
      <c r="F62" s="346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2"/>
      <c r="B63" s="341"/>
      <c r="C63" s="341"/>
      <c r="D63" s="341"/>
      <c r="E63" s="341"/>
      <c r="F63" s="341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7"/>
      <c r="B64" s="348"/>
      <c r="C64" s="349"/>
      <c r="D64" s="349"/>
      <c r="E64" s="349"/>
      <c r="F64" s="349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A13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West Nipissing Energy Services Ltd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517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0</v>
      </c>
      <c r="F11" s="417"/>
      <c r="G11" s="395">
        <f>E22</f>
        <v>0</v>
      </c>
      <c r="H11" s="417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1" t="s">
        <v>396</v>
      </c>
      <c r="B12" s="66" t="s">
        <v>190</v>
      </c>
      <c r="C12" s="394"/>
      <c r="D12" s="390"/>
      <c r="E12" s="394">
        <v>0</v>
      </c>
      <c r="F12" s="95"/>
      <c r="G12" s="416">
        <f>C12+E12</f>
        <v>0</v>
      </c>
      <c r="H12" s="95"/>
      <c r="I12" s="416">
        <f>(E12/12*9)+(G12/12*3)</f>
        <v>0</v>
      </c>
      <c r="J12" s="390"/>
      <c r="K12" s="416">
        <f>E12/12*3</f>
        <v>0</v>
      </c>
      <c r="L12" s="390"/>
      <c r="M12" s="416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1" t="s">
        <v>438</v>
      </c>
      <c r="B13" s="66"/>
      <c r="C13" s="416"/>
      <c r="D13" s="390"/>
      <c r="E13" s="416"/>
      <c r="F13" s="95"/>
      <c r="G13" s="416"/>
      <c r="H13" s="95"/>
      <c r="I13" s="416"/>
      <c r="J13" s="390"/>
      <c r="K13" s="394"/>
      <c r="L13" s="390"/>
      <c r="M13" s="416"/>
      <c r="N13" s="390"/>
      <c r="O13" s="395">
        <f t="shared" si="0"/>
        <v>0</v>
      </c>
    </row>
    <row r="14" spans="1:15" ht="25.5">
      <c r="A14" s="81" t="s">
        <v>397</v>
      </c>
      <c r="B14" s="66" t="s">
        <v>190</v>
      </c>
      <c r="C14" s="394"/>
      <c r="D14" s="390"/>
      <c r="E14" s="394"/>
      <c r="F14" s="95"/>
      <c r="G14" s="394"/>
      <c r="H14" s="95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398</v>
      </c>
      <c r="B15" s="66" t="s">
        <v>190</v>
      </c>
      <c r="C15" s="394"/>
      <c r="D15" s="390"/>
      <c r="E15" s="394">
        <v>0</v>
      </c>
      <c r="F15" s="95"/>
      <c r="G15" s="394"/>
      <c r="H15" s="95"/>
      <c r="I15" s="394"/>
      <c r="J15" s="390"/>
      <c r="K15" s="394"/>
      <c r="L15" s="390"/>
      <c r="M15" s="523" t="s">
        <v>102</v>
      </c>
      <c r="N15" s="390"/>
      <c r="O15" s="395">
        <f t="shared" si="0"/>
        <v>0</v>
      </c>
    </row>
    <row r="16" spans="1:15" ht="27" customHeight="1">
      <c r="A16" s="81" t="s">
        <v>399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1" t="s">
        <v>400</v>
      </c>
      <c r="B17" s="66" t="s">
        <v>190</v>
      </c>
      <c r="C17" s="394"/>
      <c r="D17" s="390"/>
      <c r="E17" s="394"/>
      <c r="F17" s="95"/>
      <c r="G17" s="394"/>
      <c r="H17" s="95"/>
      <c r="I17" s="394"/>
      <c r="J17" s="390"/>
      <c r="K17" s="394"/>
      <c r="L17" s="390"/>
      <c r="M17" s="416">
        <f>TAXCALC!E181</f>
        <v>0</v>
      </c>
      <c r="N17" s="390"/>
      <c r="O17" s="395">
        <f t="shared" si="0"/>
        <v>0</v>
      </c>
    </row>
    <row r="18" spans="1:15" ht="25.5">
      <c r="A18" s="81" t="s">
        <v>401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5" t="s">
        <v>402</v>
      </c>
      <c r="B19" s="66" t="s">
        <v>190</v>
      </c>
      <c r="C19" s="394"/>
      <c r="D19" s="390"/>
      <c r="E19" s="394">
        <v>0</v>
      </c>
      <c r="F19" s="95"/>
      <c r="G19" s="394"/>
      <c r="H19" s="95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1" t="s">
        <v>469</v>
      </c>
      <c r="B20" s="66" t="s">
        <v>188</v>
      </c>
      <c r="C20" s="416">
        <v>0</v>
      </c>
      <c r="D20" s="390"/>
      <c r="E20" s="394">
        <v>0</v>
      </c>
      <c r="F20" s="95"/>
      <c r="G20" s="394"/>
      <c r="H20" s="95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7"/>
    </row>
    <row r="22" spans="1:15" ht="13.5" thickBot="1">
      <c r="A22" s="81" t="s">
        <v>372</v>
      </c>
      <c r="B22" s="34"/>
      <c r="C22" s="396">
        <f>SUM(C11:C20)</f>
        <v>0</v>
      </c>
      <c r="D22" s="417"/>
      <c r="E22" s="396">
        <f>SUM(E11:E20)</f>
        <v>0</v>
      </c>
      <c r="F22" s="417"/>
      <c r="G22" s="396">
        <f>SUM(G11:G20)</f>
        <v>0</v>
      </c>
      <c r="H22" s="417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0</v>
      </c>
      <c r="N22" s="389"/>
      <c r="O22" s="443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8"/>
      <c r="M23" s="435"/>
      <c r="N23" s="188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403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8"/>
      <c r="M27" s="188"/>
      <c r="N27" s="188"/>
      <c r="O27" s="188"/>
    </row>
    <row r="28" spans="1:15" ht="12.75">
      <c r="A28" s="426" t="s">
        <v>404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8"/>
      <c r="M28" s="188"/>
      <c r="N28" s="188"/>
      <c r="O28" s="188"/>
    </row>
    <row r="29" spans="1:15" ht="12.75">
      <c r="A29" s="429" t="s">
        <v>405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8"/>
      <c r="M29" s="188"/>
      <c r="N29" s="188"/>
      <c r="O29" s="188"/>
    </row>
    <row r="30" spans="1:15" ht="9" customHeight="1">
      <c r="A30" s="188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8"/>
      <c r="M30" s="188"/>
      <c r="N30" s="188"/>
      <c r="O30" s="188"/>
    </row>
    <row r="31" spans="1:15" ht="12.75">
      <c r="A31" s="444" t="s">
        <v>406</v>
      </c>
      <c r="B31" s="80"/>
      <c r="C31" s="80"/>
      <c r="D31" s="80"/>
      <c r="E31" s="80"/>
      <c r="F31" s="80"/>
      <c r="G31" s="80"/>
      <c r="H31" s="80"/>
      <c r="I31" s="440"/>
      <c r="J31" s="440"/>
      <c r="K31" s="524" t="s">
        <v>518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0" t="s">
        <v>407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18"/>
      <c r="Q33" s="418"/>
      <c r="R33" s="418"/>
      <c r="S33" s="418"/>
    </row>
    <row r="34" spans="1:19" ht="12.75">
      <c r="A34" s="519" t="s">
        <v>408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18"/>
      <c r="Q34" s="418"/>
      <c r="R34" s="418"/>
      <c r="S34" s="418"/>
    </row>
    <row r="35" spans="1:19" ht="12.75">
      <c r="A35" s="519" t="s">
        <v>429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18"/>
      <c r="Q35" s="418"/>
      <c r="R35" s="418"/>
      <c r="S35" s="418"/>
    </row>
    <row r="36" spans="1:19" ht="12.75">
      <c r="A36" s="519" t="s">
        <v>409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18"/>
      <c r="Q36" s="418"/>
      <c r="R36" s="418"/>
      <c r="S36" s="418"/>
    </row>
    <row r="37" spans="1:19" ht="12.75">
      <c r="A37" s="430" t="s">
        <v>369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8"/>
      <c r="Q37" s="418"/>
      <c r="R37" s="418"/>
      <c r="S37" s="418"/>
    </row>
    <row r="38" spans="1:19" ht="12.75">
      <c r="A38" s="430" t="s">
        <v>370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8"/>
      <c r="Q38" s="418"/>
      <c r="R38" s="418"/>
      <c r="S38" s="418"/>
    </row>
    <row r="39" spans="1:19" ht="12.75">
      <c r="A39" s="430" t="s">
        <v>410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8"/>
      <c r="Q39" s="418"/>
      <c r="R39" s="418"/>
      <c r="S39" s="418"/>
    </row>
    <row r="40" spans="1:19" ht="12.75">
      <c r="A40" s="430" t="s">
        <v>411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8"/>
      <c r="Q40" s="418"/>
      <c r="R40" s="418"/>
      <c r="S40" s="418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8"/>
      <c r="Q41" s="418"/>
      <c r="R41" s="418"/>
      <c r="S41" s="418"/>
    </row>
    <row r="42" spans="1:15" ht="12.75">
      <c r="A42" s="432" t="s">
        <v>412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8"/>
      <c r="M42" s="188"/>
      <c r="N42" s="188"/>
      <c r="O42" s="188"/>
    </row>
    <row r="43" spans="1:15" ht="12.75">
      <c r="A43" s="427" t="s">
        <v>413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8"/>
      <c r="M43" s="188"/>
      <c r="N43" s="188"/>
      <c r="O43" s="188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8"/>
      <c r="M44" s="188"/>
      <c r="N44" s="188"/>
      <c r="O44" s="188"/>
    </row>
    <row r="45" spans="1:15" ht="12.75">
      <c r="A45" s="432" t="s">
        <v>414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8"/>
      <c r="M45" s="188"/>
      <c r="N45" s="188"/>
      <c r="O45" s="188"/>
    </row>
    <row r="46" spans="1:15" ht="12.75">
      <c r="A46" s="427" t="s">
        <v>415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8"/>
      <c r="M46" s="188"/>
      <c r="N46" s="188"/>
      <c r="O46" s="188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8"/>
      <c r="M47" s="188"/>
      <c r="N47" s="188"/>
      <c r="O47" s="188"/>
    </row>
    <row r="48" spans="1:15" ht="12.75">
      <c r="A48" s="432" t="s">
        <v>416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8"/>
      <c r="M48" s="188"/>
      <c r="N48" s="188"/>
      <c r="O48" s="188"/>
    </row>
    <row r="49" spans="1:15" ht="12.75">
      <c r="A49" s="427" t="s">
        <v>417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8"/>
      <c r="M49" s="188"/>
      <c r="N49" s="188"/>
      <c r="O49" s="188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8"/>
      <c r="M50" s="188"/>
      <c r="N50" s="188"/>
      <c r="O50" s="188"/>
    </row>
    <row r="51" spans="1:15" ht="12.75">
      <c r="A51" s="432" t="s">
        <v>418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8"/>
      <c r="M51" s="188"/>
      <c r="N51" s="188"/>
      <c r="O51" s="188"/>
    </row>
    <row r="52" spans="1:15" ht="12.75">
      <c r="A52" s="427" t="s">
        <v>415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8"/>
      <c r="M52" s="188"/>
      <c r="N52" s="188"/>
      <c r="O52" s="188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8"/>
      <c r="M53" s="188"/>
      <c r="N53" s="188"/>
      <c r="O53" s="188"/>
    </row>
    <row r="54" spans="1:15" ht="12.75">
      <c r="A54" s="427" t="s">
        <v>419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8"/>
      <c r="M54" s="188"/>
      <c r="N54" s="188"/>
      <c r="O54" s="188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8"/>
      <c r="M55" s="188"/>
      <c r="N55" s="188"/>
      <c r="O55" s="188"/>
    </row>
    <row r="56" spans="1:15" ht="12.75" customHeight="1">
      <c r="A56" s="432" t="s">
        <v>420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8"/>
      <c r="M56" s="188"/>
      <c r="N56" s="188"/>
      <c r="O56" s="188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8"/>
      <c r="M57" s="188"/>
      <c r="N57" s="188"/>
      <c r="O57" s="188"/>
    </row>
    <row r="58" spans="1:15" ht="12.75">
      <c r="A58" s="427" t="s">
        <v>421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8"/>
      <c r="M58" s="188"/>
      <c r="N58" s="188"/>
      <c r="O58" s="188"/>
    </row>
    <row r="59" spans="1:15" ht="12.75">
      <c r="A59" s="427" t="s">
        <v>422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8"/>
      <c r="M59" s="188"/>
      <c r="N59" s="188"/>
      <c r="O59" s="188"/>
    </row>
    <row r="60" spans="1:15" ht="12.75">
      <c r="A60" s="427" t="s">
        <v>423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8"/>
      <c r="M60" s="188"/>
      <c r="N60" s="188"/>
      <c r="O60" s="188"/>
    </row>
    <row r="61" spans="1:15" ht="12.75">
      <c r="A61" s="427" t="s">
        <v>379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8"/>
      <c r="M61" s="188"/>
      <c r="N61" s="188"/>
      <c r="O61" s="188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8"/>
      <c r="M62" s="188"/>
      <c r="N62" s="188"/>
      <c r="O62" s="188"/>
    </row>
    <row r="63" spans="1:15" ht="12.75">
      <c r="A63" s="427" t="s">
        <v>424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8"/>
      <c r="M63" s="188"/>
      <c r="N63" s="188"/>
      <c r="O63" s="188"/>
    </row>
    <row r="64" spans="1:15" ht="12.75">
      <c r="A64" s="427" t="s">
        <v>425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8"/>
      <c r="M64" s="188"/>
      <c r="N64" s="188"/>
      <c r="O64" s="188"/>
    </row>
    <row r="65" spans="1:15" ht="12.75">
      <c r="A65" s="427" t="s">
        <v>381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8"/>
      <c r="M65" s="188"/>
      <c r="N65" s="188"/>
      <c r="O65" s="188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8"/>
      <c r="M66" s="188"/>
      <c r="N66" s="188"/>
      <c r="O66" s="188"/>
    </row>
    <row r="67" spans="1:15" ht="12.75">
      <c r="A67" s="427" t="s">
        <v>380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8"/>
      <c r="M67" s="188"/>
      <c r="N67" s="188"/>
      <c r="O67" s="188"/>
    </row>
    <row r="68" spans="1:15" ht="12.75">
      <c r="A68" s="427" t="s">
        <v>382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8"/>
      <c r="M68" s="188"/>
      <c r="N68" s="188"/>
      <c r="O68" s="188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8"/>
      <c r="M69" s="188"/>
      <c r="N69" s="188"/>
      <c r="O69" s="188"/>
    </row>
    <row r="70" spans="1:15" ht="12.75">
      <c r="A70" s="427" t="s">
        <v>426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8"/>
      <c r="M70" s="188"/>
      <c r="N70" s="188"/>
      <c r="O70" s="188"/>
    </row>
    <row r="71" spans="1:15" ht="12.75">
      <c r="A71" s="427" t="s">
        <v>427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8"/>
      <c r="M71" s="188"/>
      <c r="N71" s="188"/>
      <c r="O71" s="188"/>
    </row>
    <row r="72" spans="1:15" ht="12.75">
      <c r="A72" s="427" t="s">
        <v>428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8"/>
      <c r="M72" s="188"/>
      <c r="N72" s="188"/>
      <c r="O72" s="188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8"/>
      <c r="M73" s="188"/>
      <c r="N73" s="188"/>
      <c r="O73" s="188"/>
    </row>
    <row r="74" spans="1:15" ht="12.75" customHeight="1">
      <c r="A74" s="519" t="s">
        <v>458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27" t="s">
        <v>371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8"/>
      <c r="M75" s="188"/>
      <c r="N75" s="188"/>
      <c r="O75" s="188"/>
    </row>
    <row r="76" spans="1:15" ht="12.75">
      <c r="A76" s="188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8"/>
      <c r="M76" s="188"/>
      <c r="N76" s="188"/>
      <c r="O76" s="188"/>
    </row>
    <row r="77" spans="1:15" ht="12.75">
      <c r="A77" s="188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8"/>
      <c r="M77" s="188"/>
      <c r="N77" s="188"/>
      <c r="O77" s="188"/>
    </row>
    <row r="78" spans="1:17" ht="12.75">
      <c r="A78" s="188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8"/>
      <c r="O78" s="188"/>
      <c r="P78" s="188"/>
      <c r="Q78" s="188"/>
    </row>
    <row r="79" spans="1:17" ht="12.75">
      <c r="A79" s="188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8"/>
      <c r="O79" s="188"/>
      <c r="P79" s="188"/>
      <c r="Q79" s="188"/>
    </row>
    <row r="80" spans="1:17" ht="12.75">
      <c r="A80" s="188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8"/>
      <c r="O80" s="188"/>
      <c r="P80" s="188"/>
      <c r="Q80" s="188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8"/>
      <c r="O81" s="188"/>
      <c r="P81" s="188"/>
      <c r="Q81" s="188"/>
    </row>
    <row r="82" spans="1:17" ht="12.75">
      <c r="A82" s="188"/>
      <c r="B82" s="188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8"/>
      <c r="O82" s="188"/>
      <c r="P82" s="188"/>
      <c r="Q82" s="188"/>
    </row>
    <row r="83" spans="1:17" ht="12.75">
      <c r="A83" s="188"/>
      <c r="B83" s="188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8"/>
      <c r="O83" s="188"/>
      <c r="P83" s="188"/>
      <c r="Q83" s="188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8"/>
      <c r="O84" s="188"/>
      <c r="P84" s="188"/>
      <c r="Q84" s="188"/>
    </row>
    <row r="85" spans="1:17" ht="12.75">
      <c r="A85" s="188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8"/>
      <c r="O85" s="188"/>
      <c r="P85" s="188"/>
      <c r="Q85" s="188"/>
    </row>
    <row r="86" spans="1:17" ht="12.75">
      <c r="A86" s="188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8"/>
      <c r="O86" s="188"/>
      <c r="P86" s="188"/>
      <c r="Q86" s="188"/>
    </row>
    <row r="87" spans="1:17" ht="12.75">
      <c r="A87" s="188"/>
      <c r="B87" s="188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8"/>
      <c r="O87" s="188"/>
      <c r="P87" s="188"/>
      <c r="Q87" s="188"/>
    </row>
    <row r="88" spans="1:17" ht="12.75">
      <c r="A88" s="188"/>
      <c r="B88" s="188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8"/>
      <c r="O88" s="188"/>
      <c r="P88" s="188"/>
      <c r="Q88" s="188"/>
    </row>
    <row r="89" spans="1:17" ht="12.75">
      <c r="A89" s="188"/>
      <c r="B89" s="188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8"/>
      <c r="O89" s="188"/>
      <c r="P89" s="188"/>
      <c r="Q89" s="188"/>
    </row>
    <row r="90" spans="1:17" ht="12.75">
      <c r="A90" s="188"/>
      <c r="B90" s="188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8"/>
      <c r="O90" s="188"/>
      <c r="P90" s="188"/>
      <c r="Q90" s="188"/>
    </row>
    <row r="91" spans="1:17" ht="12.75">
      <c r="A91" s="188"/>
      <c r="B91" s="188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2010-08-24T19:37:30Z</cp:lastPrinted>
  <dcterms:created xsi:type="dcterms:W3CDTF">2001-11-07T16:15:53Z</dcterms:created>
  <dcterms:modified xsi:type="dcterms:W3CDTF">2011-10-26T15:42:49Z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