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90" windowWidth="15360" windowHeight="8595" tabRatio="79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Reserves'!$A$1:$F$65</definedName>
    <definedName name="_xlnm.Print_Area" localSheetId="1">'TAXCALC'!$A$1:$H$212</definedName>
    <definedName name="_xlnm.Print_Area" localSheetId="2">'TAXREC'!$A$1:$F$161</definedName>
    <definedName name="_xlnm.Print_Area" localSheetId="4">'TAXREC 2'!$A$1:$F$125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<sst xmlns="http://schemas.openxmlformats.org/spreadsheetml/2006/main" count="900" uniqueCount="522">
  <si>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</si>
  <si>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</si>
  <si>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</si>
  <si>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</si>
  <si>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</si>
  <si>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</si>
  <si>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</si>
  <si>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</si>
  <si>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</si>
  <si>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</si>
  <si>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</si>
  <si>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</si>
  <si>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</si>
  <si>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</si>
  <si>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</si>
  <si>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</si>
  <si>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</si>
  <si>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</si>
  <si>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</si>
  <si>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</si>
  <si>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</si>
  <si>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</si>
  <si>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</si>
  <si>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</si>
  <si>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</si>
  <si>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</si>
  <si>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</si>
  <si>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</si>
  <si>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</si>
  <si>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</si>
  <si>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</si>
  <si>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</si>
  <si>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</si>
  <si>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</si>
  <si>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</si>
  <si>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</si>
  <si>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</si>
  <si>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</si>
  <si>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</si>
  <si>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</si>
  <si>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</si>
  <si>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</si>
  <si>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</si>
  <si>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</si>
  <si>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</si>
  <si>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</si>
  <si>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</si>
  <si>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</si>
  <si>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</si>
  <si>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</si>
  <si>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</si>
  <si>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</si>
  <si>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</si>
  <si>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</si>
  <si>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</si>
  <si>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</si>
  <si>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</si>
  <si>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</si>
  <si>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</si>
  <si>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</si>
  <si>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</si>
  <si>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</si>
  <si>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</si>
  <si>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</si>
  <si>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</si>
  <si>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</si>
  <si>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</si>
  <si>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</si>
  <si>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</si>
  <si>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</si>
  <si>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</si>
  <si>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</si>
  <si>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</si>
  <si>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</si>
  <si>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</si>
  <si>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</si>
  <si>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</si>
  <si>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</si>
  <si>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</si>
  <si>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</si>
  <si>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</si>
  <si>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</si>
  <si>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</si>
  <si>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</si>
  <si>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</si>
  <si>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</si>
  <si>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</si>
  <si>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</si>
  <si>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</si>
  <si>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</si>
  <si>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</si>
  <si>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</si>
  <si>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</si>
  <si>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</si>
  <si>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</si>
  <si>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</si>
  <si>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</si>
  <si>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</si>
  <si>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</si>
  <si>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</si>
  <si>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</si>
  <si>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</si>
  <si>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</si>
  <si>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</si>
  <si>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</si>
  <si>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</si>
  <si>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</si>
  <si>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</si>
  <si>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</si>
  <si>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</si>
  <si>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</si>
  <si>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</si>
  <si>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</si>
  <si>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</si>
  <si>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</si>
  <si>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</si>
  <si>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</si>
  <si>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</si>
  <si>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</si>
  <si>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</si>
  <si>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</si>
  <si>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</si>
  <si>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</si>
  <si>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</si>
  <si>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</si>
  <si>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</si>
  <si>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</si>
  <si>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</si>
  <si>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</si>
  <si>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</si>
  <si>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</si>
  <si>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</si>
  <si>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</si>
  <si>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</si>
  <si>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</si>
  <si>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</si>
  <si>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</si>
  <si>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</si>
  <si>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</si>
  <si>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</si>
  <si>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</si>
  <si>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</si>
  <si>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</si>
  <si>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</si>
  <si>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</si>
  <si>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</si>
  <si>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</si>
  <si>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</si>
  <si>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</si>
  <si>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</si>
  <si>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</si>
  <si>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</si>
  <si>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</si>
  <si>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</si>
  <si>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</si>
  <si>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</si>
  <si>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</si>
  <si>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</si>
  <si>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</si>
  <si>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</si>
  <si>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</si>
  <si>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</si>
  <si>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</si>
  <si>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</si>
  <si>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</si>
  <si>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</si>
  <si>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</si>
  <si>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</si>
  <si>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</si>
  <si>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</si>
  <si>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</si>
  <si>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</si>
  <si>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</si>
  <si>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</si>
  <si>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</si>
  <si>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</si>
  <si>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</si>
  <si>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</si>
  <si>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</si>
  <si>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</si>
  <si>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</si>
  <si>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</si>
  <si>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</si>
  <si>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</si>
  <si>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</si>
  <si>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</si>
  <si>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</si>
  <si>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</si>
  <si>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</si>
  <si>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</si>
  <si>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</si>
  <si>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</si>
  <si>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</si>
  <si>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</si>
  <si>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</si>
  <si>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</si>
  <si>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</si>
  <si>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</si>
  <si>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</si>
  <si>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</si>
  <si>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</si>
  <si>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</si>
  <si>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</si>
  <si>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</si>
  <si>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</si>
  <si>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</si>
  <si>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</si>
  <si>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</si>
  <si>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</si>
  <si>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</si>
  <si>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</si>
  <si>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</si>
  <si>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</si>
  <si>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</si>
  <si>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</si>
  <si>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</si>
  <si>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</si>
  <si>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</si>
  <si>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</si>
  <si>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</si>
  <si>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</si>
  <si>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</si>
  <si>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</si>
  <si>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</si>
  <si>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</si>
  <si>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</si>
  <si>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</si>
  <si>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</si>
  <si>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</si>
  <si>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</si>
  <si>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</si>
  <si>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</si>
  <si>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</si>
  <si>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</si>
  <si>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</si>
  <si>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</si>
  <si>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</si>
  <si>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</si>
  <si>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</si>
  <si>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</si>
  <si>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</si>
  <si>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</si>
  <si>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</si>
  <si>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</si>
  <si>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</si>
  <si>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</si>
  <si>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</si>
  <si>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</si>
  <si>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</si>
  <si>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</si>
  <si>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</si>
  <si>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</si>
  <si>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</si>
  <si>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</si>
  <si>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</si>
  <si>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</si>
  <si>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</si>
  <si>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</si>
  <si>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</si>
  <si>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</si>
  <si>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</si>
  <si>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</si>
  <si>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</si>
  <si>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</si>
  <si>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</si>
  <si>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</si>
  <si>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</si>
  <si>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</si>
  <si>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</si>
  <si>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</si>
  <si>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</si>
  <si>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</si>
  <si>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</si>
  <si>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</si>
  <si>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</si>
  <si>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</si>
  <si>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</si>
  <si>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</si>
  <si>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</si>
  <si>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</si>
  <si>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</si>
  <si>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</si>
  <si>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</si>
  <si>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</si>
  <si>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</si>
  <si>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</si>
  <si>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</si>
  <si>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</si>
  <si>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</si>
  <si>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</si>
  <si>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</si>
  <si>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</si>
  <si>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</si>
  <si>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</si>
  <si>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</si>
  <si>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</si>
  <si>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</si>
  <si>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</si>
  <si>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</si>
  <si>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</si>
  <si>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</si>
  <si>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</si>
  <si>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</si>
  <si>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</si>
  <si>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</si>
  <si>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</si>
  <si>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</si>
  <si>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</si>
  <si>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</si>
  <si>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</si>
  <si>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</si>
  <si>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</si>
  <si>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</si>
  <si>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</si>
  <si>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</si>
  <si>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</si>
  <si>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</si>
  <si>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</si>
  <si>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</si>
  <si>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</si>
  <si>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</si>
  <si>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</si>
  <si>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</si>
  <si>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</si>
  <si>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</si>
  <si>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</si>
  <si>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</si>
  <si>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</si>
  <si>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</si>
  <si>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</si>
  <si>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</si>
  <si>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</si>
  <si>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</si>
  <si>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</si>
  <si>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</si>
  <si>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</si>
  <si>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</si>
  <si>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</si>
  <si>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</si>
  <si>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</si>
  <si>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</si>
  <si>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</si>
  <si>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</si>
  <si>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</si>
  <si>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</si>
  <si>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</si>
  <si>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</si>
  <si>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</si>
  <si>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</si>
  <si>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</si>
  <si>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</si>
  <si>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</si>
  <si>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</si>
  <si>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</si>
  <si>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</si>
  <si>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</si>
  <si>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</si>
  <si>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</si>
  <si>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</si>
  <si>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</si>
  <si>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</si>
  <si>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</si>
  <si>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</si>
  <si>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</si>
  <si>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</si>
  <si>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</si>
  <si>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</si>
  <si>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</si>
  <si>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</si>
  <si>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</si>
  <si>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</si>
  <si>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</si>
  <si>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</si>
  <si>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</si>
  <si>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</si>
  <si>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</si>
  <si>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</si>
  <si>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</si>
  <si>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</si>
  <si>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</si>
  <si>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</si>
  <si>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</si>
  <si>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</si>
  <si>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</si>
  <si>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</si>
  <si>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</si>
  <si>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</si>
  <si>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</si>
  <si>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</si>
  <si>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</si>
  <si>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</si>
  <si>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</si>
  <si>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</si>
  <si>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</si>
  <si>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</si>
  <si>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</si>
  <si>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</si>
  <si>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</si>
  <si>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</si>
  <si>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</si>
  <si>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</si>
  <si>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</si>
  <si>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</si>
  <si>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</si>
  <si>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</si>
  <si>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</si>
  <si>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</si>
  <si>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</si>
  <si>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</si>
  <si>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</si>
  <si>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</si>
  <si>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</si>
  <si>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</si>
  <si>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</si>
  <si>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</si>
  <si>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</si>
  <si>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</si>
  <si>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</si>
  <si>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</si>
  <si>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</si>
  <si>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</si>
  <si>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</si>
  <si>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</si>
  <si>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</si>
  <si>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</si>
  <si>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</si>
  <si>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</si>
  <si>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</si>
  <si>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</si>
  <si>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</si>
  <si>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</si>
  <si>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</si>
  <si>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</si>
  <si>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</si>
  <si>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</si>
  <si>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</si>
  <si>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</si>
  <si>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</si>
  <si>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</si>
  <si>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</si>
  <si>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</si>
  <si>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</si>
  <si>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</si>
  <si>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</si>
  <si>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</si>
  <si>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</si>
  <si>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</si>
  <si>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</si>
  <si>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</si>
  <si>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</si>
  <si>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</si>
  <si>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</si>
  <si>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</si>
  <si>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</si>
  <si>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</si>
  <si>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</si>
  <si>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</si>
  <si>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</si>
  <si>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</si>
  <si>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</si>
  <si>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</si>
  <si>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</si>
  <si>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</si>
  <si>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</si>
  <si>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</si>
  <si>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</si>
  <si>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</si>
  <si>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</si>
  <si>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</si>
  <si>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</si>
  <si>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</si>
  <si>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</si>
  <si>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</si>
  <si>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</si>
  <si>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</si>
  <si>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Correct rate should be?</t>
  </si>
  <si>
    <t>Enter from tax return</t>
  </si>
  <si>
    <t>No entry on tax return</t>
  </si>
  <si>
    <t>Overpaid</t>
  </si>
  <si>
    <t>Provision for bad debts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</si>
  <si>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</si>
  <si>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</si>
  <si>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</si>
  <si>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</si>
  <si>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</si>
  <si>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</si>
  <si>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**Exemption amounts must agree with the Board-approved 2002 RAM PILs filing</t>
  </si>
  <si>
    <t xml:space="preserve">     Reg Assets</t>
  </si>
  <si>
    <t>Y</t>
  </si>
  <si>
    <t>N</t>
  </si>
  <si>
    <t>OPEB</t>
  </si>
  <si>
    <t>Regulatory Reserves</t>
  </si>
  <si>
    <t>Prospectus &amp; underwriting fees and capital tax not expensed</t>
  </si>
  <si>
    <t>Formula Corrected SB "Tax Rates'!C20" - not "Tax Rates'!G20"</t>
  </si>
  <si>
    <t>From Statement of Adjustments - Adjusted for CEC &amp; Regulatory Assets</t>
  </si>
  <si>
    <t>Capital  tax adjustment</t>
  </si>
  <si>
    <t>Depreciation expensed via OM&amp;A</t>
  </si>
  <si>
    <t>Ontario specified tax credits</t>
  </si>
  <si>
    <t>Reporting period:  2005</t>
  </si>
  <si>
    <t>Actual 2005</t>
  </si>
  <si>
    <t>Actual capital tax per CT23</t>
  </si>
  <si>
    <t xml:space="preserve">Other deductions </t>
  </si>
  <si>
    <t>Computer equipment expensed for tax</t>
  </si>
  <si>
    <t>Other additions</t>
  </si>
  <si>
    <r>
      <t xml:space="preserve">Income Tax Rate (excluding surtax) from </t>
    </r>
    <r>
      <rPr>
        <b/>
        <sz val="10"/>
        <color indexed="10"/>
        <rFont val="Arial"/>
        <family val="2"/>
      </rPr>
      <t>2005</t>
    </r>
    <r>
      <rPr>
        <sz val="10"/>
        <rFont val="Arial"/>
        <family val="2"/>
      </rPr>
      <t xml:space="preserve"> Utility's tax return</t>
    </r>
  </si>
  <si>
    <t>Input Information from Utility's Actual 2005 Tax Returns</t>
  </si>
  <si>
    <t>&gt;1,128,000</t>
  </si>
  <si>
    <t>MAX $7.5MM</t>
  </si>
  <si>
    <t>MAX $50MM</t>
  </si>
  <si>
    <t>Expected Income Tax Rates for 2005 and Capital Tax Exemptions for 2005</t>
  </si>
  <si>
    <t>Utility Name: Burlington Hydro Inc.</t>
  </si>
  <si>
    <t>Previous years shown as No</t>
  </si>
  <si>
    <t>CDM 2005 incremental OM&amp;A expenses per 2005 PILs model</t>
  </si>
  <si>
    <t xml:space="preserve">   other deductions - Reg Assets Changes</t>
  </si>
  <si>
    <t>Non Deductible meals and entertainment</t>
  </si>
  <si>
    <t>Partnership loss</t>
  </si>
  <si>
    <t>Rates Used in 2005 RAM PILs Applications</t>
  </si>
  <si>
    <t>P</t>
  </si>
  <si>
    <t>From TAXREC Tab</t>
  </si>
  <si>
    <t>Agreed to SS401</t>
  </si>
  <si>
    <t>Other deductions: SR&amp;ED Expenditures Capitalized for accounting</t>
  </si>
  <si>
    <t xml:space="preserve">Updated based on 2005 SR&amp;ED return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</si>
</sst>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.00"/>
    <numFmt numFmtId="166" formatCode="0.000%"/>
    <numFmt numFmtId="167" formatCode="[$-409]d\-mmm\-yy;@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0"/>
      <color indexed="10"/>
      <name val="Wingdings 2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Wingdings 2"/>
      <family val="1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50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65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64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64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64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64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64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66" fontId="0" fillId="36" borderId="44" xfId="0" applyNumberFormat="1" applyFill="1" applyBorder="1" applyAlignment="1" applyProtection="1">
      <alignment horizontal="center" vertical="top"/>
      <protection locked="0"/>
    </xf>
    <xf numFmtId="166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66" fontId="0" fillId="40" borderId="44" xfId="0" applyNumberFormat="1" applyFill="1" applyBorder="1" applyAlignment="1" applyProtection="1">
      <alignment horizontal="center" vertical="top"/>
      <protection locked="0"/>
    </xf>
    <xf numFmtId="166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4" fillId="41" borderId="48" xfId="42" applyNumberFormat="1" applyFont="1" applyFill="1" applyBorder="1" applyAlignment="1" applyProtection="1">
      <alignment horizontal="center" vertical="top"/>
      <protection locked="0"/>
    </xf>
    <xf numFmtId="4" fontId="10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49" xfId="0" applyFont="1" applyFill="1" applyBorder="1" applyAlignment="1" applyProtection="1">
      <alignment horizontal="center" vertical="top"/>
      <protection locked="0"/>
    </xf>
    <xf numFmtId="3" fontId="4" fillId="41" borderId="49" xfId="42" applyNumberFormat="1" applyFont="1" applyFill="1" applyBorder="1" applyAlignment="1" applyProtection="1">
      <alignment horizontal="center" vertical="top"/>
      <protection locked="0"/>
    </xf>
    <xf numFmtId="0" fontId="10" fillId="41" borderId="54" xfId="0" applyFont="1" applyFill="1" applyBorder="1" applyAlignment="1" applyProtection="1">
      <alignment horizontal="center" vertical="center" wrapText="1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6" borderId="14" xfId="0" applyNumberFormat="1" applyFill="1" applyBorder="1" applyAlignment="1">
      <alignment vertical="top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6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7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9" fillId="40" borderId="14" xfId="0" applyNumberFormat="1" applyFont="1" applyFill="1" applyBorder="1" applyAlignment="1">
      <alignment vertical="top"/>
    </xf>
    <xf numFmtId="3" fontId="9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0" fontId="0" fillId="0" borderId="56" xfId="0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3" fontId="0" fillId="40" borderId="11" xfId="0" applyNumberFormat="1" applyFill="1" applyBorder="1" applyAlignment="1">
      <alignment horizontal="right" vertical="top"/>
    </xf>
    <xf numFmtId="0" fontId="0" fillId="0" borderId="14" xfId="0" applyFont="1" applyBorder="1" applyAlignment="1">
      <alignment vertical="top"/>
    </xf>
    <xf numFmtId="10" fontId="0" fillId="0" borderId="0" xfId="62" applyNumberFormat="1" applyFont="1" applyBorder="1" applyAlignment="1" applyProtection="1">
      <alignment horizontal="center" vertical="top"/>
      <protection locked="0"/>
    </xf>
    <xf numFmtId="3" fontId="59" fillId="41" borderId="14" xfId="0" applyNumberFormat="1" applyFont="1" applyFill="1" applyBorder="1" applyAlignment="1">
      <alignment horizontal="right" vertical="top"/>
    </xf>
    <xf numFmtId="167" fontId="0" fillId="40" borderId="0" xfId="0" applyNumberFormat="1" applyFill="1" applyAlignment="1">
      <alignment horizontal="center" vertical="top"/>
    </xf>
    <xf numFmtId="164" fontId="59" fillId="40" borderId="0" xfId="0" applyNumberFormat="1" applyFont="1" applyFill="1" applyAlignment="1">
      <alignment horizontal="center" vertical="top"/>
    </xf>
    <xf numFmtId="0" fontId="4" fillId="0" borderId="0" xfId="0" applyFont="1" applyAlignment="1">
      <alignment vertical="top"/>
    </xf>
    <xf numFmtId="4" fontId="0" fillId="0" borderId="0" xfId="42" applyFont="1" applyFill="1" applyBorder="1" applyAlignment="1" applyProtection="1">
      <alignment vertical="top"/>
      <protection locked="0"/>
    </xf>
    <xf numFmtId="4" fontId="0" fillId="0" borderId="0" xfId="0" applyNumberFormat="1" applyFill="1" applyBorder="1" applyAlignment="1">
      <alignment vertical="top"/>
    </xf>
    <xf numFmtId="3" fontId="0" fillId="44" borderId="0" xfId="0" applyNumberFormat="1" applyFill="1" applyAlignment="1">
      <alignment vertical="top"/>
    </xf>
    <xf numFmtId="0" fontId="0" fillId="0" borderId="0" xfId="0" applyFont="1" applyAlignment="1">
      <alignment vertical="top" wrapText="1"/>
    </xf>
    <xf numFmtId="37" fontId="0" fillId="44" borderId="0" xfId="0" applyNumberForma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3" fontId="4" fillId="41" borderId="48" xfId="42" applyNumberFormat="1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0" fontId="4" fillId="41" borderId="49" xfId="0" applyFont="1" applyFill="1" applyBorder="1" applyAlignment="1" applyProtection="1">
      <alignment horizontal="center" vertical="top"/>
      <protection locked="0"/>
    </xf>
    <xf numFmtId="3" fontId="4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top"/>
      <protection locked="0"/>
    </xf>
    <xf numFmtId="3" fontId="4" fillId="41" borderId="49" xfId="42" applyNumberFormat="1" applyFont="1" applyFill="1" applyBorder="1" applyAlignment="1" applyProtection="1">
      <alignment horizontal="center"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10" fontId="0" fillId="45" borderId="44" xfId="0" applyNumberFormat="1" applyFill="1" applyBorder="1" applyAlignment="1" applyProtection="1">
      <alignment horizontal="center" vertical="top"/>
      <protection locked="0"/>
    </xf>
    <xf numFmtId="10" fontId="0" fillId="45" borderId="51" xfId="0" applyNumberFormat="1" applyFill="1" applyBorder="1" applyAlignment="1" applyProtection="1">
      <alignment horizontal="center" vertical="top"/>
      <protection locked="0"/>
    </xf>
    <xf numFmtId="10" fontId="0" fillId="45" borderId="18" xfId="0" applyNumberFormat="1" applyFill="1" applyBorder="1" applyAlignment="1" applyProtection="1">
      <alignment horizontal="center" vertical="top"/>
      <protection locked="0"/>
    </xf>
    <xf numFmtId="10" fontId="0" fillId="45" borderId="10" xfId="0" applyNumberFormat="1" applyFill="1" applyBorder="1" applyAlignment="1" applyProtection="1">
      <alignment horizontal="center" vertical="top"/>
      <protection locked="0"/>
    </xf>
    <xf numFmtId="10" fontId="0" fillId="45" borderId="40" xfId="0" applyNumberFormat="1" applyFill="1" applyBorder="1" applyAlignment="1" applyProtection="1">
      <alignment horizontal="center" vertical="top"/>
      <protection locked="0"/>
    </xf>
    <xf numFmtId="10" fontId="0" fillId="45" borderId="42" xfId="0" applyNumberFormat="1" applyFill="1" applyBorder="1" applyAlignment="1" applyProtection="1">
      <alignment horizontal="center"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0" fillId="46" borderId="0" xfId="0" applyFill="1" applyAlignment="1">
      <alignment vertical="top"/>
    </xf>
    <xf numFmtId="3" fontId="0" fillId="40" borderId="0" xfId="42" applyNumberFormat="1" applyFont="1" applyFill="1" applyAlignment="1" applyProtection="1">
      <alignment vertical="top"/>
      <protection locked="0"/>
    </xf>
    <xf numFmtId="4" fontId="4" fillId="37" borderId="54" xfId="42" applyFont="1" applyFill="1" applyBorder="1" applyAlignment="1" applyProtection="1">
      <alignment horizontal="center" vertical="center" wrapText="1"/>
      <protection locked="0"/>
    </xf>
    <xf numFmtId="0" fontId="19" fillId="46" borderId="0" xfId="0" applyFont="1" applyFill="1" applyBorder="1" applyAlignment="1">
      <alignment horizontal="left" vertical="top"/>
    </xf>
    <xf numFmtId="37" fontId="0" fillId="46" borderId="18" xfId="0" applyNumberFormat="1" applyFill="1" applyBorder="1" applyAlignment="1">
      <alignment vertical="top"/>
    </xf>
    <xf numFmtId="3" fontId="0" fillId="46" borderId="18" xfId="0" applyNumberFormat="1" applyFill="1" applyBorder="1" applyAlignment="1" applyProtection="1">
      <alignment vertical="top"/>
      <protection/>
    </xf>
    <xf numFmtId="0" fontId="0" fillId="46" borderId="0" xfId="0" applyFill="1" applyBorder="1" applyAlignment="1">
      <alignment vertical="top"/>
    </xf>
    <xf numFmtId="0" fontId="60" fillId="0" borderId="0" xfId="0" applyFont="1" applyAlignment="1">
      <alignment horizontal="center" vertical="top"/>
    </xf>
    <xf numFmtId="0" fontId="61" fillId="0" borderId="0" xfId="0" applyFont="1" applyAlignment="1">
      <alignment vertical="top"/>
    </xf>
    <xf numFmtId="0" fontId="62" fillId="0" borderId="0" xfId="0" applyFont="1" applyAlignment="1">
      <alignment vertical="top"/>
    </xf>
    <xf numFmtId="37" fontId="62" fillId="0" borderId="0" xfId="0" applyNumberFormat="1" applyFont="1" applyBorder="1" applyAlignment="1">
      <alignment horizontal="right" vertical="top"/>
    </xf>
    <xf numFmtId="0" fontId="62" fillId="0" borderId="0" xfId="0" applyFont="1" applyAlignment="1">
      <alignment horizontal="left" vertical="top"/>
    </xf>
    <xf numFmtId="37" fontId="62" fillId="0" borderId="14" xfId="0" applyNumberFormat="1" applyFont="1" applyBorder="1" applyAlignment="1">
      <alignment horizontal="center" vertical="top"/>
    </xf>
    <xf numFmtId="37" fontId="62" fillId="0" borderId="14" xfId="0" applyNumberFormat="1" applyFont="1" applyBorder="1" applyAlignment="1">
      <alignment horizontal="right" vertical="top"/>
    </xf>
    <xf numFmtId="3" fontId="63" fillId="0" borderId="0" xfId="0" applyNumberFormat="1" applyFont="1" applyAlignment="1">
      <alignment vertical="top"/>
    </xf>
    <xf numFmtId="37" fontId="62" fillId="0" borderId="18" xfId="0" applyNumberFormat="1" applyFont="1" applyBorder="1" applyAlignment="1">
      <alignment horizontal="right" vertical="top"/>
    </xf>
    <xf numFmtId="0" fontId="0" fillId="44" borderId="0" xfId="0" applyFill="1" applyAlignment="1">
      <alignment vertical="top"/>
    </xf>
    <xf numFmtId="0" fontId="61" fillId="44" borderId="0" xfId="0" applyFont="1" applyFill="1" applyAlignment="1">
      <alignment vertical="top"/>
    </xf>
    <xf numFmtId="0" fontId="62" fillId="0" borderId="0" xfId="0" applyFont="1" applyFill="1" applyAlignment="1">
      <alignment vertical="top"/>
    </xf>
    <xf numFmtId="0" fontId="62" fillId="0" borderId="0" xfId="0" applyFont="1" applyFill="1" applyAlignment="1">
      <alignment horizontal="right" vertical="top"/>
    </xf>
    <xf numFmtId="0" fontId="62" fillId="0" borderId="25" xfId="0" applyFont="1" applyBorder="1" applyAlignment="1">
      <alignment horizontal="center" vertical="top"/>
    </xf>
    <xf numFmtId="0" fontId="61" fillId="0" borderId="0" xfId="0" applyFont="1" applyFill="1" applyAlignment="1">
      <alignment vertical="top"/>
    </xf>
    <xf numFmtId="0" fontId="62" fillId="0" borderId="26" xfId="0" applyFont="1" applyBorder="1" applyAlignment="1">
      <alignment vertical="top"/>
    </xf>
    <xf numFmtId="0" fontId="62" fillId="0" borderId="25" xfId="0" applyFont="1" applyBorder="1" applyAlignment="1">
      <alignment horizontal="left" vertical="top"/>
    </xf>
    <xf numFmtId="0" fontId="60" fillId="0" borderId="0" xfId="0" applyFont="1" applyAlignment="1">
      <alignment vertical="top"/>
    </xf>
    <xf numFmtId="0" fontId="61" fillId="0" borderId="0" xfId="0" applyFont="1" applyAlignment="1">
      <alignment vertical="top"/>
    </xf>
    <xf numFmtId="0" fontId="63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4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463</v>
      </c>
      <c r="C1" s="8"/>
      <c r="E1" s="2" t="s">
        <v>464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482" t="s">
        <v>510</v>
      </c>
      <c r="C3" s="8"/>
      <c r="D3" s="444" t="s">
        <v>449</v>
      </c>
      <c r="E3" s="8"/>
      <c r="F3" s="8"/>
      <c r="G3" s="8"/>
      <c r="H3" s="8"/>
    </row>
    <row r="4" spans="1:8" ht="12.75">
      <c r="A4" s="482" t="s">
        <v>498</v>
      </c>
      <c r="C4" s="8"/>
      <c r="D4" s="443" t="s">
        <v>444</v>
      </c>
      <c r="E4" s="417"/>
      <c r="H4" s="8"/>
    </row>
    <row r="5" spans="1:8" ht="12.75">
      <c r="A5" s="52"/>
      <c r="C5" s="8"/>
      <c r="D5" s="442" t="s">
        <v>445</v>
      </c>
      <c r="E5" s="393"/>
      <c r="H5" s="8"/>
    </row>
    <row r="6" spans="1:8" ht="12.75">
      <c r="A6" s="2" t="s">
        <v>124</v>
      </c>
      <c r="B6" s="383">
        <v>365</v>
      </c>
      <c r="C6" s="8" t="s">
        <v>125</v>
      </c>
      <c r="D6" s="21"/>
      <c r="H6" s="8"/>
    </row>
    <row r="7" spans="1:8" ht="13.5" thickBot="1">
      <c r="A7" s="52" t="s">
        <v>254</v>
      </c>
      <c r="B7" s="248">
        <v>365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 t="s">
        <v>488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 t="s">
        <v>489</v>
      </c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64</v>
      </c>
      <c r="D17" s="257" t="s">
        <v>489</v>
      </c>
    </row>
    <row r="18" spans="1:4" ht="15" customHeight="1">
      <c r="A18" s="384" t="s">
        <v>313</v>
      </c>
      <c r="C18" s="8"/>
      <c r="D18" s="8"/>
    </row>
    <row r="19" spans="1:5" ht="15" customHeight="1">
      <c r="A19" s="534" t="s">
        <v>314</v>
      </c>
      <c r="B19" s="8" t="s">
        <v>311</v>
      </c>
      <c r="C19" s="8" t="s">
        <v>64</v>
      </c>
      <c r="D19" s="383" t="s">
        <v>488</v>
      </c>
      <c r="E19" s="507" t="s">
        <v>511</v>
      </c>
    </row>
    <row r="20" spans="1:4" ht="13.5" thickBot="1">
      <c r="A20" s="535"/>
      <c r="B20" s="8" t="s">
        <v>312</v>
      </c>
      <c r="C20" s="8" t="s">
        <v>64</v>
      </c>
      <c r="D20" s="257" t="s">
        <v>489</v>
      </c>
    </row>
    <row r="21" spans="1:4" ht="12.75">
      <c r="A21" s="534" t="s">
        <v>310</v>
      </c>
      <c r="B21" s="8" t="s">
        <v>311</v>
      </c>
      <c r="C21" s="8"/>
      <c r="D21" s="481">
        <v>1</v>
      </c>
    </row>
    <row r="22" spans="1:4" ht="12.75">
      <c r="A22" s="534"/>
      <c r="B22" s="8" t="s">
        <v>312</v>
      </c>
      <c r="C22" s="8"/>
      <c r="D22" s="481">
        <v>1</v>
      </c>
    </row>
    <row r="23" spans="1:4" ht="7.5" customHeight="1">
      <c r="A23" s="45"/>
      <c r="C23" s="8"/>
      <c r="D23" s="383"/>
    </row>
    <row r="24" spans="1:4" ht="12.75">
      <c r="A24" s="45" t="s">
        <v>210</v>
      </c>
      <c r="C24" s="8" t="s">
        <v>211</v>
      </c>
      <c r="D24" s="480">
        <v>38717</v>
      </c>
    </row>
    <row r="25" ht="6.75" customHeight="1" thickBot="1">
      <c r="A25" s="12"/>
    </row>
    <row r="26" spans="1:5" ht="12.75">
      <c r="A26" s="254" t="s">
        <v>67</v>
      </c>
      <c r="C26" s="8"/>
      <c r="E26" s="432" t="s">
        <v>295</v>
      </c>
    </row>
    <row r="27" spans="1:5" ht="12.75">
      <c r="A27" s="255" t="s">
        <v>68</v>
      </c>
      <c r="C27" s="8"/>
      <c r="E27" s="433" t="s">
        <v>296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285</v>
      </c>
      <c r="D31" s="413">
        <v>95757216</v>
      </c>
      <c r="H31" s="5"/>
    </row>
    <row r="32" ht="6" customHeight="1"/>
    <row r="33" spans="1:8" ht="12.75">
      <c r="A33" t="s">
        <v>71</v>
      </c>
      <c r="D33" s="414">
        <v>0.5</v>
      </c>
      <c r="E33">
        <f>+D33*Ratebase</f>
        <v>47878608</v>
      </c>
      <c r="F33">
        <f>+E33*0.0025</f>
        <v>119696.52</v>
      </c>
      <c r="H33" s="39"/>
    </row>
    <row r="34" spans="6:8" ht="6" customHeight="1">
      <c r="F34" t="s">
        <v>101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14">
        <v>0.0988</v>
      </c>
      <c r="H37" s="41"/>
    </row>
    <row r="38" ht="4.5" customHeight="1">
      <c r="H38" s="34"/>
    </row>
    <row r="39" spans="1:8" ht="12.75">
      <c r="A39" t="s">
        <v>74</v>
      </c>
      <c r="D39" s="414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8201605.5504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15">
        <v>1728019</v>
      </c>
      <c r="E43" s="382">
        <f>D43</f>
        <v>1728019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6473586.5504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16">
        <f>+$D$45/3</f>
        <v>2157862.183466667</v>
      </c>
      <c r="E47" s="382">
        <f aca="true" t="shared" si="0" ref="E47:E53">D47</f>
        <v>2157862.183466667</v>
      </c>
      <c r="H47" s="40"/>
      <c r="J47" s="5"/>
      <c r="K47" s="5"/>
    </row>
    <row r="48" spans="1:11" ht="12.75">
      <c r="A48" t="s">
        <v>288</v>
      </c>
      <c r="D48" s="416">
        <f>+$D$45/3</f>
        <v>2157862.183466667</v>
      </c>
      <c r="E48" s="382">
        <f>D48</f>
        <v>2157862.183466667</v>
      </c>
      <c r="F48" s="22"/>
      <c r="H48" s="40"/>
      <c r="J48" s="5"/>
      <c r="K48" s="5"/>
    </row>
    <row r="49" spans="1:11" ht="12.75">
      <c r="A49" t="s">
        <v>289</v>
      </c>
      <c r="D49" s="416">
        <v>0</v>
      </c>
      <c r="E49" s="382">
        <f>D49</f>
        <v>0</v>
      </c>
      <c r="F49" s="22"/>
      <c r="H49" s="40"/>
      <c r="J49" s="5"/>
      <c r="K49" s="5"/>
    </row>
    <row r="50" spans="1:11" ht="12.75">
      <c r="A50" t="s">
        <v>290</v>
      </c>
      <c r="D50" s="416">
        <v>0</v>
      </c>
      <c r="E50" s="382">
        <f t="shared" si="0"/>
        <v>0</v>
      </c>
      <c r="H50" s="40"/>
      <c r="J50" s="5"/>
      <c r="K50" s="5"/>
    </row>
    <row r="51" spans="1:11" ht="12.75">
      <c r="A51" t="s">
        <v>441</v>
      </c>
      <c r="D51" s="416">
        <f>+$D$45/3</f>
        <v>2157862.183466667</v>
      </c>
      <c r="E51" s="382">
        <f t="shared" si="0"/>
        <v>2157862.183466667</v>
      </c>
      <c r="H51" s="40"/>
      <c r="J51" s="5"/>
      <c r="K51" s="5"/>
    </row>
    <row r="52" spans="1:11" ht="12.75">
      <c r="A52" t="s">
        <v>465</v>
      </c>
      <c r="D52" s="508">
        <v>435609</v>
      </c>
      <c r="E52" s="382">
        <f t="shared" si="0"/>
        <v>435609</v>
      </c>
      <c r="H52" s="40"/>
      <c r="J52" s="5"/>
      <c r="K52" s="5"/>
    </row>
    <row r="53" spans="4:11" ht="12.75">
      <c r="D53" s="417"/>
      <c r="E53" s="382">
        <f t="shared" si="0"/>
        <v>0</v>
      </c>
      <c r="H53" s="40"/>
      <c r="J53" s="5"/>
      <c r="K53" s="5"/>
    </row>
    <row r="54" spans="1:11" ht="12.75">
      <c r="A54" s="2" t="s">
        <v>291</v>
      </c>
      <c r="E54" s="253">
        <f>SUM(E43:E53)</f>
        <v>8637214.5504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47878608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4730406.4704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47878608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1">
        <f>D60*D39</f>
        <v>3471199.0799999996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2">
        <f>IF(D41&gt;0,(((D43+D47)/D41)*D62),0)</f>
        <v>1644637.39522086</v>
      </c>
      <c r="F64" s="5"/>
      <c r="H64" s="32"/>
      <c r="J64" s="5"/>
      <c r="K64" s="5"/>
    </row>
    <row r="65" spans="1:11" ht="12.75">
      <c r="A65" s="33" t="s">
        <v>380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2">
        <f>IF(D41&gt;0,(((D43+D47+D48)/D41)*D62),0)</f>
        <v>2557918.23761043</v>
      </c>
      <c r="F66" s="5"/>
      <c r="H66" s="32"/>
      <c r="J66" s="5"/>
      <c r="K66" s="5"/>
    </row>
    <row r="67" spans="1:11" ht="12.75">
      <c r="A67" s="33" t="s">
        <v>381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2">
        <f>IF(D41&gt;0,(((D43+D47+D48)/D41)*D62),0)</f>
        <v>2557918.23761043</v>
      </c>
      <c r="F68" s="5"/>
      <c r="H68" s="32"/>
      <c r="J68" s="5"/>
    </row>
    <row r="69" spans="1:10" ht="12.75">
      <c r="A69" s="33" t="s">
        <v>382</v>
      </c>
      <c r="B69" s="5"/>
      <c r="C69" s="5"/>
      <c r="D69" s="5"/>
      <c r="F69" s="5"/>
      <c r="H69" s="32"/>
      <c r="J69" s="5"/>
    </row>
    <row r="70" spans="1:10" ht="12.75">
      <c r="A70" s="45" t="s">
        <v>450</v>
      </c>
      <c r="B70" s="5"/>
      <c r="C70" s="5"/>
      <c r="D70" s="252">
        <f>D62</f>
        <v>3471199.0799999996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fitToHeight="1" fitToWidth="1" horizontalDpi="600" verticalDpi="600" orientation="portrait" scale="83" r:id="rId1"/>
  <headerFooter alignWithMargins="0">
    <oddHeader>&amp;R&amp;9Hydro One Brampton Networks Inc.
EB-2008-0381
Deferred PILs Combined Proceeding
</oddHeader>
    <oddFooter>&amp;L&amp;8March 22, 2010&amp;C&amp;Z&amp;F&amp;R&amp;"Arial,Bold"&amp;9&amp;A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1"/>
  <sheetViews>
    <sheetView zoomScale="85" zoomScaleNormal="85" zoomScalePageLayoutView="0" workbookViewId="0" topLeftCell="A1">
      <pane xSplit="1" ySplit="11" topLeftCell="B8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213" sqref="A212:C21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9.421875" style="0" customWidth="1"/>
    <col min="5" max="5" width="16.28125" style="0" customWidth="1"/>
    <col min="6" max="6" width="22.421875" style="0" customWidth="1"/>
    <col min="7" max="7" width="14.00390625" style="0" customWidth="1"/>
    <col min="8" max="8" width="14.71093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EB-2008-381</v>
      </c>
      <c r="B1" s="203" t="s">
        <v>126</v>
      </c>
      <c r="C1" s="204" t="s">
        <v>34</v>
      </c>
      <c r="D1" s="205"/>
      <c r="E1" s="206" t="s">
        <v>23</v>
      </c>
      <c r="F1" s="207" t="s">
        <v>23</v>
      </c>
      <c r="G1" s="208" t="s">
        <v>467</v>
      </c>
      <c r="H1" s="209"/>
    </row>
    <row r="2" spans="1:8" ht="12.75">
      <c r="A2" s="210" t="s">
        <v>466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468</v>
      </c>
      <c r="H2" s="216"/>
    </row>
    <row r="3" spans="1:8" ht="12.75">
      <c r="A3" s="210" t="s">
        <v>49</v>
      </c>
      <c r="B3" s="217"/>
      <c r="C3" s="218"/>
      <c r="D3" s="213"/>
      <c r="E3" s="136" t="s">
        <v>21</v>
      </c>
      <c r="F3" s="219" t="s">
        <v>21</v>
      </c>
      <c r="G3" s="136"/>
      <c r="H3" s="216"/>
    </row>
    <row r="4" spans="1:8" ht="12.75">
      <c r="A4" s="220" t="s">
        <v>41</v>
      </c>
      <c r="B4" s="221"/>
      <c r="C4" s="218"/>
      <c r="D4" s="213"/>
      <c r="E4" s="136" t="s">
        <v>248</v>
      </c>
      <c r="F4" s="219" t="s">
        <v>22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Burlington Hydro Inc.</v>
      </c>
      <c r="B6" s="114"/>
      <c r="D6" s="136"/>
      <c r="E6" s="114"/>
      <c r="G6" s="114"/>
      <c r="H6" s="454"/>
    </row>
    <row r="7" spans="1:9" ht="12.75">
      <c r="A7" s="210" t="str">
        <f>REGINFO!A4</f>
        <v>Reporting period:  2005</v>
      </c>
      <c r="B7" s="114"/>
      <c r="D7" s="136"/>
      <c r="E7" s="114"/>
      <c r="G7" s="114"/>
      <c r="H7" s="514"/>
      <c r="I7" s="515"/>
    </row>
    <row r="8" spans="2:12" ht="12.75">
      <c r="B8" s="221"/>
      <c r="C8" s="229"/>
      <c r="D8" s="213"/>
      <c r="E8" s="136"/>
      <c r="F8" s="219"/>
      <c r="G8" s="182" t="s">
        <v>87</v>
      </c>
      <c r="H8" s="216"/>
      <c r="J8" s="47" t="s">
        <v>127</v>
      </c>
      <c r="K8" s="47"/>
      <c r="L8" s="47"/>
    </row>
    <row r="9" spans="1:8" ht="12.75">
      <c r="A9" s="210" t="s">
        <v>124</v>
      </c>
      <c r="B9" s="418">
        <f>REGINFO!B6</f>
        <v>365</v>
      </c>
      <c r="C9" s="230" t="s">
        <v>125</v>
      </c>
      <c r="D9" s="213"/>
      <c r="E9" s="136"/>
      <c r="F9" s="219"/>
      <c r="G9" s="182" t="s">
        <v>90</v>
      </c>
      <c r="H9" s="216"/>
    </row>
    <row r="10" spans="1:8" ht="12.75">
      <c r="A10" s="210" t="s">
        <v>254</v>
      </c>
      <c r="B10" s="418">
        <f>REGINFO!B7</f>
        <v>365</v>
      </c>
      <c r="C10" s="230" t="s">
        <v>125</v>
      </c>
      <c r="D10" s="213"/>
      <c r="E10" s="231"/>
      <c r="F10" s="219"/>
      <c r="G10" s="232" t="s">
        <v>88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30</v>
      </c>
      <c r="B14" s="120" t="s">
        <v>101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341</v>
      </c>
      <c r="B16" s="124">
        <v>1</v>
      </c>
      <c r="C16" s="258">
        <f>REGINFO!E54</f>
        <v>8637214.5504</v>
      </c>
      <c r="D16" s="17"/>
      <c r="E16" s="266">
        <f>G16-C16</f>
        <v>3933851.4496</v>
      </c>
      <c r="F16" s="3"/>
      <c r="G16" s="266">
        <f>TAXREC!E50</f>
        <v>12571066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206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60">
        <v>5584336</v>
      </c>
      <c r="D20" s="18"/>
      <c r="E20" s="266">
        <f>G20-C20</f>
        <v>409000</v>
      </c>
      <c r="F20" s="6"/>
      <c r="G20" s="266">
        <f>TAXREC!E61</f>
        <v>5993336</v>
      </c>
      <c r="H20" s="514"/>
    </row>
    <row r="21" spans="1:8" ht="12.75">
      <c r="A21" s="157" t="s">
        <v>56</v>
      </c>
      <c r="B21" s="126">
        <v>3</v>
      </c>
      <c r="C21" s="260">
        <v>0</v>
      </c>
      <c r="D21" s="18"/>
      <c r="E21" s="266">
        <f>G21-C21</f>
        <v>0</v>
      </c>
      <c r="F21" s="6"/>
      <c r="G21" s="266">
        <f>TAXREC!E62</f>
        <v>0</v>
      </c>
      <c r="H21" s="150"/>
    </row>
    <row r="22" spans="1:8" ht="12.75">
      <c r="A22" s="157" t="s">
        <v>262</v>
      </c>
      <c r="B22" s="126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0"/>
    </row>
    <row r="23" spans="1:8" ht="12.75">
      <c r="A23" s="157" t="s">
        <v>261</v>
      </c>
      <c r="B23" s="126">
        <v>4</v>
      </c>
      <c r="C23" s="260"/>
      <c r="D23" s="18"/>
      <c r="E23" s="266">
        <f>G23-C23</f>
        <v>2228002</v>
      </c>
      <c r="F23" s="6"/>
      <c r="G23" s="266">
        <f>TAXREC!E64</f>
        <v>2228002</v>
      </c>
      <c r="H23" s="514"/>
    </row>
    <row r="24" spans="1:8" ht="12.75">
      <c r="A24" s="157" t="s">
        <v>263</v>
      </c>
      <c r="B24" s="126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0"/>
    </row>
    <row r="25" spans="1:8" ht="12.75">
      <c r="A25" s="157" t="s">
        <v>53</v>
      </c>
      <c r="B25" s="126"/>
      <c r="C25" s="104" t="s">
        <v>101</v>
      </c>
      <c r="D25" s="18"/>
      <c r="E25" s="185"/>
      <c r="F25" s="33"/>
      <c r="G25" s="185"/>
      <c r="H25" s="150"/>
    </row>
    <row r="26" spans="1:8" ht="12.75">
      <c r="A26" s="157" t="s">
        <v>154</v>
      </c>
      <c r="B26" s="126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0"/>
    </row>
    <row r="27" spans="1:8" ht="12.75">
      <c r="A27" s="157" t="s">
        <v>157</v>
      </c>
      <c r="B27" s="126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0"/>
    </row>
    <row r="28" spans="1:8" ht="12.75">
      <c r="A28" s="157" t="s">
        <v>156</v>
      </c>
      <c r="B28" s="126">
        <v>6</v>
      </c>
      <c r="C28" s="260"/>
      <c r="D28" s="18"/>
      <c r="E28" s="266">
        <f>G28-C28</f>
        <v>138976</v>
      </c>
      <c r="F28" s="6"/>
      <c r="G28" s="266">
        <f>TAXREC!E67</f>
        <v>138976</v>
      </c>
      <c r="H28" s="150"/>
    </row>
    <row r="29" spans="1:8" ht="12.75">
      <c r="A29" s="157" t="s">
        <v>155</v>
      </c>
      <c r="B29" s="126">
        <v>6</v>
      </c>
      <c r="C29" s="260"/>
      <c r="D29" s="18"/>
      <c r="E29" s="266">
        <f>G29-C29</f>
        <v>37563</v>
      </c>
      <c r="F29" s="517"/>
      <c r="G29" s="266">
        <f>TAXREC!E68</f>
        <v>37563</v>
      </c>
      <c r="H29" s="150"/>
    </row>
    <row r="30" spans="1:8" ht="15.75">
      <c r="A30" s="472" t="s">
        <v>397</v>
      </c>
      <c r="B30" s="126"/>
      <c r="C30" s="258"/>
      <c r="D30" s="18"/>
      <c r="E30" s="266">
        <f>G30-C30</f>
        <v>0</v>
      </c>
      <c r="F30" s="6"/>
      <c r="G30" s="266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342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102</v>
      </c>
      <c r="B33" s="126">
        <v>7</v>
      </c>
      <c r="C33" s="260">
        <v>4772348</v>
      </c>
      <c r="D33" s="131"/>
      <c r="E33" s="266">
        <f aca="true" t="shared" si="0" ref="E33:E44">G33-C33</f>
        <v>1018868</v>
      </c>
      <c r="F33" s="6"/>
      <c r="G33" s="266">
        <f>TAXREC!E97+TAXREC!E98</f>
        <v>5791216</v>
      </c>
      <c r="H33" s="514"/>
    </row>
    <row r="34" spans="1:8" ht="12.75">
      <c r="A34" s="157" t="s">
        <v>57</v>
      </c>
      <c r="B34" s="126">
        <v>8</v>
      </c>
      <c r="C34" s="260">
        <v>0</v>
      </c>
      <c r="D34" s="131"/>
      <c r="E34" s="266">
        <f t="shared" si="0"/>
        <v>0</v>
      </c>
      <c r="F34" s="6"/>
      <c r="G34" s="266">
        <f>TAXREC!E99</f>
        <v>0</v>
      </c>
      <c r="H34" s="150"/>
    </row>
    <row r="35" spans="1:8" ht="12.75">
      <c r="A35" s="157" t="s">
        <v>45</v>
      </c>
      <c r="B35" s="126">
        <v>9</v>
      </c>
      <c r="C35" s="260"/>
      <c r="D35" s="131"/>
      <c r="E35" s="266">
        <f t="shared" si="0"/>
        <v>0</v>
      </c>
      <c r="F35" s="6"/>
      <c r="G35" s="266">
        <f>TAXREC!E100</f>
        <v>0</v>
      </c>
      <c r="H35" s="150"/>
    </row>
    <row r="36" spans="1:8" ht="12.75">
      <c r="A36" s="157" t="s">
        <v>264</v>
      </c>
      <c r="B36" s="126">
        <v>10</v>
      </c>
      <c r="C36" s="260"/>
      <c r="D36" s="131"/>
      <c r="E36" s="266">
        <f t="shared" si="0"/>
        <v>0</v>
      </c>
      <c r="F36" s="6"/>
      <c r="G36" s="266">
        <f>TAXREC!E102+TAXREC!E103</f>
        <v>0</v>
      </c>
      <c r="H36" s="514"/>
    </row>
    <row r="37" spans="1:8" ht="12.75">
      <c r="A37" s="154" t="s">
        <v>86</v>
      </c>
      <c r="B37" s="124">
        <v>11</v>
      </c>
      <c r="C37" s="259">
        <f>REGINFO!D70</f>
        <v>3471199.0799999996</v>
      </c>
      <c r="D37" s="131"/>
      <c r="E37" s="266">
        <f t="shared" si="0"/>
        <v>-13389.079999999609</v>
      </c>
      <c r="F37" s="6"/>
      <c r="G37" s="266">
        <f>TAXREC!E51</f>
        <v>3457810</v>
      </c>
      <c r="H37" s="150"/>
    </row>
    <row r="38" spans="1:8" ht="12.75">
      <c r="A38" s="154" t="s">
        <v>260</v>
      </c>
      <c r="B38" s="124">
        <v>4</v>
      </c>
      <c r="C38" s="260"/>
      <c r="D38" s="131"/>
      <c r="E38" s="266">
        <f t="shared" si="0"/>
        <v>0</v>
      </c>
      <c r="F38" s="6"/>
      <c r="G38" s="266">
        <f>TAXREC!E104</f>
        <v>0</v>
      </c>
      <c r="H38" s="150"/>
    </row>
    <row r="39" spans="1:8" ht="12.75">
      <c r="A39" s="154" t="s">
        <v>259</v>
      </c>
      <c r="B39" s="124">
        <v>4</v>
      </c>
      <c r="C39" s="260"/>
      <c r="D39" s="131"/>
      <c r="E39" s="266">
        <f t="shared" si="0"/>
        <v>2149397</v>
      </c>
      <c r="F39" s="6"/>
      <c r="G39" s="266">
        <f>TAXREC!E105</f>
        <v>2149397</v>
      </c>
      <c r="H39" s="514"/>
    </row>
    <row r="40" spans="1:8" ht="12.75">
      <c r="A40" s="154" t="s">
        <v>12</v>
      </c>
      <c r="B40" s="124">
        <v>3</v>
      </c>
      <c r="C40" s="260"/>
      <c r="D40" s="131"/>
      <c r="E40" s="266">
        <f t="shared" si="0"/>
        <v>0</v>
      </c>
      <c r="F40" s="6"/>
      <c r="G40" s="266">
        <f>TAXREC!E106</f>
        <v>0</v>
      </c>
      <c r="H40" s="150"/>
    </row>
    <row r="41" spans="1:8" ht="12.75">
      <c r="A41" s="154" t="s">
        <v>13</v>
      </c>
      <c r="B41" s="124">
        <v>3</v>
      </c>
      <c r="C41" s="260"/>
      <c r="D41" s="131"/>
      <c r="E41" s="266">
        <f t="shared" si="0"/>
        <v>0</v>
      </c>
      <c r="F41" s="6"/>
      <c r="G41" s="266">
        <f>TAXREC!E107</f>
        <v>0</v>
      </c>
      <c r="H41" s="150"/>
    </row>
    <row r="42" spans="1:8" ht="12.75">
      <c r="A42" s="154" t="s">
        <v>182</v>
      </c>
      <c r="B42" s="124">
        <v>11</v>
      </c>
      <c r="C42" s="260"/>
      <c r="D42" s="131"/>
      <c r="E42" s="266">
        <f t="shared" si="0"/>
        <v>0</v>
      </c>
      <c r="F42" s="6"/>
      <c r="G42" s="266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512</v>
      </c>
      <c r="B44" s="126"/>
      <c r="C44" s="260">
        <v>132096</v>
      </c>
      <c r="D44" s="131"/>
      <c r="E44" s="266">
        <f t="shared" si="0"/>
        <v>-132096</v>
      </c>
      <c r="F44" s="6"/>
      <c r="G44" s="266">
        <v>0</v>
      </c>
      <c r="H44" s="150"/>
    </row>
    <row r="45" spans="1:8" ht="12.75">
      <c r="A45" s="157" t="s">
        <v>154</v>
      </c>
      <c r="B45" s="126">
        <v>12</v>
      </c>
      <c r="C45" s="260"/>
      <c r="D45" s="131"/>
      <c r="E45" s="266">
        <f>G45-C45</f>
        <v>0</v>
      </c>
      <c r="F45" s="6"/>
      <c r="G45" s="250">
        <f>TAXREC!E130</f>
        <v>0</v>
      </c>
      <c r="H45" s="150"/>
    </row>
    <row r="46" spans="1:8" ht="12.75">
      <c r="A46" s="157" t="s">
        <v>151</v>
      </c>
      <c r="B46" s="126">
        <v>12</v>
      </c>
      <c r="C46" s="260"/>
      <c r="D46" s="131"/>
      <c r="E46" s="266">
        <f>G46-C46</f>
        <v>23368</v>
      </c>
      <c r="F46" s="517"/>
      <c r="G46" s="250">
        <f>TAXREC!E131</f>
        <v>23368</v>
      </c>
      <c r="H46" s="150"/>
    </row>
    <row r="47" spans="1:8" ht="12.75">
      <c r="A47" s="157" t="s">
        <v>153</v>
      </c>
      <c r="B47" s="126">
        <v>12</v>
      </c>
      <c r="C47" s="260"/>
      <c r="D47" s="131"/>
      <c r="E47" s="266">
        <f>G47-C47</f>
        <v>0</v>
      </c>
      <c r="F47" s="517"/>
      <c r="G47" s="250">
        <f>TAXREC!E110</f>
        <v>0</v>
      </c>
      <c r="H47" s="150"/>
    </row>
    <row r="48" spans="1:8" ht="12.75">
      <c r="A48" s="157" t="s">
        <v>152</v>
      </c>
      <c r="B48" s="126">
        <v>12</v>
      </c>
      <c r="C48" s="260"/>
      <c r="D48" s="131"/>
      <c r="E48" s="266">
        <f>G48-C48</f>
        <v>123120</v>
      </c>
      <c r="F48" s="517"/>
      <c r="G48" s="250">
        <f>TAXREC!E111</f>
        <v>123120</v>
      </c>
      <c r="H48" s="150"/>
    </row>
    <row r="49" spans="1:8" ht="15.75">
      <c r="A49" s="472" t="s">
        <v>397</v>
      </c>
      <c r="B49" s="126"/>
      <c r="C49" s="258"/>
      <c r="D49" s="131"/>
      <c r="E49" s="266">
        <f>G49-C49</f>
        <v>3353578</v>
      </c>
      <c r="F49" s="6"/>
      <c r="G49" s="250">
        <f>TAXREC!E108</f>
        <v>3353578</v>
      </c>
      <c r="H49" s="150"/>
    </row>
    <row r="50" spans="1:8" ht="12.75">
      <c r="A50" s="157"/>
      <c r="B50" s="126"/>
      <c r="C50" s="104"/>
      <c r="D50" s="131"/>
      <c r="E50" s="138"/>
      <c r="F50" s="6"/>
      <c r="G50" s="138"/>
      <c r="H50" s="150"/>
    </row>
    <row r="51" spans="1:8" ht="12.75">
      <c r="A51" s="151" t="s">
        <v>328</v>
      </c>
      <c r="B51" s="124"/>
      <c r="C51" s="262">
        <f>C16+SUM(C20:C30)-SUM(C33:C49)</f>
        <v>5845907.4704</v>
      </c>
      <c r="D51" s="102"/>
      <c r="E51" s="262">
        <f>E16+SUM(E20:E30)-SUM(E33:E49)</f>
        <v>224546.5296</v>
      </c>
      <c r="F51" s="420" t="s">
        <v>369</v>
      </c>
      <c r="G51" s="262">
        <f>G16+SUM(G20:G30)-SUM(G33:G49)</f>
        <v>6070454</v>
      </c>
      <c r="H51" s="159"/>
    </row>
    <row r="52" spans="1:9" ht="12.75">
      <c r="A52" s="158"/>
      <c r="B52" s="124"/>
      <c r="C52" s="106"/>
      <c r="D52" s="131"/>
      <c r="E52" s="106"/>
      <c r="F52" s="6"/>
      <c r="G52" s="106"/>
      <c r="H52" s="150"/>
      <c r="I52" s="115"/>
    </row>
    <row r="53" spans="1:8" ht="12.75">
      <c r="A53" s="157" t="s">
        <v>336</v>
      </c>
      <c r="B53" s="126"/>
      <c r="C53" s="107"/>
      <c r="D53" s="131"/>
      <c r="E53" s="138"/>
      <c r="F53" s="6"/>
      <c r="G53" s="138"/>
      <c r="H53" s="150"/>
    </row>
    <row r="54" spans="1:9" ht="12.75">
      <c r="A54" s="157" t="s">
        <v>340</v>
      </c>
      <c r="B54" s="126">
        <v>13</v>
      </c>
      <c r="C54" s="261">
        <f>IF($C$51&gt;'Tax Rates'!$E$11,'Tax Rates'!$F$16,IF($C$51&gt;'Tax Rates'!$C$11,'Tax Rates'!$E$16,'Tax Rates'!$C$16))</f>
        <v>0.3612</v>
      </c>
      <c r="D54" s="519"/>
      <c r="E54" s="267">
        <f>+G54-C54</f>
        <v>0</v>
      </c>
      <c r="F54" s="113"/>
      <c r="G54" s="462">
        <f>'Tax Rates'!F52</f>
        <v>0.3612</v>
      </c>
      <c r="H54" s="150"/>
      <c r="I54" s="510" t="s">
        <v>475</v>
      </c>
    </row>
    <row r="55" spans="1:8" ht="12.75">
      <c r="A55" s="157"/>
      <c r="B55" s="126"/>
      <c r="C55" s="104"/>
      <c r="D55" s="131"/>
      <c r="E55" s="138"/>
      <c r="F55" s="6"/>
      <c r="G55" s="138"/>
      <c r="H55" s="150"/>
    </row>
    <row r="56" spans="1:8" ht="12.75">
      <c r="A56" s="157" t="s">
        <v>28</v>
      </c>
      <c r="B56" s="126"/>
      <c r="C56" s="263">
        <f>IF(C51&gt;0,C51*C54,0)</f>
        <v>2111541.77830848</v>
      </c>
      <c r="D56" s="102"/>
      <c r="E56" s="266">
        <f>G56-C56</f>
        <v>70435.22169151995</v>
      </c>
      <c r="F56" s="420" t="s">
        <v>370</v>
      </c>
      <c r="G56" s="263">
        <f>TAXREC!E144</f>
        <v>2181977</v>
      </c>
      <c r="H56" s="160"/>
    </row>
    <row r="57" spans="1:8" ht="12.75">
      <c r="A57" s="157"/>
      <c r="B57" s="126"/>
      <c r="C57" s="104"/>
      <c r="D57" s="131"/>
      <c r="E57" s="138"/>
      <c r="F57" s="113"/>
      <c r="G57" s="138"/>
      <c r="H57" s="150"/>
    </row>
    <row r="58" spans="1:8" ht="12.75">
      <c r="A58" s="157"/>
      <c r="B58" s="126"/>
      <c r="C58" s="104"/>
      <c r="D58" s="131"/>
      <c r="E58" s="138"/>
      <c r="F58" s="6"/>
      <c r="G58" s="138"/>
      <c r="H58" s="150"/>
    </row>
    <row r="59" spans="1:8" ht="12.75">
      <c r="A59" s="157" t="s">
        <v>36</v>
      </c>
      <c r="B59" s="126">
        <v>14</v>
      </c>
      <c r="C59" s="264"/>
      <c r="D59" s="131"/>
      <c r="E59" s="266">
        <f>+G59-C59</f>
        <v>41484</v>
      </c>
      <c r="F59" s="420" t="s">
        <v>370</v>
      </c>
      <c r="G59" s="269">
        <f>TAXREC!E145</f>
        <v>41484</v>
      </c>
      <c r="H59" s="150"/>
    </row>
    <row r="60" spans="1:8" ht="13.5" thickBot="1">
      <c r="A60" s="157"/>
      <c r="B60" s="126"/>
      <c r="C60" s="104"/>
      <c r="D60" s="18"/>
      <c r="E60" s="138"/>
      <c r="F60" s="6"/>
      <c r="G60" s="138"/>
      <c r="H60" s="150"/>
    </row>
    <row r="61" spans="1:8" ht="13.5" thickBot="1">
      <c r="A61" s="149" t="s">
        <v>37</v>
      </c>
      <c r="B61" s="133"/>
      <c r="C61" s="265">
        <f>+C56-C59</f>
        <v>2111541.77830848</v>
      </c>
      <c r="D61" s="132"/>
      <c r="E61" s="268">
        <f>+E56-E59</f>
        <v>28951.221691519953</v>
      </c>
      <c r="F61" s="420" t="s">
        <v>370</v>
      </c>
      <c r="G61" s="268">
        <f>+G56-G59</f>
        <v>2140493</v>
      </c>
      <c r="H61" s="134"/>
    </row>
    <row r="62" spans="1:8" ht="12.75">
      <c r="A62" s="157"/>
      <c r="B62" s="126"/>
      <c r="C62" s="104"/>
      <c r="D62" s="18"/>
      <c r="E62" s="138"/>
      <c r="F62" s="6"/>
      <c r="G62" s="138"/>
      <c r="H62" s="150"/>
    </row>
    <row r="63" spans="1:8" ht="12.75">
      <c r="A63" s="157"/>
      <c r="B63" s="122"/>
      <c r="C63" s="104"/>
      <c r="D63" s="18"/>
      <c r="E63" s="138"/>
      <c r="F63" s="6"/>
      <c r="G63" s="138"/>
      <c r="H63" s="150"/>
    </row>
    <row r="64" spans="1:8" ht="12.75">
      <c r="A64" s="153" t="s">
        <v>31</v>
      </c>
      <c r="B64" s="127"/>
      <c r="C64" s="104"/>
      <c r="D64" s="18"/>
      <c r="E64" s="138"/>
      <c r="F64" s="6"/>
      <c r="G64" s="138"/>
      <c r="H64" s="150"/>
    </row>
    <row r="65" spans="1:8" ht="12.75">
      <c r="A65" s="157"/>
      <c r="B65" s="126"/>
      <c r="C65" s="104"/>
      <c r="D65" s="18"/>
      <c r="E65" s="138"/>
      <c r="F65" s="6"/>
      <c r="G65" s="138"/>
      <c r="H65" s="150"/>
    </row>
    <row r="66" spans="1:8" ht="12.75">
      <c r="A66" s="155" t="s">
        <v>29</v>
      </c>
      <c r="B66" s="125"/>
      <c r="C66" s="104"/>
      <c r="D66" s="18"/>
      <c r="E66" s="138"/>
      <c r="F66" s="6"/>
      <c r="G66" s="138"/>
      <c r="H66" s="150"/>
    </row>
    <row r="67" spans="1:11" ht="12.75">
      <c r="A67" s="151" t="s">
        <v>17</v>
      </c>
      <c r="B67" s="124">
        <v>15</v>
      </c>
      <c r="C67" s="263">
        <f>Ratebase</f>
        <v>95757216</v>
      </c>
      <c r="D67" s="102"/>
      <c r="E67" s="266">
        <f>G67-C67</f>
        <v>22082559</v>
      </c>
      <c r="F67" s="517"/>
      <c r="G67" s="464">
        <v>117839775</v>
      </c>
      <c r="H67" s="150"/>
      <c r="I67" s="465" t="s">
        <v>476</v>
      </c>
      <c r="J67" s="524" t="s">
        <v>521</v>
      </c>
      <c r="K67" s="523"/>
    </row>
    <row r="68" spans="1:10" ht="12.75">
      <c r="A68" s="151" t="s">
        <v>362</v>
      </c>
      <c r="B68" s="124">
        <v>16</v>
      </c>
      <c r="C68" s="259">
        <f>IF(C67&gt;0,'Tax Rates'!C21,0)</f>
        <v>7500000</v>
      </c>
      <c r="D68" s="102"/>
      <c r="E68" s="266">
        <f>G68-C68</f>
        <v>-287413</v>
      </c>
      <c r="F68" s="517"/>
      <c r="G68" s="464">
        <v>7212587</v>
      </c>
      <c r="H68" s="150"/>
      <c r="I68" s="465" t="s">
        <v>476</v>
      </c>
      <c r="J68" s="466" t="s">
        <v>477</v>
      </c>
    </row>
    <row r="69" spans="1:8" ht="12.75">
      <c r="A69" s="151" t="s">
        <v>42</v>
      </c>
      <c r="B69" s="124"/>
      <c r="C69" s="263">
        <f>IF((C67-C68)&gt;0,C67-C68,0)</f>
        <v>88257216</v>
      </c>
      <c r="D69" s="102"/>
      <c r="E69" s="266">
        <f>SUM(E67:E68)</f>
        <v>21795146</v>
      </c>
      <c r="F69" s="113"/>
      <c r="G69" s="263">
        <f>G67-G68</f>
        <v>110627188</v>
      </c>
      <c r="H69" s="159"/>
    </row>
    <row r="70" spans="1:8" ht="12.75">
      <c r="A70" s="151"/>
      <c r="B70" s="124"/>
      <c r="C70" s="109"/>
      <c r="D70" s="18"/>
      <c r="E70" s="138"/>
      <c r="F70" s="6"/>
      <c r="G70" s="138"/>
      <c r="H70" s="150"/>
    </row>
    <row r="71" spans="1:8" ht="12.75">
      <c r="A71" s="151" t="s">
        <v>363</v>
      </c>
      <c r="B71" s="124">
        <v>17</v>
      </c>
      <c r="C71" s="300">
        <f>'Tax Rates'!C18</f>
        <v>0.003</v>
      </c>
      <c r="D71" s="102"/>
      <c r="E71" s="267">
        <f>+G71-C71</f>
        <v>0</v>
      </c>
      <c r="F71" s="6"/>
      <c r="G71" s="300">
        <v>0.003</v>
      </c>
      <c r="H71" s="150"/>
    </row>
    <row r="72" spans="1:8" ht="12.75">
      <c r="A72" s="151"/>
      <c r="B72" s="124"/>
      <c r="C72" s="184"/>
      <c r="D72" s="18"/>
      <c r="E72" s="139"/>
      <c r="F72" s="6"/>
      <c r="G72" s="184"/>
      <c r="H72" s="150"/>
    </row>
    <row r="73" spans="1:8" ht="12.75">
      <c r="A73" s="151" t="s">
        <v>315</v>
      </c>
      <c r="B73" s="124"/>
      <c r="C73" s="263">
        <f>IF(C69&gt;0,C69*C71,0)*REGINFO!$B$6/REGINFO!$B$7</f>
        <v>264771.648</v>
      </c>
      <c r="D73" s="101"/>
      <c r="E73" s="266">
        <f>+G73-C73</f>
        <v>67109.91600000003</v>
      </c>
      <c r="F73" s="467" t="s">
        <v>478</v>
      </c>
      <c r="G73" s="263">
        <f>IF(G69&gt;0,G69*G71,0)*REGINFO!$B$6/REGINFO!$B$7</f>
        <v>331881.564</v>
      </c>
      <c r="H73" s="529"/>
    </row>
    <row r="74" spans="1:8" ht="12.75">
      <c r="A74" s="149"/>
      <c r="B74" s="128"/>
      <c r="C74" s="109"/>
      <c r="D74" s="135"/>
      <c r="E74" s="138"/>
      <c r="F74" s="6"/>
      <c r="G74" s="138"/>
      <c r="H74" s="150"/>
    </row>
    <row r="75" spans="1:8" ht="12.75">
      <c r="A75" s="155" t="s">
        <v>216</v>
      </c>
      <c r="B75" s="125"/>
      <c r="C75" s="109"/>
      <c r="D75" s="18"/>
      <c r="E75" s="138"/>
      <c r="F75" s="6"/>
      <c r="G75" s="138"/>
      <c r="H75" s="150"/>
    </row>
    <row r="76" spans="1:9" ht="12.75">
      <c r="A76" s="151" t="s">
        <v>17</v>
      </c>
      <c r="B76" s="124">
        <v>18</v>
      </c>
      <c r="C76" s="263">
        <f>Ratebase</f>
        <v>95757216</v>
      </c>
      <c r="D76" s="102"/>
      <c r="E76" s="266">
        <f>+G76-C76</f>
        <v>14271971</v>
      </c>
      <c r="F76" s="517"/>
      <c r="G76" s="464">
        <f>65314272+44714915</f>
        <v>110029187</v>
      </c>
      <c r="H76" s="150"/>
      <c r="I76" s="465" t="s">
        <v>476</v>
      </c>
    </row>
    <row r="77" spans="1:9" ht="12.75">
      <c r="A77" s="151" t="s">
        <v>362</v>
      </c>
      <c r="B77" s="124">
        <v>19</v>
      </c>
      <c r="C77" s="259">
        <f>IF(C76&gt;0,'Tax Rates'!C22,0)</f>
        <v>50000000</v>
      </c>
      <c r="D77" s="18"/>
      <c r="E77" s="266">
        <f>+G77-C77</f>
        <v>-5285085</v>
      </c>
      <c r="F77" s="517"/>
      <c r="G77" s="464">
        <v>44714915</v>
      </c>
      <c r="H77" s="150"/>
      <c r="I77" s="465" t="s">
        <v>476</v>
      </c>
    </row>
    <row r="78" spans="1:8" ht="12.75">
      <c r="A78" s="151" t="s">
        <v>42</v>
      </c>
      <c r="B78" s="124"/>
      <c r="C78" s="263">
        <f>IF((C76-C77)&gt;0,C76-C77,0)</f>
        <v>45757216</v>
      </c>
      <c r="D78" s="19"/>
      <c r="E78" s="266">
        <f>SUM(E76:E77)</f>
        <v>8986886</v>
      </c>
      <c r="F78" s="522"/>
      <c r="G78" s="263">
        <f>G76-G77</f>
        <v>65314272</v>
      </c>
      <c r="H78" s="159"/>
    </row>
    <row r="79" spans="1:8" ht="12.75">
      <c r="A79" s="151"/>
      <c r="B79" s="124"/>
      <c r="C79" s="109"/>
      <c r="D79" s="18"/>
      <c r="E79" s="138"/>
      <c r="F79" s="517"/>
      <c r="G79" s="138"/>
      <c r="H79" s="150"/>
    </row>
    <row r="80" spans="1:8" ht="12.75">
      <c r="A80" s="151" t="s">
        <v>363</v>
      </c>
      <c r="B80" s="124">
        <v>20</v>
      </c>
      <c r="C80" s="300">
        <f>'Tax Rates'!C19</f>
        <v>0.00175</v>
      </c>
      <c r="D80" s="102"/>
      <c r="E80" s="267">
        <f>G80-C80</f>
        <v>0</v>
      </c>
      <c r="F80" s="517"/>
      <c r="G80" s="267">
        <f>'Tax Rates'!C55</f>
        <v>0.00175</v>
      </c>
      <c r="H80" s="150"/>
    </row>
    <row r="81" spans="1:8" ht="12.75">
      <c r="A81" s="151"/>
      <c r="B81" s="124"/>
      <c r="C81" s="109"/>
      <c r="D81" s="18"/>
      <c r="E81" s="138"/>
      <c r="F81" s="517"/>
      <c r="G81" s="138"/>
      <c r="H81" s="150"/>
    </row>
    <row r="82" spans="1:8" ht="12.75">
      <c r="A82" s="151" t="s">
        <v>316</v>
      </c>
      <c r="B82" s="124"/>
      <c r="C82" s="263">
        <f>IF(C78&gt;0,C78*C80,0)*REGINFO!$B$6/REGINFO!$B$7</f>
        <v>80075.128</v>
      </c>
      <c r="D82" s="102"/>
      <c r="E82" s="266">
        <f>+G82-C82</f>
        <v>34224.84799999998</v>
      </c>
      <c r="G82" s="263">
        <f>G78*G80*B9/B10</f>
        <v>114299.97599999998</v>
      </c>
      <c r="H82" s="150"/>
    </row>
    <row r="83" spans="1:9" ht="12.75">
      <c r="A83" s="151" t="s">
        <v>317</v>
      </c>
      <c r="B83" s="124">
        <v>21</v>
      </c>
      <c r="C83" s="299">
        <f>IF(C78&gt;0,IF(C61&gt;0,C51*'Tax Rates'!C20,0),0)</f>
        <v>65474.163668479996</v>
      </c>
      <c r="D83" s="102"/>
      <c r="E83" s="266">
        <f>+G83-C83</f>
        <v>2514.921131520001</v>
      </c>
      <c r="F83" s="517"/>
      <c r="G83" s="299">
        <f>IF(G78&gt;0,IF(G61&gt;0,G51*'Tax Rates'!C20,0),0)</f>
        <v>67989.0848</v>
      </c>
      <c r="H83" s="150"/>
      <c r="I83" t="s">
        <v>493</v>
      </c>
    </row>
    <row r="84" spans="1:8" ht="12.75">
      <c r="A84" s="151"/>
      <c r="B84" s="124"/>
      <c r="C84" s="109"/>
      <c r="D84" s="18"/>
      <c r="E84" s="138"/>
      <c r="F84" s="6"/>
      <c r="G84" s="138"/>
      <c r="H84" s="150"/>
    </row>
    <row r="85" spans="1:12" ht="12.75">
      <c r="A85" s="151" t="s">
        <v>32</v>
      </c>
      <c r="B85" s="124"/>
      <c r="C85" s="263">
        <f>C82-C83</f>
        <v>14600.964331520001</v>
      </c>
      <c r="D85" s="16"/>
      <c r="E85" s="266">
        <f>E82-E83</f>
        <v>31709.926868479983</v>
      </c>
      <c r="F85" s="517"/>
      <c r="G85" s="263">
        <f>G82-G83</f>
        <v>46310.891199999984</v>
      </c>
      <c r="H85" s="160"/>
      <c r="I85" s="22">
        <f>G83-297016</f>
        <v>-229026.9152</v>
      </c>
      <c r="L85" s="22"/>
    </row>
    <row r="86" spans="1:8" ht="12.75">
      <c r="A86" s="151"/>
      <c r="B86" s="124"/>
      <c r="C86" s="104"/>
      <c r="D86" s="11"/>
      <c r="E86" s="140"/>
      <c r="F86" s="6"/>
      <c r="G86" s="140"/>
      <c r="H86" s="162"/>
    </row>
    <row r="87" spans="1:9" ht="12.75">
      <c r="A87" s="153" t="s">
        <v>117</v>
      </c>
      <c r="B87" s="127"/>
      <c r="C87" s="104"/>
      <c r="D87" s="11"/>
      <c r="E87" s="114"/>
      <c r="F87" s="3"/>
      <c r="G87" s="122"/>
      <c r="H87" s="150"/>
      <c r="I87" s="22"/>
    </row>
    <row r="88" spans="1:8" ht="12.75">
      <c r="A88" s="153"/>
      <c r="B88" s="127"/>
      <c r="C88" s="104"/>
      <c r="D88" s="11"/>
      <c r="E88" s="113"/>
      <c r="F88" s="6"/>
      <c r="G88" s="197"/>
      <c r="H88" s="150"/>
    </row>
    <row r="89" spans="1:9" ht="12.75">
      <c r="A89" s="151" t="s">
        <v>225</v>
      </c>
      <c r="B89" s="124"/>
      <c r="C89" s="261">
        <f>IF($C$51&gt;'Tax Rates'!$E$11,'Tax Rates'!$F$16,IF(AND($C$51&gt;='Tax Rates'!$C$11,$C$51&lt;='Tax Rates'!E11),'Tax Rates'!$E$16,'Tax Rates'!$C$16))</f>
        <v>0.3612</v>
      </c>
      <c r="D89" s="11"/>
      <c r="E89" s="511"/>
      <c r="F89" s="6"/>
      <c r="G89" s="197"/>
      <c r="H89" s="150"/>
      <c r="I89" s="507"/>
    </row>
    <row r="90" spans="1:8" ht="12.75">
      <c r="A90" s="149"/>
      <c r="B90" s="128"/>
      <c r="C90" s="109"/>
      <c r="D90" s="11"/>
      <c r="E90" s="113"/>
      <c r="F90" s="6"/>
      <c r="G90" s="197"/>
      <c r="H90" s="150"/>
    </row>
    <row r="91" spans="1:9" ht="12.75">
      <c r="A91" s="157" t="s">
        <v>371</v>
      </c>
      <c r="B91" s="126">
        <v>22</v>
      </c>
      <c r="C91" s="263">
        <f>C61/(1-C89)</f>
        <v>3305481.8069951157</v>
      </c>
      <c r="D91" s="20"/>
      <c r="E91" s="138"/>
      <c r="F91" s="419" t="s">
        <v>499</v>
      </c>
      <c r="G91" s="269">
        <f>TAXREC!E156</f>
        <v>2140493</v>
      </c>
      <c r="H91" s="150"/>
      <c r="I91" s="515" t="s">
        <v>518</v>
      </c>
    </row>
    <row r="92" spans="1:8" ht="12.75">
      <c r="A92" s="157" t="s">
        <v>372</v>
      </c>
      <c r="B92" s="126">
        <v>23</v>
      </c>
      <c r="C92" s="263">
        <f>C85/(1-C89)</f>
        <v>22856.863386850346</v>
      </c>
      <c r="D92" s="20"/>
      <c r="E92" s="512"/>
      <c r="F92" s="419" t="s">
        <v>499</v>
      </c>
      <c r="G92" s="269">
        <f>TAXREC!E158</f>
        <v>46310</v>
      </c>
      <c r="H92" s="530"/>
    </row>
    <row r="93" spans="1:10" ht="12.75">
      <c r="A93" s="157" t="s">
        <v>350</v>
      </c>
      <c r="B93" s="126">
        <v>24</v>
      </c>
      <c r="C93" s="263">
        <f>C73</f>
        <v>264771.648</v>
      </c>
      <c r="D93" s="20"/>
      <c r="E93" s="512"/>
      <c r="F93" s="419" t="s">
        <v>499</v>
      </c>
      <c r="G93" s="269">
        <f>TAXREC!E157</f>
        <v>331882</v>
      </c>
      <c r="H93" s="527"/>
      <c r="I93" s="528"/>
      <c r="J93" s="34"/>
    </row>
    <row r="94" spans="1:8" ht="12.75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7"/>
      <c r="B95" s="126"/>
      <c r="C95" s="109"/>
      <c r="D95" s="11"/>
      <c r="E95" s="138"/>
      <c r="F95" s="6"/>
      <c r="G95" s="138"/>
      <c r="H95" s="150"/>
    </row>
    <row r="96" spans="1:9" ht="13.5" thickBot="1">
      <c r="A96" s="155" t="s">
        <v>484</v>
      </c>
      <c r="B96" s="124">
        <v>25</v>
      </c>
      <c r="C96" s="268">
        <f>SUM(C91:C94)</f>
        <v>3593110.318381966</v>
      </c>
      <c r="D96" s="6"/>
      <c r="E96" s="512"/>
      <c r="F96" s="419" t="s">
        <v>499</v>
      </c>
      <c r="G96" s="405">
        <f>SUM(G91:G95)</f>
        <v>2518685</v>
      </c>
      <c r="H96" s="163"/>
      <c r="I96" s="22"/>
    </row>
    <row r="97" spans="1:8" ht="12.75">
      <c r="A97" s="398" t="s">
        <v>306</v>
      </c>
      <c r="B97" s="124"/>
      <c r="C97" s="104"/>
      <c r="D97" s="6"/>
      <c r="E97" s="108"/>
      <c r="F97" s="6"/>
      <c r="G97" s="138"/>
      <c r="H97" s="163"/>
    </row>
    <row r="98" spans="1:8" ht="13.5" thickBot="1">
      <c r="A98" s="151"/>
      <c r="B98" s="124"/>
      <c r="C98" s="104"/>
      <c r="D98" s="6"/>
      <c r="E98" s="108"/>
      <c r="F98" s="6"/>
      <c r="G98" s="138"/>
      <c r="H98" s="181"/>
    </row>
    <row r="99" spans="1:8" ht="13.5" thickTop="1">
      <c r="A99" s="164"/>
      <c r="B99" s="123"/>
      <c r="C99" s="110"/>
      <c r="D99" s="7"/>
      <c r="E99" s="141"/>
      <c r="F99" s="7"/>
      <c r="G99" s="198"/>
      <c r="H99" s="163"/>
    </row>
    <row r="100" spans="1:8" ht="12.75">
      <c r="A100" s="155" t="s">
        <v>303</v>
      </c>
      <c r="B100" s="122"/>
      <c r="C100" s="111"/>
      <c r="D100" s="3"/>
      <c r="E100" s="111"/>
      <c r="F100" s="3"/>
      <c r="G100" s="199"/>
      <c r="H100" s="163"/>
    </row>
    <row r="101" spans="1:8" ht="15">
      <c r="A101" s="165" t="s">
        <v>245</v>
      </c>
      <c r="B101" s="122"/>
      <c r="C101" s="111"/>
      <c r="D101" s="3"/>
      <c r="E101" s="142" t="s">
        <v>247</v>
      </c>
      <c r="F101" s="37"/>
      <c r="G101" s="199"/>
      <c r="H101" s="163"/>
    </row>
    <row r="102" spans="1:8" ht="12.75">
      <c r="A102" s="155" t="s">
        <v>348</v>
      </c>
      <c r="B102" s="122"/>
      <c r="C102" s="111"/>
      <c r="D102" s="3"/>
      <c r="E102" s="111"/>
      <c r="F102" s="37"/>
      <c r="G102" s="199"/>
      <c r="H102" s="163"/>
    </row>
    <row r="103" spans="1:8" ht="12.75">
      <c r="A103" s="157" t="s">
        <v>56</v>
      </c>
      <c r="B103" s="126">
        <v>3</v>
      </c>
      <c r="C103" s="111"/>
      <c r="D103" s="3"/>
      <c r="E103" s="250">
        <f>E21</f>
        <v>0</v>
      </c>
      <c r="F103" s="37"/>
      <c r="G103" s="200"/>
      <c r="H103" s="163"/>
    </row>
    <row r="104" spans="1:8" ht="12.75">
      <c r="A104" s="157" t="s">
        <v>10</v>
      </c>
      <c r="B104" s="126">
        <v>4</v>
      </c>
      <c r="C104" s="111"/>
      <c r="D104" s="3"/>
      <c r="E104" s="250">
        <f>E22</f>
        <v>0</v>
      </c>
      <c r="F104" s="37"/>
      <c r="G104" s="200"/>
      <c r="H104" s="163"/>
    </row>
    <row r="105" spans="1:8" ht="12.75">
      <c r="A105" s="157" t="s">
        <v>99</v>
      </c>
      <c r="B105" s="126">
        <v>4</v>
      </c>
      <c r="C105" s="111"/>
      <c r="D105" s="3"/>
      <c r="E105" s="250">
        <f>E23</f>
        <v>2228002</v>
      </c>
      <c r="F105" s="514"/>
      <c r="G105" s="200"/>
      <c r="H105" s="163"/>
    </row>
    <row r="106" spans="1:8" ht="12.75">
      <c r="A106" s="157" t="s">
        <v>44</v>
      </c>
      <c r="B106" s="126">
        <v>5</v>
      </c>
      <c r="C106" s="111"/>
      <c r="D106" s="3"/>
      <c r="E106" s="250">
        <f>E24</f>
        <v>0</v>
      </c>
      <c r="F106" s="37"/>
      <c r="G106" s="200"/>
      <c r="H106" s="163"/>
    </row>
    <row r="107" spans="1:8" ht="12.75">
      <c r="A107" s="157" t="s">
        <v>365</v>
      </c>
      <c r="B107" s="126">
        <v>6</v>
      </c>
      <c r="C107" s="111"/>
      <c r="D107" s="3"/>
      <c r="E107" s="250">
        <f>E26</f>
        <v>0</v>
      </c>
      <c r="F107" s="37"/>
      <c r="G107" s="200"/>
      <c r="H107" s="163"/>
    </row>
    <row r="108" spans="1:8" ht="12.75">
      <c r="A108" s="157" t="s">
        <v>366</v>
      </c>
      <c r="B108" s="126">
        <v>6</v>
      </c>
      <c r="C108" s="111"/>
      <c r="D108" s="3"/>
      <c r="E108" s="250">
        <f>E28</f>
        <v>138976</v>
      </c>
      <c r="F108" s="37"/>
      <c r="G108" s="200"/>
      <c r="H108" s="163"/>
    </row>
    <row r="109" spans="1:8" ht="12.75">
      <c r="A109" s="155" t="s">
        <v>364</v>
      </c>
      <c r="B109" s="126"/>
      <c r="C109" s="111"/>
      <c r="D109" s="3"/>
      <c r="E109" s="30"/>
      <c r="F109" s="37"/>
      <c r="G109" s="200"/>
      <c r="H109" s="163"/>
    </row>
    <row r="110" spans="1:8" ht="12.75">
      <c r="A110" s="157" t="s">
        <v>57</v>
      </c>
      <c r="B110" s="126">
        <v>8</v>
      </c>
      <c r="C110" s="111"/>
      <c r="D110" s="3"/>
      <c r="E110" s="250">
        <f>E34</f>
        <v>0</v>
      </c>
      <c r="F110" s="37"/>
      <c r="G110" s="200"/>
      <c r="H110" s="163"/>
    </row>
    <row r="111" spans="1:8" ht="12.75">
      <c r="A111" s="157" t="s">
        <v>45</v>
      </c>
      <c r="B111" s="126">
        <v>9</v>
      </c>
      <c r="C111" s="111"/>
      <c r="D111" s="3"/>
      <c r="E111" s="250">
        <f>E35</f>
        <v>0</v>
      </c>
      <c r="F111" s="37"/>
      <c r="G111" s="200"/>
      <c r="H111" s="163"/>
    </row>
    <row r="112" spans="1:9" ht="12.75">
      <c r="A112" s="157" t="s">
        <v>44</v>
      </c>
      <c r="B112" s="126">
        <v>10</v>
      </c>
      <c r="C112" s="111"/>
      <c r="D112" s="3"/>
      <c r="E112" s="250">
        <f>E36</f>
        <v>0</v>
      </c>
      <c r="F112" s="514"/>
      <c r="G112" s="200"/>
      <c r="H112" s="163"/>
      <c r="I112" s="507"/>
    </row>
    <row r="113" spans="1:8" ht="12.75">
      <c r="A113" s="154" t="s">
        <v>320</v>
      </c>
      <c r="B113" s="126">
        <v>11</v>
      </c>
      <c r="C113" s="111"/>
      <c r="D113" s="3"/>
      <c r="E113" s="461">
        <f>E207</f>
        <v>0</v>
      </c>
      <c r="F113" s="186"/>
      <c r="G113" s="200"/>
      <c r="H113" s="163"/>
    </row>
    <row r="114" spans="1:8" ht="12.75">
      <c r="A114" s="154" t="s">
        <v>15</v>
      </c>
      <c r="B114" s="124">
        <v>4</v>
      </c>
      <c r="C114" s="111"/>
      <c r="D114" s="3"/>
      <c r="E114" s="250">
        <f>E38</f>
        <v>0</v>
      </c>
      <c r="F114" s="37"/>
      <c r="G114" s="200"/>
      <c r="H114" s="163"/>
    </row>
    <row r="115" spans="1:8" ht="12.75">
      <c r="A115" s="154" t="s">
        <v>100</v>
      </c>
      <c r="B115" s="124">
        <v>4</v>
      </c>
      <c r="C115" s="111"/>
      <c r="D115" s="3"/>
      <c r="E115" s="250">
        <f>E39</f>
        <v>2149397</v>
      </c>
      <c r="F115" s="514"/>
      <c r="G115" s="200"/>
      <c r="H115" s="163"/>
    </row>
    <row r="116" spans="1:8" ht="12.75">
      <c r="A116" s="154" t="s">
        <v>12</v>
      </c>
      <c r="B116" s="124">
        <v>3</v>
      </c>
      <c r="C116" s="111"/>
      <c r="D116" s="3"/>
      <c r="E116" s="250">
        <f>E40</f>
        <v>0</v>
      </c>
      <c r="F116" s="37"/>
      <c r="G116" s="200"/>
      <c r="H116" s="163"/>
    </row>
    <row r="117" spans="1:8" ht="12.75">
      <c r="A117" s="154" t="s">
        <v>13</v>
      </c>
      <c r="B117" s="124">
        <v>3</v>
      </c>
      <c r="C117" s="111"/>
      <c r="D117" s="3"/>
      <c r="E117" s="250">
        <f>E41</f>
        <v>0</v>
      </c>
      <c r="F117" s="37"/>
      <c r="G117" s="200"/>
      <c r="H117" s="163"/>
    </row>
    <row r="118" spans="1:8" ht="12.75">
      <c r="A118" s="157" t="s">
        <v>367</v>
      </c>
      <c r="B118" s="126">
        <v>12</v>
      </c>
      <c r="C118" s="111"/>
      <c r="D118" s="3"/>
      <c r="E118" s="250">
        <f>E45</f>
        <v>0</v>
      </c>
      <c r="F118" s="37"/>
      <c r="G118" s="200"/>
      <c r="H118" s="163"/>
    </row>
    <row r="119" spans="1:8" ht="12.75">
      <c r="A119" s="157" t="s">
        <v>368</v>
      </c>
      <c r="B119" s="126">
        <v>12</v>
      </c>
      <c r="C119" s="111"/>
      <c r="D119" s="3"/>
      <c r="E119" s="250">
        <f>E47</f>
        <v>0</v>
      </c>
      <c r="F119" s="37"/>
      <c r="G119" s="200"/>
      <c r="H119" s="163"/>
    </row>
    <row r="120" spans="1:8" ht="12.75">
      <c r="A120" s="157"/>
      <c r="B120" s="126"/>
      <c r="C120" s="111"/>
      <c r="D120" s="3"/>
      <c r="E120" s="109"/>
      <c r="F120" s="37"/>
      <c r="G120" s="200"/>
      <c r="H120" s="163"/>
    </row>
    <row r="121" spans="1:9" ht="12.75">
      <c r="A121" s="151" t="s">
        <v>218</v>
      </c>
      <c r="B121" s="126">
        <v>26</v>
      </c>
      <c r="C121" s="111"/>
      <c r="D121" s="116" t="s">
        <v>187</v>
      </c>
      <c r="E121" s="263">
        <f>SUM(E103:E108)-SUM(E110:E119)</f>
        <v>217581</v>
      </c>
      <c r="F121" s="37"/>
      <c r="G121" s="200"/>
      <c r="H121" s="163"/>
      <c r="I121" s="507"/>
    </row>
    <row r="122" spans="1:8" ht="12.75">
      <c r="A122" s="151"/>
      <c r="B122" s="126"/>
      <c r="C122" s="111"/>
      <c r="D122" s="116"/>
      <c r="E122" s="109"/>
      <c r="F122" s="37"/>
      <c r="G122" s="200"/>
      <c r="H122" s="163"/>
    </row>
    <row r="123" spans="1:9" ht="12.75">
      <c r="A123" s="156" t="s">
        <v>504</v>
      </c>
      <c r="B123" s="126"/>
      <c r="C123" s="111"/>
      <c r="D123" s="3" t="s">
        <v>229</v>
      </c>
      <c r="E123" s="458">
        <f>IF((E121+G51)&gt;'Tax Rates'!$E$47,'Tax Rates'!$F$52-1.12%,IF((E121+G51)&gt;'Tax Rates'!$D$47,'Tax Rates'!$E$52-1.12%,IF((E121+G51)&gt;'Tax Rates'!$C$47,'Tax Rates'!$D$52-1.12%,'Tax Rates'!$C$52-1.12%)))</f>
        <v>0.35000000000000003</v>
      </c>
      <c r="F123" s="459"/>
      <c r="G123" s="200" t="s">
        <v>101</v>
      </c>
      <c r="H123" s="163"/>
      <c r="I123" s="507"/>
    </row>
    <row r="124" spans="1:8" ht="12.75">
      <c r="A124" s="157"/>
      <c r="B124" s="126"/>
      <c r="C124" s="111"/>
      <c r="D124" s="3"/>
      <c r="E124" s="109"/>
      <c r="F124" s="37"/>
      <c r="G124" s="200" t="s">
        <v>101</v>
      </c>
      <c r="H124" s="163"/>
    </row>
    <row r="125" spans="1:9" ht="12.75">
      <c r="A125" s="157" t="s">
        <v>244</v>
      </c>
      <c r="B125" s="126"/>
      <c r="C125" s="111"/>
      <c r="D125" s="3" t="s">
        <v>187</v>
      </c>
      <c r="E125" s="263">
        <f>E121*E123</f>
        <v>76153.35</v>
      </c>
      <c r="F125" s="37"/>
      <c r="G125" s="200"/>
      <c r="H125" s="163"/>
      <c r="I125" s="507"/>
    </row>
    <row r="126" spans="1:8" ht="12.75">
      <c r="A126" s="157"/>
      <c r="B126" s="126"/>
      <c r="C126" s="111"/>
      <c r="D126" s="3"/>
      <c r="E126" s="109"/>
      <c r="F126" s="37"/>
      <c r="G126" s="200"/>
      <c r="H126" s="163"/>
    </row>
    <row r="127" spans="1:8" ht="12.75">
      <c r="A127" s="157" t="s">
        <v>113</v>
      </c>
      <c r="B127" s="126">
        <v>14</v>
      </c>
      <c r="C127" s="111"/>
      <c r="D127" s="3"/>
      <c r="E127" s="263">
        <f>E59</f>
        <v>41484</v>
      </c>
      <c r="F127" s="37"/>
      <c r="G127" s="200"/>
      <c r="H127" s="163"/>
    </row>
    <row r="128" spans="1:8" ht="12.75">
      <c r="A128" s="157"/>
      <c r="B128" s="126"/>
      <c r="C128" s="111"/>
      <c r="D128" s="3"/>
      <c r="E128" s="109"/>
      <c r="F128" s="37"/>
      <c r="G128" s="200"/>
      <c r="H128" s="163"/>
    </row>
    <row r="129" spans="1:9" ht="12.75">
      <c r="A129" s="157" t="s">
        <v>116</v>
      </c>
      <c r="B129" s="126"/>
      <c r="C129" s="111"/>
      <c r="D129" s="3"/>
      <c r="E129" s="263">
        <f>E125-E127</f>
        <v>34669.350000000006</v>
      </c>
      <c r="F129" s="37"/>
      <c r="G129" s="200"/>
      <c r="H129" s="163"/>
      <c r="I129" s="507"/>
    </row>
    <row r="130" spans="1:8" ht="12.75">
      <c r="A130" s="166"/>
      <c r="B130" s="126"/>
      <c r="C130" s="111"/>
      <c r="D130" s="3"/>
      <c r="E130" s="109"/>
      <c r="F130" s="37"/>
      <c r="G130" s="200"/>
      <c r="H130" s="163"/>
    </row>
    <row r="131" spans="1:8" ht="12.75">
      <c r="A131" s="151" t="s">
        <v>194</v>
      </c>
      <c r="B131" s="126"/>
      <c r="C131" s="111"/>
      <c r="D131" s="3"/>
      <c r="E131" s="458">
        <f>IF((E121+C51)&gt;'Tax Rates'!$E$47,'Tax Rates'!$F$52-1.12%,IF((E121+C51)&gt;'Tax Rates'!$D$47,'Tax Rates'!$E$52-1.12%,IF((E121+C51)&gt;'Tax Rates'!$C$47,'Tax Rates'!$D$52-1.12%,'Tax Rates'!$C$52-1.12%)))</f>
        <v>0.35000000000000003</v>
      </c>
      <c r="F131" s="37"/>
      <c r="G131" s="200"/>
      <c r="H131" s="163"/>
    </row>
    <row r="132" spans="1:8" ht="12.75">
      <c r="A132" s="149"/>
      <c r="B132" s="126"/>
      <c r="C132" s="111"/>
      <c r="D132" s="3"/>
      <c r="E132" s="109"/>
      <c r="F132" s="37"/>
      <c r="G132" s="200"/>
      <c r="H132" s="163"/>
    </row>
    <row r="133" spans="1:9" ht="12.75">
      <c r="A133" s="167" t="s">
        <v>354</v>
      </c>
      <c r="B133" s="129"/>
      <c r="C133" s="111"/>
      <c r="D133" s="3"/>
      <c r="E133" s="262">
        <f>E129/(1-E131)</f>
        <v>53337.46153846155</v>
      </c>
      <c r="F133" s="37"/>
      <c r="G133" s="200"/>
      <c r="H133" s="163"/>
      <c r="I133" s="507"/>
    </row>
    <row r="134" spans="1:8" ht="12.75">
      <c r="A134" s="167"/>
      <c r="B134" s="129"/>
      <c r="C134" s="111"/>
      <c r="D134" s="3"/>
      <c r="E134" s="106"/>
      <c r="F134" s="37"/>
      <c r="G134" s="200"/>
      <c r="H134" s="163"/>
    </row>
    <row r="135" spans="1:8" ht="30">
      <c r="A135" s="168" t="s">
        <v>357</v>
      </c>
      <c r="B135" s="129"/>
      <c r="C135" s="111"/>
      <c r="D135" s="3"/>
      <c r="E135" s="106"/>
      <c r="F135" s="37"/>
      <c r="G135" s="200"/>
      <c r="H135" s="163"/>
    </row>
    <row r="136" spans="1:8" ht="12.75">
      <c r="A136" s="169"/>
      <c r="B136" s="129"/>
      <c r="C136" s="111"/>
      <c r="D136" s="3"/>
      <c r="E136" s="106"/>
      <c r="F136" s="37"/>
      <c r="G136" s="200"/>
      <c r="H136" s="163"/>
    </row>
    <row r="137" spans="1:8" ht="25.5">
      <c r="A137" s="170" t="s">
        <v>233</v>
      </c>
      <c r="B137" s="129"/>
      <c r="C137" s="111"/>
      <c r="D137" s="117" t="s">
        <v>187</v>
      </c>
      <c r="E137" s="301">
        <f>C51</f>
        <v>5845907.4704</v>
      </c>
      <c r="F137" s="37"/>
      <c r="G137" s="200"/>
      <c r="H137" s="163"/>
    </row>
    <row r="138" spans="1:8" ht="12.75">
      <c r="A138" s="170"/>
      <c r="B138" s="129"/>
      <c r="C138" s="111"/>
      <c r="D138" s="118"/>
      <c r="E138" s="144"/>
      <c r="F138" s="37"/>
      <c r="G138" s="200"/>
      <c r="H138" s="163"/>
    </row>
    <row r="139" spans="1:8" ht="12.75">
      <c r="A139" s="170" t="s">
        <v>235</v>
      </c>
      <c r="B139" s="129"/>
      <c r="C139" s="111"/>
      <c r="D139" s="118" t="s">
        <v>229</v>
      </c>
      <c r="E139" s="458">
        <f>IF((E121+E137)&gt;'Tax Rates'!E47,'Tax Rates'!F52,IF((E121+E137)&gt;'Tax Rates'!D47,'Tax Rates'!E52,IF((E121+E137)&gt;'Tax Rates'!C47,'Tax Rates'!D52,'Tax Rates'!C52)))</f>
        <v>0.3612</v>
      </c>
      <c r="F139" s="196" t="s">
        <v>101</v>
      </c>
      <c r="G139" s="200"/>
      <c r="H139" s="163"/>
    </row>
    <row r="140" spans="1:8" ht="12.75">
      <c r="A140" s="170"/>
      <c r="B140" s="129"/>
      <c r="C140" s="111"/>
      <c r="D140" s="118"/>
      <c r="E140" s="143"/>
      <c r="F140" s="37"/>
      <c r="G140" s="200"/>
      <c r="H140" s="163"/>
    </row>
    <row r="141" spans="1:8" ht="12.75">
      <c r="A141" s="170" t="s">
        <v>227</v>
      </c>
      <c r="B141" s="129"/>
      <c r="C141" s="111"/>
      <c r="D141" s="117" t="s">
        <v>187</v>
      </c>
      <c r="E141" s="302">
        <f>IF(E137&gt;0,E137*E139,0)</f>
        <v>2111541.77830848</v>
      </c>
      <c r="F141" s="37"/>
      <c r="G141" s="200"/>
      <c r="H141" s="163"/>
    </row>
    <row r="142" spans="1:8" ht="12.75">
      <c r="A142" s="170"/>
      <c r="B142" s="129"/>
      <c r="C142" s="111"/>
      <c r="D142" s="118"/>
      <c r="E142" s="143"/>
      <c r="F142" s="37"/>
      <c r="G142" s="200"/>
      <c r="H142" s="163"/>
    </row>
    <row r="143" spans="1:8" ht="12.75">
      <c r="A143" s="170" t="s">
        <v>236</v>
      </c>
      <c r="B143" s="129"/>
      <c r="C143" s="111"/>
      <c r="D143" s="117" t="s">
        <v>186</v>
      </c>
      <c r="E143" s="303">
        <f>TAXREC!E145</f>
        <v>41484</v>
      </c>
      <c r="F143" s="37"/>
      <c r="G143" s="200"/>
      <c r="H143" s="163"/>
    </row>
    <row r="144" spans="1:8" ht="12.75">
      <c r="A144" s="170"/>
      <c r="B144" s="129"/>
      <c r="C144" s="111"/>
      <c r="D144" s="118"/>
      <c r="E144" s="143"/>
      <c r="F144" s="37"/>
      <c r="G144" s="200"/>
      <c r="H144" s="163"/>
    </row>
    <row r="145" spans="1:8" ht="12.75">
      <c r="A145" s="170" t="s">
        <v>228</v>
      </c>
      <c r="B145" s="129"/>
      <c r="C145" s="111"/>
      <c r="D145" s="118" t="s">
        <v>187</v>
      </c>
      <c r="E145" s="301">
        <f>E141-E143</f>
        <v>2070057.77830848</v>
      </c>
      <c r="F145" s="37"/>
      <c r="G145" s="200"/>
      <c r="H145" s="163"/>
    </row>
    <row r="146" spans="1:8" ht="12.75">
      <c r="A146" s="170"/>
      <c r="B146" s="129"/>
      <c r="C146" s="111"/>
      <c r="D146" s="118"/>
      <c r="E146" s="143"/>
      <c r="F146" s="37"/>
      <c r="G146" s="200"/>
      <c r="H146" s="163"/>
    </row>
    <row r="147" spans="1:8" ht="25.5">
      <c r="A147" s="170" t="s">
        <v>237</v>
      </c>
      <c r="B147" s="129"/>
      <c r="C147" s="111"/>
      <c r="D147" s="117" t="s">
        <v>186</v>
      </c>
      <c r="E147" s="301">
        <f>C61</f>
        <v>2111541.77830848</v>
      </c>
      <c r="F147" s="37"/>
      <c r="G147" s="200"/>
      <c r="H147" s="163"/>
    </row>
    <row r="148" spans="1:8" ht="12.75">
      <c r="A148" s="170"/>
      <c r="B148" s="129"/>
      <c r="C148" s="111"/>
      <c r="D148" s="118"/>
      <c r="E148" s="143"/>
      <c r="F148" s="37"/>
      <c r="G148" s="200"/>
      <c r="H148" s="163"/>
    </row>
    <row r="149" spans="1:8" ht="12.75">
      <c r="A149" s="170" t="s">
        <v>230</v>
      </c>
      <c r="B149" s="129"/>
      <c r="C149" s="111"/>
      <c r="D149" s="117" t="s">
        <v>187</v>
      </c>
      <c r="E149" s="301">
        <f>E145-E147</f>
        <v>-41484</v>
      </c>
      <c r="F149" s="37"/>
      <c r="G149" s="200"/>
      <c r="H149" s="163"/>
    </row>
    <row r="150" spans="1:8" ht="12.75">
      <c r="A150" s="170"/>
      <c r="B150" s="129"/>
      <c r="C150" s="111"/>
      <c r="D150" s="118"/>
      <c r="E150" s="143"/>
      <c r="F150" s="37"/>
      <c r="G150" s="200"/>
      <c r="H150" s="163"/>
    </row>
    <row r="151" spans="1:8" ht="12.75">
      <c r="A151" s="381" t="s">
        <v>20</v>
      </c>
      <c r="B151" s="129"/>
      <c r="C151" s="111"/>
      <c r="D151" s="118"/>
      <c r="E151" s="471"/>
      <c r="F151" s="37"/>
      <c r="G151" s="200"/>
      <c r="H151" s="163"/>
    </row>
    <row r="152" spans="1:8" ht="12.75">
      <c r="A152" s="170" t="s">
        <v>17</v>
      </c>
      <c r="B152" s="129"/>
      <c r="C152" s="111"/>
      <c r="D152" s="118" t="s">
        <v>187</v>
      </c>
      <c r="E152" s="301">
        <f>C67</f>
        <v>95757216</v>
      </c>
      <c r="F152" s="37"/>
      <c r="G152" s="200"/>
      <c r="H152" s="163"/>
    </row>
    <row r="153" spans="1:8" ht="12.75">
      <c r="A153" s="170" t="s">
        <v>360</v>
      </c>
      <c r="B153" s="129"/>
      <c r="C153" s="111"/>
      <c r="D153" s="117" t="s">
        <v>186</v>
      </c>
      <c r="E153" s="304">
        <f>IF(E152&gt;0,'Tax Rates'!C39,0)</f>
        <v>7500000</v>
      </c>
      <c r="F153" s="37"/>
      <c r="G153" s="200"/>
      <c r="H153" s="163"/>
    </row>
    <row r="154" spans="1:8" ht="12.75">
      <c r="A154" s="170" t="s">
        <v>231</v>
      </c>
      <c r="B154" s="129"/>
      <c r="C154" s="111"/>
      <c r="D154" s="117" t="s">
        <v>187</v>
      </c>
      <c r="E154" s="301">
        <f>E152-E153</f>
        <v>88257216</v>
      </c>
      <c r="F154" s="37"/>
      <c r="G154" s="200"/>
      <c r="H154" s="163"/>
    </row>
    <row r="155" spans="1:8" ht="12.75">
      <c r="A155" s="170"/>
      <c r="B155" s="129"/>
      <c r="C155" s="111"/>
      <c r="D155" s="118"/>
      <c r="E155" s="143"/>
      <c r="F155" s="37"/>
      <c r="G155" s="200"/>
      <c r="H155" s="163"/>
    </row>
    <row r="156" spans="1:8" ht="12.75">
      <c r="A156" s="170" t="s">
        <v>361</v>
      </c>
      <c r="B156" s="129"/>
      <c r="C156" s="111"/>
      <c r="D156" s="118" t="s">
        <v>229</v>
      </c>
      <c r="E156" s="305">
        <f>'Tax Rates'!C54</f>
        <v>0.003</v>
      </c>
      <c r="F156" s="37"/>
      <c r="G156" s="200"/>
      <c r="H156" s="163"/>
    </row>
    <row r="157" spans="1:8" ht="12.75">
      <c r="A157" s="170"/>
      <c r="B157" s="129"/>
      <c r="C157" s="111"/>
      <c r="D157" s="118"/>
      <c r="E157" s="143"/>
      <c r="F157" s="37"/>
      <c r="G157" s="200"/>
      <c r="H157" s="163"/>
    </row>
    <row r="158" spans="1:8" ht="12.75">
      <c r="A158" s="170" t="s">
        <v>232</v>
      </c>
      <c r="B158" s="129"/>
      <c r="C158" s="111"/>
      <c r="D158" s="118" t="s">
        <v>187</v>
      </c>
      <c r="E158" s="301">
        <f>IF(E154&gt;0,E154*E156*B9/B10,0)</f>
        <v>264771.648</v>
      </c>
      <c r="F158" s="37"/>
      <c r="G158" s="200"/>
      <c r="H158" s="163"/>
    </row>
    <row r="159" spans="1:8" ht="25.5">
      <c r="A159" s="170" t="s">
        <v>307</v>
      </c>
      <c r="B159" s="129"/>
      <c r="C159" s="111"/>
      <c r="D159" s="117" t="s">
        <v>186</v>
      </c>
      <c r="E159" s="304">
        <f>C73</f>
        <v>264771.648</v>
      </c>
      <c r="F159" s="37"/>
      <c r="G159" s="200"/>
      <c r="H159" s="163"/>
    </row>
    <row r="160" spans="1:8" ht="12.75" customHeight="1">
      <c r="A160" s="171" t="s">
        <v>242</v>
      </c>
      <c r="B160" s="129"/>
      <c r="C160" s="111"/>
      <c r="D160" s="117" t="s">
        <v>187</v>
      </c>
      <c r="E160" s="463">
        <f>E158-E159</f>
        <v>0</v>
      </c>
      <c r="F160" s="37"/>
      <c r="G160" s="200"/>
      <c r="H160" s="163"/>
    </row>
    <row r="161" spans="1:8" ht="12.75">
      <c r="A161" s="170"/>
      <c r="B161" s="129"/>
      <c r="C161" s="111"/>
      <c r="D161" s="118"/>
      <c r="E161" s="143"/>
      <c r="F161" s="37"/>
      <c r="G161" s="200"/>
      <c r="H161" s="163"/>
    </row>
    <row r="162" spans="1:8" ht="12.75">
      <c r="A162" s="381" t="s">
        <v>234</v>
      </c>
      <c r="B162" s="129"/>
      <c r="C162" s="111"/>
      <c r="D162" s="118"/>
      <c r="E162" s="303"/>
      <c r="F162" s="37"/>
      <c r="G162" s="200"/>
      <c r="H162" s="163"/>
    </row>
    <row r="163" spans="1:8" ht="12.75">
      <c r="A163" s="170" t="s">
        <v>17</v>
      </c>
      <c r="B163" s="129"/>
      <c r="C163" s="111"/>
      <c r="D163" s="118"/>
      <c r="E163" s="301">
        <f>C76</f>
        <v>95757216</v>
      </c>
      <c r="F163" s="37"/>
      <c r="G163" s="200"/>
      <c r="H163" s="163"/>
    </row>
    <row r="164" spans="1:8" ht="12.75">
      <c r="A164" s="170" t="s">
        <v>359</v>
      </c>
      <c r="B164" s="129"/>
      <c r="C164" s="111"/>
      <c r="D164" s="117" t="s">
        <v>186</v>
      </c>
      <c r="E164" s="304">
        <f>IF(E163&gt;0,'Tax Rates'!C40,0)</f>
        <v>50000000</v>
      </c>
      <c r="F164" s="37"/>
      <c r="G164" s="200"/>
      <c r="H164" s="163"/>
    </row>
    <row r="165" spans="1:8" ht="12.75">
      <c r="A165" s="170" t="s">
        <v>238</v>
      </c>
      <c r="B165" s="129"/>
      <c r="C165" s="111"/>
      <c r="D165" s="118" t="s">
        <v>187</v>
      </c>
      <c r="E165" s="301">
        <f>E163-E164</f>
        <v>45757216</v>
      </c>
      <c r="F165" s="37"/>
      <c r="G165" s="200"/>
      <c r="H165" s="163"/>
    </row>
    <row r="166" spans="1:8" ht="12.75">
      <c r="A166" s="170"/>
      <c r="B166" s="129"/>
      <c r="C166" s="111"/>
      <c r="D166" s="118"/>
      <c r="E166" s="143"/>
      <c r="F166" s="37"/>
      <c r="G166" s="200"/>
      <c r="H166" s="163"/>
    </row>
    <row r="167" spans="1:8" ht="12.75">
      <c r="A167" s="170" t="s">
        <v>308</v>
      </c>
      <c r="B167" s="129"/>
      <c r="C167" s="111"/>
      <c r="D167" s="118"/>
      <c r="E167" s="305">
        <f>'Tax Rates'!C55</f>
        <v>0.00175</v>
      </c>
      <c r="F167" s="37"/>
      <c r="G167" s="200"/>
      <c r="H167" s="163"/>
    </row>
    <row r="168" spans="1:8" ht="12.75">
      <c r="A168" s="170"/>
      <c r="B168" s="129"/>
      <c r="C168" s="111"/>
      <c r="D168" s="118"/>
      <c r="E168" s="143"/>
      <c r="F168" s="37"/>
      <c r="G168" s="200"/>
      <c r="H168" s="163"/>
    </row>
    <row r="169" spans="1:8" ht="12.75">
      <c r="A169" s="170" t="s">
        <v>239</v>
      </c>
      <c r="B169" s="129"/>
      <c r="C169" s="111"/>
      <c r="D169" s="118"/>
      <c r="E169" s="301">
        <f>IF(E165&gt;0,E165*E167*B9/B10,0)</f>
        <v>80075.128</v>
      </c>
      <c r="F169" s="37"/>
      <c r="G169" s="200"/>
      <c r="H169" s="163"/>
    </row>
    <row r="170" spans="1:8" ht="12.75">
      <c r="A170" s="170" t="s">
        <v>318</v>
      </c>
      <c r="B170" s="129"/>
      <c r="C170" s="111"/>
      <c r="D170" s="117" t="s">
        <v>186</v>
      </c>
      <c r="E170" s="306">
        <f>IF(E165&gt;0,IF(E145&gt;0,E137*'Tax Rates'!C56,0),0)</f>
        <v>65474.163668479996</v>
      </c>
      <c r="F170" s="37"/>
      <c r="G170" s="200"/>
      <c r="H170" s="163"/>
    </row>
    <row r="171" spans="1:8" ht="12.75">
      <c r="A171" s="170" t="s">
        <v>240</v>
      </c>
      <c r="B171" s="129"/>
      <c r="C171" s="111"/>
      <c r="D171" s="118" t="s">
        <v>187</v>
      </c>
      <c r="E171" s="301">
        <f>E169-E170</f>
        <v>14600.964331520001</v>
      </c>
      <c r="F171" s="37"/>
      <c r="G171" s="200"/>
      <c r="H171" s="163"/>
    </row>
    <row r="172" spans="1:8" ht="12.75">
      <c r="A172" s="170"/>
      <c r="B172" s="129"/>
      <c r="C172" s="111"/>
      <c r="D172" s="118"/>
      <c r="E172" s="240"/>
      <c r="F172" s="37"/>
      <c r="G172" s="200"/>
      <c r="H172" s="163"/>
    </row>
    <row r="173" spans="1:8" ht="12.75">
      <c r="A173" s="406" t="s">
        <v>349</v>
      </c>
      <c r="B173" s="129"/>
      <c r="C173" s="111"/>
      <c r="D173" s="117" t="s">
        <v>186</v>
      </c>
      <c r="E173" s="304">
        <f>C85</f>
        <v>14600.964331520001</v>
      </c>
      <c r="F173" s="37"/>
      <c r="G173" s="200"/>
      <c r="H173" s="163"/>
    </row>
    <row r="174" spans="1:8" ht="12.75">
      <c r="A174" s="154" t="s">
        <v>243</v>
      </c>
      <c r="B174" s="129"/>
      <c r="C174" s="111"/>
      <c r="D174" s="118" t="s">
        <v>187</v>
      </c>
      <c r="E174" s="463">
        <f>E171-E173</f>
        <v>0</v>
      </c>
      <c r="F174" s="37"/>
      <c r="G174" s="200"/>
      <c r="H174" s="163"/>
    </row>
    <row r="175" spans="1:8" ht="12.75">
      <c r="A175" s="154"/>
      <c r="B175" s="129"/>
      <c r="C175" s="111"/>
      <c r="D175" s="118"/>
      <c r="E175" s="143"/>
      <c r="F175" s="37"/>
      <c r="G175" s="200"/>
      <c r="H175" s="163"/>
    </row>
    <row r="176" spans="1:8" ht="12.75">
      <c r="A176" s="154" t="s">
        <v>346</v>
      </c>
      <c r="B176" s="129"/>
      <c r="C176" s="111"/>
      <c r="D176" s="118"/>
      <c r="E176" s="458">
        <f>IF((E121+G51)&gt;'Tax Rates'!E47,'Tax Rates'!F52-1.12%,IF((E121+G51)&gt;'Tax Rates'!D47,'Tax Rates'!E52-1.12%,IF((E121+G51)&gt;'Tax Rates'!C47,'Tax Rates'!D52,'Tax Rates'!C52-1.12%)))</f>
        <v>0.35000000000000003</v>
      </c>
      <c r="F176" s="459"/>
      <c r="G176" s="200"/>
      <c r="H176" s="163"/>
    </row>
    <row r="177" spans="1:8" ht="12.75">
      <c r="A177" s="154"/>
      <c r="B177" s="129"/>
      <c r="C177" s="111"/>
      <c r="D177" s="118"/>
      <c r="E177" s="143"/>
      <c r="F177" s="37"/>
      <c r="G177" s="200"/>
      <c r="H177" s="163"/>
    </row>
    <row r="178" spans="1:8" ht="12.75">
      <c r="A178" s="167" t="s">
        <v>241</v>
      </c>
      <c r="B178" s="129"/>
      <c r="C178" s="111"/>
      <c r="D178" s="118" t="s">
        <v>185</v>
      </c>
      <c r="E178" s="301">
        <f>E149/(1-E176)</f>
        <v>-63821.53846153847</v>
      </c>
      <c r="F178" s="37"/>
      <c r="G178" s="200"/>
      <c r="H178" s="163"/>
    </row>
    <row r="179" spans="1:8" ht="12.75">
      <c r="A179" s="167" t="s">
        <v>33</v>
      </c>
      <c r="B179" s="129"/>
      <c r="C179" s="111"/>
      <c r="D179" s="118" t="s">
        <v>185</v>
      </c>
      <c r="E179" s="301">
        <f>E174/(1-E176)</f>
        <v>0</v>
      </c>
      <c r="F179" s="37"/>
      <c r="G179" s="200"/>
      <c r="H179" s="163"/>
    </row>
    <row r="180" spans="1:8" ht="12.75">
      <c r="A180" s="167" t="s">
        <v>20</v>
      </c>
      <c r="B180" s="129"/>
      <c r="C180" s="111"/>
      <c r="D180" s="118" t="s">
        <v>185</v>
      </c>
      <c r="E180" s="301">
        <f>E160</f>
        <v>0</v>
      </c>
      <c r="F180" s="37"/>
      <c r="G180" s="200"/>
      <c r="H180" s="163"/>
    </row>
    <row r="181" spans="1:8" ht="12.75">
      <c r="A181" s="154"/>
      <c r="B181" s="129"/>
      <c r="C181" s="111"/>
      <c r="D181" s="118"/>
      <c r="E181" s="143"/>
      <c r="F181" s="37"/>
      <c r="G181" s="200"/>
      <c r="H181" s="163"/>
    </row>
    <row r="182" spans="1:8" ht="12.75">
      <c r="A182" s="167" t="s">
        <v>355</v>
      </c>
      <c r="B182" s="129"/>
      <c r="C182" s="111"/>
      <c r="D182" s="118" t="s">
        <v>187</v>
      </c>
      <c r="E182" s="301">
        <f>SUM(E178:E180)</f>
        <v>-63821.53846153847</v>
      </c>
      <c r="F182" s="37"/>
      <c r="G182" s="200"/>
      <c r="H182" s="163"/>
    </row>
    <row r="183" spans="1:8" ht="12.75">
      <c r="A183" s="154"/>
      <c r="B183" s="129"/>
      <c r="C183" s="111"/>
      <c r="D183" s="118"/>
      <c r="E183" s="143"/>
      <c r="F183" s="37"/>
      <c r="G183" s="200"/>
      <c r="H183" s="163"/>
    </row>
    <row r="184" spans="1:9" ht="12.75">
      <c r="A184" s="167" t="s">
        <v>347</v>
      </c>
      <c r="B184" s="129"/>
      <c r="C184" s="111"/>
      <c r="D184" s="118" t="s">
        <v>185</v>
      </c>
      <c r="E184" s="301">
        <f>E133</f>
        <v>53337.46153846155</v>
      </c>
      <c r="F184" s="37" t="s">
        <v>101</v>
      </c>
      <c r="G184" s="200"/>
      <c r="H184" s="163"/>
      <c r="I184" s="507"/>
    </row>
    <row r="185" spans="1:8" ht="12.75">
      <c r="A185" s="167"/>
      <c r="B185" s="129"/>
      <c r="C185" s="111"/>
      <c r="D185" s="118"/>
      <c r="E185" s="143"/>
      <c r="F185" s="37"/>
      <c r="G185" s="200"/>
      <c r="H185" s="163"/>
    </row>
    <row r="186" spans="1:9" ht="15">
      <c r="A186" s="172" t="s">
        <v>356</v>
      </c>
      <c r="B186" s="129"/>
      <c r="C186" s="111"/>
      <c r="D186" s="118" t="s">
        <v>187</v>
      </c>
      <c r="E186" s="301">
        <f>E182+E184</f>
        <v>-10484.076923076915</v>
      </c>
      <c r="F186" s="37"/>
      <c r="G186" s="200"/>
      <c r="H186" s="163"/>
      <c r="I186" s="507"/>
    </row>
    <row r="187" spans="1:8" ht="12.75">
      <c r="A187" s="161" t="s">
        <v>246</v>
      </c>
      <c r="B187" s="126"/>
      <c r="C187" s="111"/>
      <c r="D187" s="118"/>
      <c r="E187" s="145"/>
      <c r="F187" s="37"/>
      <c r="G187" s="200"/>
      <c r="H187" s="163"/>
    </row>
    <row r="188" spans="1:8" ht="12.75">
      <c r="A188" s="161"/>
      <c r="B188" s="126"/>
      <c r="C188" s="111"/>
      <c r="D188" s="118"/>
      <c r="E188" s="146"/>
      <c r="F188" s="37"/>
      <c r="G188" s="200"/>
      <c r="H188" s="163"/>
    </row>
    <row r="189" spans="1:8" ht="13.5" thickBot="1">
      <c r="A189" s="149"/>
      <c r="B189" s="126"/>
      <c r="C189" s="111"/>
      <c r="D189" s="118"/>
      <c r="E189" s="146"/>
      <c r="F189" s="37"/>
      <c r="G189" s="200"/>
      <c r="H189" s="163"/>
    </row>
    <row r="190" spans="1:8" ht="13.5" thickTop="1">
      <c r="A190" s="173"/>
      <c r="B190" s="130"/>
      <c r="C190" s="112"/>
      <c r="D190" s="99"/>
      <c r="E190" s="147"/>
      <c r="F190" s="7"/>
      <c r="G190" s="123"/>
      <c r="H190" s="174"/>
    </row>
    <row r="191" spans="1:8" ht="12.75">
      <c r="A191" s="167" t="s">
        <v>58</v>
      </c>
      <c r="B191" s="126"/>
      <c r="C191" s="113"/>
      <c r="D191" s="118"/>
      <c r="E191" s="145"/>
      <c r="F191" s="3"/>
      <c r="G191" s="122"/>
      <c r="H191" s="163"/>
    </row>
    <row r="192" spans="1:8" ht="12.75">
      <c r="A192" s="153" t="s">
        <v>83</v>
      </c>
      <c r="B192" s="122"/>
      <c r="C192" s="114"/>
      <c r="D192" s="118"/>
      <c r="E192" s="146"/>
      <c r="F192" s="3"/>
      <c r="G192" s="122"/>
      <c r="H192" s="163"/>
    </row>
    <row r="193" spans="1:8" ht="12.75">
      <c r="A193" s="153"/>
      <c r="B193" s="122"/>
      <c r="C193" s="114"/>
      <c r="D193" s="118"/>
      <c r="E193" s="146"/>
      <c r="F193" s="3"/>
      <c r="G193" s="122"/>
      <c r="H193" s="163"/>
    </row>
    <row r="194" spans="1:8" ht="12.75">
      <c r="A194" s="154" t="s">
        <v>222</v>
      </c>
      <c r="B194" s="126"/>
      <c r="C194" s="111"/>
      <c r="D194" s="119"/>
      <c r="E194" s="307">
        <f>REGINFO!D62</f>
        <v>3471199.0799999996</v>
      </c>
      <c r="F194" s="3"/>
      <c r="G194" s="122"/>
      <c r="H194" s="163"/>
    </row>
    <row r="195" spans="1:9" ht="12.75">
      <c r="A195" s="154" t="s">
        <v>249</v>
      </c>
      <c r="B195" s="126"/>
      <c r="C195" s="111"/>
      <c r="D195" s="119"/>
      <c r="E195" s="307">
        <f>REGINFO!D66</f>
        <v>2557918.23761043</v>
      </c>
      <c r="F195" s="3"/>
      <c r="G195" s="122"/>
      <c r="H195" s="163"/>
      <c r="I195" s="507"/>
    </row>
    <row r="196" spans="1:8" ht="12.75">
      <c r="A196" s="154"/>
      <c r="B196" s="126"/>
      <c r="C196" s="111"/>
      <c r="D196" s="119"/>
      <c r="E196" s="148"/>
      <c r="F196" s="3"/>
      <c r="G196" s="122"/>
      <c r="H196" s="163"/>
    </row>
    <row r="197" spans="1:9" ht="12.75">
      <c r="A197" s="154" t="s">
        <v>343</v>
      </c>
      <c r="B197" s="126"/>
      <c r="C197" s="111"/>
      <c r="D197" s="119"/>
      <c r="E197" s="307">
        <f>E194-E195</f>
        <v>913280.8423895696</v>
      </c>
      <c r="F197" s="3"/>
      <c r="G197" s="122"/>
      <c r="H197" s="163"/>
      <c r="I197" s="507"/>
    </row>
    <row r="198" spans="1:8" ht="12.75">
      <c r="A198" s="154" t="s">
        <v>344</v>
      </c>
      <c r="B198" s="126"/>
      <c r="C198" s="111"/>
      <c r="D198" s="119"/>
      <c r="E198" s="146"/>
      <c r="F198" s="3"/>
      <c r="G198" s="122"/>
      <c r="H198" s="163"/>
    </row>
    <row r="199" spans="1:8" ht="12.75">
      <c r="A199" s="154"/>
      <c r="B199" s="126"/>
      <c r="C199" s="111"/>
      <c r="D199" s="119"/>
      <c r="E199" s="146"/>
      <c r="F199" s="3"/>
      <c r="G199" s="122"/>
      <c r="H199" s="163"/>
    </row>
    <row r="200" spans="1:8" ht="12.75">
      <c r="A200" s="167" t="s">
        <v>255</v>
      </c>
      <c r="B200" s="126"/>
      <c r="C200" s="111"/>
      <c r="D200" s="119"/>
      <c r="E200" s="146"/>
      <c r="F200" s="3"/>
      <c r="G200" s="475"/>
      <c r="H200" s="163"/>
    </row>
    <row r="201" spans="1:8" ht="12.75">
      <c r="A201" s="175" t="s">
        <v>85</v>
      </c>
      <c r="B201" s="126"/>
      <c r="C201" s="111"/>
      <c r="D201" s="119"/>
      <c r="E201" s="146"/>
      <c r="F201" s="3"/>
      <c r="G201" s="475"/>
      <c r="H201" s="163"/>
    </row>
    <row r="202" spans="1:8" ht="12.75">
      <c r="A202" s="154" t="s">
        <v>250</v>
      </c>
      <c r="B202" s="126"/>
      <c r="C202" s="111"/>
      <c r="D202" s="119"/>
      <c r="E202" s="307">
        <f>G37+G42</f>
        <v>3457810</v>
      </c>
      <c r="F202" s="3"/>
      <c r="G202" s="475"/>
      <c r="H202" s="163"/>
    </row>
    <row r="203" spans="1:8" ht="12.75">
      <c r="A203" s="154" t="s">
        <v>345</v>
      </c>
      <c r="B203" s="126"/>
      <c r="C203" s="111"/>
      <c r="D203" s="119"/>
      <c r="E203" s="307">
        <f>REGINFO!D62</f>
        <v>3471199.0799999996</v>
      </c>
      <c r="F203" s="3"/>
      <c r="G203" s="122"/>
      <c r="H203" s="163"/>
    </row>
    <row r="204" spans="1:8" ht="12.75">
      <c r="A204" s="154"/>
      <c r="B204" s="126"/>
      <c r="C204" s="111"/>
      <c r="D204" s="119"/>
      <c r="E204" s="148"/>
      <c r="F204" s="3"/>
      <c r="G204" s="122"/>
      <c r="H204" s="163"/>
    </row>
    <row r="205" spans="1:8" ht="12.75">
      <c r="A205" s="154" t="s">
        <v>84</v>
      </c>
      <c r="B205" s="126"/>
      <c r="C205" s="111"/>
      <c r="D205" s="119"/>
      <c r="E205" s="302">
        <f>IF((E202-E203)&gt;0,E202-E203,0)</f>
        <v>0</v>
      </c>
      <c r="F205" s="3"/>
      <c r="G205" s="122"/>
      <c r="H205" s="163"/>
    </row>
    <row r="206" spans="1:8" ht="12.75">
      <c r="A206" s="154"/>
      <c r="B206" s="126"/>
      <c r="C206" s="111"/>
      <c r="D206" s="119"/>
      <c r="E206" s="148"/>
      <c r="F206" s="3"/>
      <c r="G206" s="122"/>
      <c r="H206" s="163"/>
    </row>
    <row r="207" spans="1:8" ht="12.75">
      <c r="A207" s="167" t="s">
        <v>319</v>
      </c>
      <c r="B207" s="126"/>
      <c r="C207" s="111"/>
      <c r="D207" s="119"/>
      <c r="E207" s="460">
        <f>IF((E202-E203)&gt;0,E202-E203,0)</f>
        <v>0</v>
      </c>
      <c r="F207" s="3"/>
      <c r="G207" s="122"/>
      <c r="H207" s="163"/>
    </row>
    <row r="208" spans="1:8" ht="12.75">
      <c r="A208" s="154"/>
      <c r="B208" s="126"/>
      <c r="C208" s="111"/>
      <c r="D208" s="119"/>
      <c r="E208" s="148"/>
      <c r="F208" s="3"/>
      <c r="G208" s="122"/>
      <c r="H208" s="163"/>
    </row>
    <row r="209" spans="1:9" ht="13.5" thickBot="1">
      <c r="A209" s="176" t="s">
        <v>223</v>
      </c>
      <c r="B209" s="177"/>
      <c r="C209" s="178"/>
      <c r="D209" s="179"/>
      <c r="E209" s="308">
        <f>+E197-E205</f>
        <v>913280.8423895696</v>
      </c>
      <c r="F209" s="74"/>
      <c r="G209" s="201"/>
      <c r="H209" s="180"/>
      <c r="I209" s="507"/>
    </row>
    <row r="210" spans="1:5" ht="12.75">
      <c r="A210" s="35"/>
      <c r="B210" s="8"/>
      <c r="C210" s="22"/>
      <c r="D210" s="100"/>
      <c r="E210" s="96"/>
    </row>
    <row r="211" spans="2:6" ht="12.75">
      <c r="B211" s="22"/>
      <c r="C211" s="22"/>
      <c r="D211" s="22"/>
      <c r="E211" s="22"/>
      <c r="F211" s="22"/>
    </row>
    <row r="212" spans="1:5" ht="12.75">
      <c r="A212" s="520"/>
      <c r="B212" s="8"/>
      <c r="C212" s="521"/>
      <c r="D212" s="22"/>
      <c r="E212" s="95"/>
    </row>
    <row r="213" spans="2:5" ht="12.75">
      <c r="B213" s="8"/>
      <c r="C213" s="22"/>
      <c r="D213" s="100"/>
      <c r="E213" s="95"/>
    </row>
    <row r="214" spans="2:5" ht="12.75">
      <c r="B214" s="8"/>
      <c r="C214" s="5"/>
      <c r="D214" s="85"/>
      <c r="E214" s="97"/>
    </row>
    <row r="215" spans="2:5" ht="12.75">
      <c r="B215" s="8"/>
      <c r="C215" s="6"/>
      <c r="D215" s="85"/>
      <c r="E215" s="94"/>
    </row>
    <row r="216" spans="2:5" ht="12.75">
      <c r="B216" s="8"/>
      <c r="C216" s="5"/>
      <c r="D216" s="85"/>
      <c r="E216" s="93"/>
    </row>
    <row r="217" spans="2:5" ht="12.75">
      <c r="B217" s="8"/>
      <c r="C217" s="5"/>
      <c r="D217" s="85"/>
      <c r="E217" s="97"/>
    </row>
    <row r="218" spans="2:5" ht="12.75">
      <c r="B218" s="8"/>
      <c r="C218" s="5"/>
      <c r="D218" s="85"/>
      <c r="E218" s="93"/>
    </row>
    <row r="219" spans="4:5" ht="12.75">
      <c r="D219" s="85"/>
      <c r="E219" s="98"/>
    </row>
    <row r="220" spans="4:5" ht="12.75">
      <c r="D220" s="85"/>
      <c r="E220" s="72"/>
    </row>
    <row r="221" spans="4:5" ht="12.75"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3:5" ht="12.75">
      <c r="C224" t="s">
        <v>101</v>
      </c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  <row r="251" spans="4:5" ht="12.75">
      <c r="D251" s="85"/>
      <c r="E251" s="72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  <headerFooter alignWithMargins="0">
    <oddHeader>&amp;R&amp;9Hydro One Brampton Networks Inc.
EB-2008-0381
Deferred PILs Combined Proceeding
</oddHeader>
    <oddFooter>&amp;L&amp;8March 22, 2010&amp;C&amp;Z&amp;F&amp;R&amp;"Arial,Bold"&amp;9&amp;A</oddFooter>
  </headerFooter>
  <rowBreaks count="3" manualBreakCount="3">
    <brk id="86" max="7" man="1"/>
    <brk id="150" max="7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4" sqref="G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18.0039062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514"/>
      <c r="G4" s="515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Burlington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34">
        <f>REGINFO!B6</f>
        <v>365</v>
      </c>
      <c r="D11" s="37" t="s">
        <v>125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476">
        <v>119697</v>
      </c>
      <c r="D13" s="83" t="s">
        <v>184</v>
      </c>
      <c r="E13" s="25"/>
      <c r="F13" s="20"/>
      <c r="G13" s="3"/>
      <c r="H13" s="3"/>
      <c r="I13" s="3"/>
    </row>
    <row r="14" spans="1:9" ht="13.5" thickTop="1">
      <c r="A14" s="2" t="s">
        <v>119</v>
      </c>
      <c r="B14" s="20" t="s">
        <v>64</v>
      </c>
      <c r="C14" s="8" t="s">
        <v>488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64</v>
      </c>
      <c r="C15" s="8" t="s">
        <v>489</v>
      </c>
      <c r="D15" s="25"/>
      <c r="E15" s="25"/>
      <c r="F15" s="20"/>
      <c r="G15" s="3"/>
      <c r="H15" s="3"/>
      <c r="I15" s="3"/>
    </row>
    <row r="16" spans="1:9" ht="12.75">
      <c r="A16" s="298" t="s">
        <v>226</v>
      </c>
      <c r="B16" s="20" t="s">
        <v>64</v>
      </c>
      <c r="C16" s="8" t="s">
        <v>489</v>
      </c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64</v>
      </c>
      <c r="C17" s="8" t="s">
        <v>489</v>
      </c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148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4" t="s">
        <v>326</v>
      </c>
      <c r="B23" s="395"/>
      <c r="C23" s="396"/>
      <c r="D23" s="397"/>
      <c r="E23" s="28"/>
      <c r="F23" s="11"/>
      <c r="G23" s="11"/>
      <c r="H23" s="6"/>
      <c r="I23" s="6"/>
    </row>
    <row r="24" spans="1:9" ht="12.75">
      <c r="A24" s="394" t="s">
        <v>257</v>
      </c>
      <c r="B24" s="395"/>
      <c r="C24" s="396"/>
      <c r="D24" s="397"/>
      <c r="E24" s="28"/>
      <c r="F24" s="11"/>
      <c r="G24" s="11"/>
      <c r="H24" s="6"/>
      <c r="I24" s="6"/>
    </row>
    <row r="25" spans="1:9" ht="12.75">
      <c r="A25" s="394" t="s">
        <v>221</v>
      </c>
      <c r="B25" s="395"/>
      <c r="C25" s="396"/>
      <c r="D25" s="397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4" t="s">
        <v>324</v>
      </c>
      <c r="B27" s="395"/>
      <c r="C27" s="396"/>
      <c r="D27" s="397"/>
      <c r="E27" s="28"/>
      <c r="F27" s="11"/>
      <c r="G27" s="11"/>
      <c r="H27" s="6"/>
      <c r="I27" s="6"/>
    </row>
    <row r="28" spans="1:9" ht="12.75">
      <c r="A28" s="394" t="s">
        <v>325</v>
      </c>
      <c r="B28" s="395"/>
      <c r="C28" s="396"/>
      <c r="D28" s="397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272</v>
      </c>
      <c r="B31" s="23" t="s">
        <v>185</v>
      </c>
      <c r="C31" s="479"/>
      <c r="D31" s="285"/>
      <c r="E31" s="283">
        <f>C31-D31</f>
        <v>0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479">
        <v>165111462</v>
      </c>
      <c r="D32" s="285"/>
      <c r="E32" s="283">
        <f>C32-D32</f>
        <v>165111462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4">
        <v>2943088</v>
      </c>
      <c r="D33" s="285"/>
      <c r="E33" s="283">
        <f>C33-D33</f>
        <v>2943088</v>
      </c>
      <c r="F33" s="11"/>
      <c r="G33" s="11"/>
      <c r="H33" s="6"/>
      <c r="I33" s="6"/>
    </row>
    <row r="34" spans="1:9" ht="12.75">
      <c r="A34" s="4" t="s">
        <v>224</v>
      </c>
      <c r="B34" s="23" t="s">
        <v>185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4"/>
      <c r="D35" s="285"/>
      <c r="E35" s="283">
        <f>C35-D35</f>
        <v>0</v>
      </c>
      <c r="F35" s="11"/>
      <c r="G35" s="478"/>
      <c r="H35" s="6"/>
      <c r="I35" s="6"/>
    </row>
    <row r="36" spans="1:9" ht="12.75">
      <c r="A36" s="57" t="s">
        <v>179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4">
        <v>138322888</v>
      </c>
      <c r="D39" s="285"/>
      <c r="E39" s="283">
        <f>C39-D39</f>
        <v>138322888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4">
        <v>3290030</v>
      </c>
      <c r="D40" s="285"/>
      <c r="E40" s="283">
        <f aca="true" t="shared" si="0" ref="E40:E48">C40-D40</f>
        <v>3290030</v>
      </c>
      <c r="F40" s="11"/>
      <c r="G40" s="11"/>
      <c r="H40" s="6"/>
      <c r="I40" s="6"/>
    </row>
    <row r="41" spans="1:9" ht="12.75">
      <c r="A41" s="4" t="s">
        <v>273</v>
      </c>
      <c r="B41" s="23" t="s">
        <v>186</v>
      </c>
      <c r="C41" s="284">
        <v>2089196</v>
      </c>
      <c r="D41" s="285"/>
      <c r="E41" s="283">
        <f t="shared" si="0"/>
        <v>2089196</v>
      </c>
      <c r="F41" s="11"/>
      <c r="G41" s="11"/>
      <c r="H41" s="6"/>
      <c r="I41" s="6"/>
    </row>
    <row r="42" spans="1:9" ht="12.75">
      <c r="A42" s="4" t="s">
        <v>274</v>
      </c>
      <c r="B42" s="23" t="s">
        <v>186</v>
      </c>
      <c r="C42" s="284">
        <v>5487034</v>
      </c>
      <c r="D42" s="285"/>
      <c r="E42" s="283">
        <f t="shared" si="0"/>
        <v>5487034</v>
      </c>
      <c r="F42" s="11"/>
      <c r="G42" s="11"/>
      <c r="H42" s="6"/>
      <c r="I42" s="6"/>
    </row>
    <row r="43" spans="1:9" ht="12.75">
      <c r="A43" s="4" t="s">
        <v>275</v>
      </c>
      <c r="B43" s="23" t="s">
        <v>186</v>
      </c>
      <c r="C43" s="284">
        <v>5993336</v>
      </c>
      <c r="D43" s="285"/>
      <c r="E43" s="283">
        <f t="shared" si="0"/>
        <v>5993336</v>
      </c>
      <c r="F43" s="11"/>
      <c r="G43" s="11"/>
      <c r="H43" s="6"/>
      <c r="I43" s="6"/>
    </row>
    <row r="44" spans="1:9" ht="12.75">
      <c r="A44" s="4" t="s">
        <v>276</v>
      </c>
      <c r="B44" s="23" t="s">
        <v>186</v>
      </c>
      <c r="C44" s="284">
        <v>301000</v>
      </c>
      <c r="D44" s="285"/>
      <c r="E44" s="283">
        <f t="shared" si="0"/>
        <v>301000</v>
      </c>
      <c r="F44" s="11"/>
      <c r="G44" s="11"/>
      <c r="H44" s="6"/>
      <c r="I44" s="6"/>
    </row>
    <row r="45" spans="1:11" ht="12.75">
      <c r="A45" s="4" t="s">
        <v>487</v>
      </c>
      <c r="B45" s="23" t="s">
        <v>186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/>
      <c r="B46" s="23" t="s">
        <v>186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186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186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187</v>
      </c>
      <c r="C50" s="280">
        <f>SUM(C31:C36)-SUM(C39:C49)</f>
        <v>12571066</v>
      </c>
      <c r="D50" s="280">
        <f>SUM(D31:D36)-SUM(D39:D49)</f>
        <v>0</v>
      </c>
      <c r="E50" s="280">
        <f>SUM(E31:E35)-SUM(E39:E48)</f>
        <v>12571066</v>
      </c>
      <c r="F50" s="11"/>
      <c r="G50" s="11"/>
      <c r="H50" s="6"/>
      <c r="I50" s="6"/>
    </row>
    <row r="51" spans="1:9" ht="12.75">
      <c r="A51" s="4" t="s">
        <v>91</v>
      </c>
      <c r="B51" s="23" t="s">
        <v>186</v>
      </c>
      <c r="C51" s="284">
        <v>3457810</v>
      </c>
      <c r="D51" s="284"/>
      <c r="E51" s="281">
        <f>+C51-D51</f>
        <v>3457810</v>
      </c>
      <c r="F51" s="11"/>
      <c r="G51" s="11"/>
      <c r="H51" s="6"/>
      <c r="I51" s="6"/>
    </row>
    <row r="52" spans="1:6" ht="12.75">
      <c r="A52" t="s">
        <v>180</v>
      </c>
      <c r="B52" s="8" t="s">
        <v>186</v>
      </c>
      <c r="C52" s="284">
        <v>2992370</v>
      </c>
      <c r="D52" s="284"/>
      <c r="E52" s="282">
        <f>+C52-D52</f>
        <v>2992370</v>
      </c>
      <c r="F52" s="8"/>
    </row>
    <row r="53" spans="1:6" ht="12.75">
      <c r="A53" s="2" t="s">
        <v>129</v>
      </c>
      <c r="B53" s="8" t="s">
        <v>187</v>
      </c>
      <c r="C53" s="280">
        <f>C50-C51-C52</f>
        <v>6120886</v>
      </c>
      <c r="D53" s="280">
        <f>D50-D51-D52</f>
        <v>0</v>
      </c>
      <c r="E53" s="280">
        <f>E50-E51-E52</f>
        <v>6120886</v>
      </c>
      <c r="F53" s="8"/>
    </row>
    <row r="54" spans="1:7" ht="24">
      <c r="A54" s="87" t="s">
        <v>212</v>
      </c>
      <c r="B54" s="8"/>
      <c r="C54" s="29"/>
      <c r="D54" s="29"/>
      <c r="E54" s="29"/>
      <c r="F54" s="8"/>
      <c r="G54" s="485">
        <f>C53-13126473</f>
        <v>-7005587</v>
      </c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185</v>
      </c>
      <c r="C59" s="286">
        <f>C52</f>
        <v>2992370</v>
      </c>
      <c r="D59" s="286">
        <f>D52</f>
        <v>0</v>
      </c>
      <c r="E59" s="271">
        <f>+C59-D59</f>
        <v>2992370</v>
      </c>
      <c r="F59" s="514"/>
      <c r="G59" s="515"/>
    </row>
    <row r="60" spans="1:6" ht="12.75">
      <c r="A60" s="4" t="s">
        <v>327</v>
      </c>
      <c r="B60" s="8" t="s">
        <v>185</v>
      </c>
      <c r="C60" s="316"/>
      <c r="D60" s="316"/>
      <c r="E60" s="271">
        <f>+C60-D60</f>
        <v>0</v>
      </c>
      <c r="F60" s="8"/>
    </row>
    <row r="61" spans="1:7" ht="12.75">
      <c r="A61" t="s">
        <v>4</v>
      </c>
      <c r="B61" s="8" t="s">
        <v>185</v>
      </c>
      <c r="C61" s="286">
        <f>C43</f>
        <v>5993336</v>
      </c>
      <c r="D61" s="286">
        <f>D43</f>
        <v>0</v>
      </c>
      <c r="E61" s="271">
        <f>+C61-D61</f>
        <v>5993336</v>
      </c>
      <c r="F61" s="514"/>
      <c r="G61" s="407"/>
    </row>
    <row r="62" spans="1:6" ht="12.75">
      <c r="A62" t="s">
        <v>6</v>
      </c>
      <c r="B62" s="8" t="s">
        <v>185</v>
      </c>
      <c r="C62" s="316">
        <v>0</v>
      </c>
      <c r="D62" s="286">
        <v>0</v>
      </c>
      <c r="E62" s="271">
        <f>+C62-D62</f>
        <v>0</v>
      </c>
      <c r="F62" s="8"/>
    </row>
    <row r="63" spans="1:6" ht="12.75">
      <c r="A63" s="31" t="s">
        <v>277</v>
      </c>
      <c r="B63" s="8" t="s">
        <v>185</v>
      </c>
      <c r="C63" s="314">
        <f>'Tax Reserves'!C22</f>
        <v>0</v>
      </c>
      <c r="D63" s="315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185</v>
      </c>
      <c r="C64" s="314">
        <f>'Tax Reserves'!C64</f>
        <v>2228002</v>
      </c>
      <c r="D64" s="315">
        <f>'Tax Reserves'!D64</f>
        <v>0</v>
      </c>
      <c r="E64" s="271">
        <f>+C64-D64</f>
        <v>2228002</v>
      </c>
      <c r="F64" s="514"/>
    </row>
    <row r="65" spans="1:6" ht="12.75">
      <c r="A65" t="s">
        <v>446</v>
      </c>
      <c r="B65" s="8" t="s">
        <v>185</v>
      </c>
      <c r="C65" s="285"/>
      <c r="D65" s="285"/>
      <c r="E65" s="271">
        <f>+C65-D65</f>
        <v>0</v>
      </c>
      <c r="F65" s="8"/>
    </row>
    <row r="66" spans="1:6" ht="15">
      <c r="A66" s="456" t="s">
        <v>397</v>
      </c>
      <c r="B66" s="8"/>
      <c r="C66" s="435">
        <f>'TAXREC 3 No True-up'!C47</f>
        <v>0</v>
      </c>
      <c r="D66" s="435">
        <f>'TAXREC 3 No True-up'!D47</f>
        <v>0</v>
      </c>
      <c r="E66" s="271">
        <f>+C66-D66</f>
        <v>0</v>
      </c>
      <c r="F66" s="8"/>
    </row>
    <row r="67" spans="1:6" ht="12.75">
      <c r="A67" t="s">
        <v>158</v>
      </c>
      <c r="B67" s="8" t="s">
        <v>185</v>
      </c>
      <c r="C67" s="250">
        <f>'TAXREC 2'!C79</f>
        <v>138976</v>
      </c>
      <c r="D67" s="250">
        <f>'TAXREC 2'!D79</f>
        <v>0</v>
      </c>
      <c r="E67" s="271">
        <f>+C67-D67</f>
        <v>138976</v>
      </c>
      <c r="F67" s="8"/>
    </row>
    <row r="68" spans="1:11" ht="12.75">
      <c r="A68" t="s">
        <v>159</v>
      </c>
      <c r="B68" s="8" t="s">
        <v>185</v>
      </c>
      <c r="C68" s="250">
        <f>'TAXREC 2'!C80</f>
        <v>37563</v>
      </c>
      <c r="D68" s="250">
        <f>'TAXREC 2'!D80</f>
        <v>0</v>
      </c>
      <c r="E68" s="271">
        <f>+C68-D68</f>
        <v>37563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71">
        <f>SUM(C59:C68)</f>
        <v>11390247</v>
      </c>
      <c r="D70" s="271">
        <f>SUM(D59:D68)</f>
        <v>0</v>
      </c>
      <c r="E70" s="271">
        <f>SUM(E59:E68)</f>
        <v>11390247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3">
        <v>0</v>
      </c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146</v>
      </c>
      <c r="B74" s="8" t="s">
        <v>185</v>
      </c>
      <c r="C74" s="293">
        <v>0</v>
      </c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185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480</v>
      </c>
      <c r="B76" s="8" t="s">
        <v>185</v>
      </c>
      <c r="C76" s="468"/>
      <c r="D76" s="293"/>
      <c r="E76" s="46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185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185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185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187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187</v>
      </c>
      <c r="C82" s="250">
        <f>C70+C80</f>
        <v>11390247</v>
      </c>
      <c r="D82" s="250">
        <f>D70+D80</f>
        <v>0</v>
      </c>
      <c r="E82" s="250">
        <f>E70+E80</f>
        <v>11390247</v>
      </c>
      <c r="F82" s="8"/>
      <c r="G82" s="30">
        <f>C82</f>
        <v>11390247</v>
      </c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>
        <f>28148350</f>
        <v>28148350</v>
      </c>
      <c r="H83" s="45"/>
      <c r="I83" s="45"/>
      <c r="J83" s="45"/>
      <c r="K83" s="45"/>
    </row>
    <row r="84" spans="1:11" ht="12.75">
      <c r="A84" s="279" t="s">
        <v>173</v>
      </c>
      <c r="B84" s="45"/>
      <c r="C84" s="23"/>
      <c r="D84" s="23"/>
      <c r="E84" s="23"/>
      <c r="F84" s="8"/>
      <c r="G84" s="30">
        <f>G82-G83</f>
        <v>-16758103</v>
      </c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149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434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195</v>
      </c>
      <c r="B94" s="272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186</v>
      </c>
      <c r="C97" s="293">
        <v>5790988</v>
      </c>
      <c r="D97" s="293"/>
      <c r="E97" s="271">
        <f>+C97-D97</f>
        <v>5790988</v>
      </c>
      <c r="F97" s="515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3">
        <v>228</v>
      </c>
      <c r="D98" s="293"/>
      <c r="E98" s="271">
        <f>+C98-D98</f>
        <v>228</v>
      </c>
      <c r="F98" s="514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186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186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186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513</v>
      </c>
      <c r="B103" s="8" t="s">
        <v>186</v>
      </c>
      <c r="C103" s="293">
        <v>0</v>
      </c>
      <c r="D103" s="293"/>
      <c r="E103" s="282">
        <f t="shared" si="5"/>
        <v>0</v>
      </c>
      <c r="F103" s="514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186</v>
      </c>
      <c r="C104" s="317">
        <f>'Tax Reserves'!C35</f>
        <v>0</v>
      </c>
      <c r="D104" s="317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186</v>
      </c>
      <c r="C105" s="317">
        <f>'Tax Reserves'!C51</f>
        <v>2149397</v>
      </c>
      <c r="D105" s="317">
        <f>'Tax Reserves'!D51</f>
        <v>0</v>
      </c>
      <c r="E105" s="281">
        <f t="shared" si="5"/>
        <v>2149397</v>
      </c>
      <c r="F105" s="514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6" t="s">
        <v>397</v>
      </c>
      <c r="B108" s="8"/>
      <c r="C108" s="253">
        <f>'TAXREC 3 No True-up'!C73</f>
        <v>3353578</v>
      </c>
      <c r="D108" s="253">
        <f>'TAXREC 3 No True-up'!D73</f>
        <v>0</v>
      </c>
      <c r="E108" s="271">
        <f t="shared" si="5"/>
        <v>3353578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50">
        <f>'TAXREC 2'!C122</f>
        <v>0</v>
      </c>
      <c r="D110" s="250">
        <f>'TAXREC 2'!D122</f>
        <v>0</v>
      </c>
      <c r="E110" s="250">
        <f>'TAXREC 2'!E122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50">
        <f>'TAXREC 2'!C123</f>
        <v>123120</v>
      </c>
      <c r="D111" s="250">
        <f>'TAXREC 2'!D123</f>
        <v>0</v>
      </c>
      <c r="E111" s="250">
        <f>'TAXREC 2'!E123</f>
        <v>123120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162</v>
      </c>
      <c r="B113" s="8" t="s">
        <v>187</v>
      </c>
      <c r="C113" s="250">
        <f>SUM(C97:C111)</f>
        <v>11417311</v>
      </c>
      <c r="D113" s="250">
        <f>SUM(D97:D111)</f>
        <v>0</v>
      </c>
      <c r="E113" s="250">
        <f>SUM(E97:E111)</f>
        <v>11417311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186</v>
      </c>
      <c r="C115" s="293">
        <v>23368</v>
      </c>
      <c r="D115" s="293"/>
      <c r="E115" s="271">
        <f>+C115-D115</f>
        <v>23368</v>
      </c>
      <c r="F115" s="514"/>
      <c r="G115" s="76"/>
      <c r="H115" s="77"/>
      <c r="I115" s="78"/>
      <c r="J115" s="78"/>
      <c r="K115" s="78"/>
    </row>
    <row r="116" spans="1:11" ht="12.75">
      <c r="A116" s="68" t="s">
        <v>220</v>
      </c>
      <c r="B116" s="8" t="s">
        <v>186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186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186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187</v>
      </c>
      <c r="C120" s="250">
        <f>SUM(C114:C119)</f>
        <v>23368</v>
      </c>
      <c r="D120" s="250">
        <f>SUM(D114:D119)</f>
        <v>0</v>
      </c>
      <c r="E120" s="250">
        <f>SUM(E114:E119)</f>
        <v>23368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187</v>
      </c>
      <c r="C122" s="250">
        <f>C113+C120</f>
        <v>11440679</v>
      </c>
      <c r="D122" s="250">
        <f>D113+D120</f>
        <v>0</v>
      </c>
      <c r="E122" s="250">
        <f>+E113+E120</f>
        <v>11440679</v>
      </c>
      <c r="F122" s="8"/>
      <c r="G122" s="483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83"/>
      <c r="H123" s="45"/>
      <c r="I123" s="45"/>
      <c r="J123" s="45"/>
      <c r="K123" s="45"/>
    </row>
    <row r="124" spans="1:11" ht="12.75">
      <c r="A124" s="290" t="s">
        <v>174</v>
      </c>
      <c r="C124" s="8"/>
      <c r="D124" s="8"/>
      <c r="E124" s="8"/>
      <c r="F124" s="8"/>
      <c r="G124" s="483"/>
      <c r="H124" s="45"/>
      <c r="I124" s="45"/>
      <c r="J124" s="484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83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197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198</v>
      </c>
      <c r="B131" s="272"/>
      <c r="C131" s="250">
        <f>C120-C130</f>
        <v>23368</v>
      </c>
      <c r="D131" s="250">
        <f>D120-D130</f>
        <v>0</v>
      </c>
      <c r="E131" s="250">
        <f>E120-E130</f>
        <v>23368</v>
      </c>
      <c r="F131" s="518"/>
      <c r="G131" s="45"/>
      <c r="H131" s="45"/>
      <c r="I131" s="45"/>
      <c r="J131" s="45"/>
      <c r="K131" s="45"/>
    </row>
    <row r="132" spans="1:11" ht="12.75">
      <c r="A132" s="272" t="s">
        <v>196</v>
      </c>
      <c r="B132" s="272"/>
      <c r="C132" s="250">
        <f>C130+C131</f>
        <v>23368</v>
      </c>
      <c r="D132" s="250">
        <f>D130+D131</f>
        <v>0</v>
      </c>
      <c r="E132" s="250">
        <f>E130+E131</f>
        <v>23368</v>
      </c>
      <c r="F132" s="8"/>
      <c r="G132" s="30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>
        <f>C134</f>
        <v>6070454</v>
      </c>
      <c r="J133" s="45"/>
      <c r="K133" s="45"/>
    </row>
    <row r="134" spans="1:11" ht="12.75">
      <c r="A134" s="13" t="s">
        <v>81</v>
      </c>
      <c r="B134" s="8" t="s">
        <v>187</v>
      </c>
      <c r="C134" s="250">
        <f>+C53+C82-C122</f>
        <v>6070454</v>
      </c>
      <c r="D134" s="250">
        <f>D53+D82-D122</f>
        <v>0</v>
      </c>
      <c r="E134" s="250">
        <f>E53+E82-E122</f>
        <v>6070454</v>
      </c>
      <c r="F134" s="8"/>
      <c r="G134" s="30"/>
      <c r="H134" s="45"/>
      <c r="I134" s="45">
        <v>1546794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74">
        <f>I133-I134</f>
        <v>4523660</v>
      </c>
      <c r="J135" s="45" t="s">
        <v>312</v>
      </c>
      <c r="K135" s="45"/>
    </row>
    <row r="136" spans="1:11" ht="12.75">
      <c r="A136" s="12" t="s">
        <v>377</v>
      </c>
      <c r="B136" s="8" t="s">
        <v>186</v>
      </c>
      <c r="C136" s="293"/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378</v>
      </c>
      <c r="B137" s="8" t="s">
        <v>186</v>
      </c>
      <c r="C137" s="309"/>
      <c r="D137" s="309"/>
      <c r="E137" s="388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88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187</v>
      </c>
      <c r="C139" s="251">
        <f>C134-C136-C137-C138</f>
        <v>6070454</v>
      </c>
      <c r="D139" s="251">
        <f>D134-D136-D137-D138</f>
        <v>0</v>
      </c>
      <c r="E139" s="251">
        <f>E134-E136-E137-E138</f>
        <v>6070454</v>
      </c>
      <c r="F139" s="8"/>
      <c r="G139" s="487">
        <f>C139-26519310</f>
        <v>-20448856</v>
      </c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8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185</v>
      </c>
      <c r="C142" s="297">
        <f>1302237+40548</f>
        <v>1342785</v>
      </c>
      <c r="D142" s="297"/>
      <c r="E142" s="251">
        <f>C142-D142</f>
        <v>1342785</v>
      </c>
      <c r="F142" s="525"/>
      <c r="G142" s="45" t="s">
        <v>494</v>
      </c>
      <c r="H142" s="45"/>
      <c r="I142" s="45"/>
      <c r="J142" s="45"/>
      <c r="K142" s="45"/>
    </row>
    <row r="143" spans="1:11" ht="12.75">
      <c r="A143" s="46" t="s">
        <v>322</v>
      </c>
      <c r="B143" s="8" t="s">
        <v>185</v>
      </c>
      <c r="C143" s="297">
        <v>839192</v>
      </c>
      <c r="D143" s="297"/>
      <c r="E143" s="291">
        <f>C143-D143</f>
        <v>839192</v>
      </c>
      <c r="F143" s="525"/>
      <c r="G143" s="45" t="s">
        <v>494</v>
      </c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1">
        <f>C142+C143</f>
        <v>2181977</v>
      </c>
      <c r="D144" s="251">
        <f>D142+D143</f>
        <v>0</v>
      </c>
      <c r="E144" s="251">
        <f>E142+E143</f>
        <v>2181977</v>
      </c>
      <c r="F144" s="51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186</v>
      </c>
      <c r="C145" s="297">
        <f>40548+936</f>
        <v>41484</v>
      </c>
      <c r="D145" s="297"/>
      <c r="E145" s="292">
        <f>C145-D145</f>
        <v>41484</v>
      </c>
      <c r="F145" s="518"/>
      <c r="G145" s="45"/>
      <c r="H145" s="45"/>
      <c r="I145" s="45"/>
      <c r="J145" s="45"/>
      <c r="K145" s="45"/>
    </row>
    <row r="146" spans="1:11" ht="12.75">
      <c r="A146" s="318" t="s">
        <v>98</v>
      </c>
      <c r="B146" s="8" t="s">
        <v>187</v>
      </c>
      <c r="C146" s="251">
        <f>C144-C145</f>
        <v>2140493</v>
      </c>
      <c r="D146" s="251">
        <f>D144-D145</f>
        <v>0</v>
      </c>
      <c r="E146" s="251">
        <f>E144-E145</f>
        <v>2140493</v>
      </c>
      <c r="F146" s="51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518"/>
      <c r="G147" s="45"/>
      <c r="H147" s="45"/>
      <c r="I147" s="45"/>
      <c r="J147" s="45"/>
      <c r="K147" s="45"/>
    </row>
    <row r="148" spans="1:11" ht="12.75">
      <c r="A148" s="318" t="s">
        <v>304</v>
      </c>
      <c r="B148" s="8"/>
      <c r="C148" s="5"/>
      <c r="D148" s="5"/>
      <c r="E148" s="5"/>
      <c r="F148" s="51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399">
        <f>C142/C139</f>
        <v>0.2212000947540332</v>
      </c>
      <c r="D149" s="5"/>
      <c r="E149" s="399">
        <f>C149</f>
        <v>0.2212000947540332</v>
      </c>
      <c r="F149" s="8"/>
      <c r="G149" s="45" t="s">
        <v>472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399">
        <f>C143/C139</f>
        <v>0.13824204911197746</v>
      </c>
      <c r="D150" s="5"/>
      <c r="E150" s="399">
        <f>C150</f>
        <v>0.13824204911197746</v>
      </c>
      <c r="F150" s="8"/>
      <c r="G150" s="513" t="s">
        <v>473</v>
      </c>
      <c r="H150" s="45"/>
      <c r="I150" s="45"/>
      <c r="J150" s="45"/>
      <c r="K150" s="45"/>
    </row>
    <row r="151" spans="1:11" ht="12.75">
      <c r="A151" t="s">
        <v>331</v>
      </c>
      <c r="B151" s="8"/>
      <c r="C151" s="399">
        <f>SUM(C149:C150)</f>
        <v>0.3594421438660107</v>
      </c>
      <c r="D151" s="473" t="s">
        <v>485</v>
      </c>
      <c r="E151" s="399">
        <f>SUM(E149:E150)</f>
        <v>0.3594421438660107</v>
      </c>
      <c r="F151" s="8"/>
      <c r="G151" s="513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358</v>
      </c>
      <c r="B153" s="8"/>
    </row>
    <row r="154" spans="1:2" ht="12.75">
      <c r="A154" s="14"/>
      <c r="B154" s="8"/>
    </row>
    <row r="155" spans="1:2" ht="12.75">
      <c r="A155" s="2" t="s">
        <v>483</v>
      </c>
      <c r="B155" s="8"/>
    </row>
    <row r="156" spans="1:5" ht="12.75">
      <c r="A156" t="s">
        <v>217</v>
      </c>
      <c r="B156" s="86" t="s">
        <v>185</v>
      </c>
      <c r="C156" s="250">
        <f>C146</f>
        <v>2140493</v>
      </c>
      <c r="D156" s="250">
        <f>D146</f>
        <v>0</v>
      </c>
      <c r="E156" s="250">
        <f>E146</f>
        <v>2140493</v>
      </c>
    </row>
    <row r="157" spans="1:8" ht="12.75">
      <c r="A157" t="s">
        <v>20</v>
      </c>
      <c r="B157" s="86" t="s">
        <v>185</v>
      </c>
      <c r="C157" s="470">
        <v>331882</v>
      </c>
      <c r="D157" s="250"/>
      <c r="E157" s="250">
        <f>C157+D157</f>
        <v>331882</v>
      </c>
      <c r="F157" s="525"/>
      <c r="G157" s="34"/>
      <c r="H157" s="34"/>
    </row>
    <row r="158" spans="1:9" ht="12.75">
      <c r="A158" t="s">
        <v>216</v>
      </c>
      <c r="B158" s="86" t="s">
        <v>185</v>
      </c>
      <c r="C158" s="470">
        <v>46310</v>
      </c>
      <c r="D158" s="250"/>
      <c r="E158" s="250">
        <f>C158+D158</f>
        <v>46310</v>
      </c>
      <c r="F158" s="518"/>
      <c r="G158" s="532"/>
      <c r="H158" s="533"/>
      <c r="I158" s="533"/>
    </row>
    <row r="159" spans="2:9" ht="12.75">
      <c r="B159" s="8"/>
      <c r="G159" s="533"/>
      <c r="H159" s="533"/>
      <c r="I159" s="533"/>
    </row>
    <row r="160" spans="1:9" ht="12.75">
      <c r="A160" s="2" t="s">
        <v>301</v>
      </c>
      <c r="B160" s="66" t="s">
        <v>187</v>
      </c>
      <c r="C160" s="250">
        <f>C156+C157+C158</f>
        <v>2518685</v>
      </c>
      <c r="D160" s="250">
        <f>D156+D157+D158</f>
        <v>0</v>
      </c>
      <c r="E160" s="250">
        <f>E156+E157+E158</f>
        <v>2518685</v>
      </c>
      <c r="G160" s="533"/>
      <c r="H160" s="533"/>
      <c r="I160" s="533"/>
    </row>
    <row r="161" spans="3:9" ht="12.75">
      <c r="C161" s="85"/>
      <c r="G161" s="533"/>
      <c r="H161" s="533"/>
      <c r="I161" s="533"/>
    </row>
    <row r="162" spans="3:9" ht="12.75">
      <c r="C162" s="8"/>
      <c r="G162" s="533"/>
      <c r="H162" s="533"/>
      <c r="I162" s="533"/>
    </row>
    <row r="163" spans="1:9" ht="12.75">
      <c r="A163" s="526"/>
      <c r="E163" s="22"/>
      <c r="G163" s="533"/>
      <c r="H163" s="533"/>
      <c r="I163" s="533"/>
    </row>
    <row r="164" spans="7:9" ht="12.75">
      <c r="G164" s="533"/>
      <c r="H164" s="533"/>
      <c r="I164" s="533"/>
    </row>
    <row r="165" spans="7:9" ht="12.75">
      <c r="G165" s="533"/>
      <c r="H165" s="533"/>
      <c r="I165" s="533"/>
    </row>
    <row r="166" spans="7:9" ht="12.75">
      <c r="G166" s="533"/>
      <c r="H166" s="533"/>
      <c r="I166" s="533"/>
    </row>
    <row r="167" spans="7:9" ht="12.75">
      <c r="G167" s="533"/>
      <c r="H167" s="533"/>
      <c r="I167" s="533"/>
    </row>
    <row r="168" spans="7:9" ht="12.75">
      <c r="G168" s="533"/>
      <c r="H168" s="533"/>
      <c r="I168" s="533"/>
    </row>
    <row r="169" spans="7:9" ht="12.75">
      <c r="G169" s="533"/>
      <c r="H169" s="533"/>
      <c r="I169" s="533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" right="0.236220472440945" top="0.66" bottom="0.66" header="0.19" footer="0"/>
  <pageSetup fitToHeight="6" fitToWidth="1" horizontalDpi="600" verticalDpi="600" orientation="portrait" scale="78" r:id="rId1"/>
  <headerFooter alignWithMargins="0">
    <oddHeader>&amp;R&amp;9Hydro One Brampton Networks Inc.
EB-2008-0381
Deferred PILs Combined Proceeding
</oddHeader>
    <oddFooter>&amp;L&amp;8March 22, 2010&amp;C&amp;Z&amp;F&amp;R&amp;"Arial,Bold"&amp;9&amp;A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4"/>
  <sheetViews>
    <sheetView zoomScalePageLayoutView="0" workbookViewId="0" topLeftCell="A37">
      <selection activeCell="F37" sqref="F1:F65536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7" ht="12.75">
      <c r="A7" s="2" t="str">
        <f>REGINFO!A3</f>
        <v>Utility Name: Burlington Hydro Inc.</v>
      </c>
      <c r="B7" s="20"/>
      <c r="C7" s="25"/>
      <c r="D7" s="25"/>
      <c r="E7" s="25"/>
      <c r="F7" s="514"/>
      <c r="G7" s="515" t="s">
        <v>519</v>
      </c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6" t="s">
        <v>271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0">
        <f>C13-D13</f>
        <v>0</v>
      </c>
    </row>
    <row r="14" spans="1:5" ht="12.75">
      <c r="A14" s="61" t="s">
        <v>279</v>
      </c>
      <c r="B14" s="61"/>
      <c r="C14" s="293"/>
      <c r="D14" s="293"/>
      <c r="E14" s="250">
        <f aca="true" t="shared" si="0" ref="E14:E21">C14-D14</f>
        <v>0</v>
      </c>
    </row>
    <row r="15" spans="1:5" ht="12.75">
      <c r="A15" s="61" t="s">
        <v>280</v>
      </c>
      <c r="B15" s="61"/>
      <c r="C15" s="293"/>
      <c r="D15" s="293"/>
      <c r="E15" s="250">
        <f t="shared" si="0"/>
        <v>0</v>
      </c>
    </row>
    <row r="16" spans="1:5" ht="12.75">
      <c r="A16" s="61" t="s">
        <v>281</v>
      </c>
      <c r="B16" s="61"/>
      <c r="C16" s="293"/>
      <c r="D16" s="293"/>
      <c r="E16" s="250">
        <f t="shared" si="0"/>
        <v>0</v>
      </c>
    </row>
    <row r="17" spans="1:5" ht="12.75">
      <c r="A17" s="61" t="s">
        <v>282</v>
      </c>
      <c r="B17" s="61"/>
      <c r="C17" s="293"/>
      <c r="D17" s="293"/>
      <c r="E17" s="250">
        <f t="shared" si="0"/>
        <v>0</v>
      </c>
    </row>
    <row r="18" spans="1:5" ht="12.75">
      <c r="A18" s="61" t="s">
        <v>451</v>
      </c>
      <c r="B18" s="61"/>
      <c r="C18" s="293"/>
      <c r="D18" s="293"/>
      <c r="E18" s="250">
        <f t="shared" si="0"/>
        <v>0</v>
      </c>
    </row>
    <row r="19" spans="1:5" ht="12.75">
      <c r="A19" s="61" t="s">
        <v>451</v>
      </c>
      <c r="B19" s="61"/>
      <c r="C19" s="293"/>
      <c r="D19" s="293"/>
      <c r="E19" s="250">
        <f t="shared" si="0"/>
        <v>0</v>
      </c>
    </row>
    <row r="20" spans="1:5" ht="12.75">
      <c r="A20" s="61"/>
      <c r="B20" s="61"/>
      <c r="C20" s="293"/>
      <c r="D20" s="293"/>
      <c r="E20" s="250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178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270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0">
        <f>C25-D25</f>
        <v>0</v>
      </c>
    </row>
    <row r="26" spans="1:5" ht="12.75">
      <c r="A26" s="61" t="s">
        <v>279</v>
      </c>
      <c r="B26" s="61"/>
      <c r="C26" s="293"/>
      <c r="D26" s="293"/>
      <c r="E26" s="250">
        <f aca="true" t="shared" si="1" ref="E26:E33">C26-D26</f>
        <v>0</v>
      </c>
    </row>
    <row r="27" spans="1:5" ht="12.75">
      <c r="A27" s="61" t="s">
        <v>280</v>
      </c>
      <c r="B27" s="61"/>
      <c r="C27" s="293"/>
      <c r="D27" s="293"/>
      <c r="E27" s="250">
        <f t="shared" si="1"/>
        <v>0</v>
      </c>
    </row>
    <row r="28" spans="1:5" ht="12.75">
      <c r="A28" s="61" t="s">
        <v>281</v>
      </c>
      <c r="B28" s="61"/>
      <c r="C28" s="293"/>
      <c r="D28" s="293"/>
      <c r="E28" s="250">
        <f t="shared" si="1"/>
        <v>0</v>
      </c>
    </row>
    <row r="29" spans="1:5" ht="12.75">
      <c r="A29" s="61" t="s">
        <v>282</v>
      </c>
      <c r="B29" s="61"/>
      <c r="C29" s="293"/>
      <c r="D29" s="293"/>
      <c r="E29" s="250">
        <f t="shared" si="1"/>
        <v>0</v>
      </c>
    </row>
    <row r="30" spans="1:5" ht="12.75">
      <c r="A30" s="61" t="s">
        <v>451</v>
      </c>
      <c r="B30" s="61"/>
      <c r="C30" s="293"/>
      <c r="D30" s="293"/>
      <c r="E30" s="250">
        <f t="shared" si="1"/>
        <v>0</v>
      </c>
    </row>
    <row r="31" spans="1:5" ht="12.75">
      <c r="A31" s="61" t="s">
        <v>451</v>
      </c>
      <c r="B31" s="61"/>
      <c r="C31" s="293"/>
      <c r="D31" s="293"/>
      <c r="E31" s="250">
        <f t="shared" si="1"/>
        <v>0</v>
      </c>
    </row>
    <row r="32" spans="1:5" ht="12.75">
      <c r="A32" s="61"/>
      <c r="B32" s="61"/>
      <c r="C32" s="293"/>
      <c r="D32" s="293"/>
      <c r="E32" s="250">
        <f t="shared" si="1"/>
        <v>0</v>
      </c>
    </row>
    <row r="33" spans="1:5" ht="13.5" thickBot="1">
      <c r="A33" s="62"/>
      <c r="B33" s="61"/>
      <c r="C33" s="293"/>
      <c r="D33" s="293"/>
      <c r="E33" s="250">
        <f t="shared" si="1"/>
        <v>0</v>
      </c>
    </row>
    <row r="34" spans="1:5" ht="12.75">
      <c r="A34" s="56" t="s">
        <v>130</v>
      </c>
      <c r="C34" s="22"/>
      <c r="D34" s="22"/>
      <c r="E34" s="278"/>
    </row>
    <row r="35" spans="1:5" ht="12.75">
      <c r="A35" s="2" t="s">
        <v>178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271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0">
        <f>C41-D41</f>
        <v>0</v>
      </c>
    </row>
    <row r="42" spans="1:5" ht="12.75">
      <c r="A42" s="61"/>
      <c r="B42" s="61"/>
      <c r="C42" s="293"/>
      <c r="D42" s="293"/>
      <c r="E42" s="250">
        <f aca="true" t="shared" si="2" ref="E42:E50">C42-D42</f>
        <v>0</v>
      </c>
    </row>
    <row r="43" spans="1:5" ht="12.75">
      <c r="A43" s="61" t="s">
        <v>265</v>
      </c>
      <c r="B43" s="61"/>
      <c r="C43" s="293"/>
      <c r="D43" s="293"/>
      <c r="E43" s="250">
        <f t="shared" si="2"/>
        <v>0</v>
      </c>
    </row>
    <row r="44" spans="1:5" ht="12.75">
      <c r="A44" s="61" t="s">
        <v>266</v>
      </c>
      <c r="B44" s="61"/>
      <c r="C44" s="293"/>
      <c r="D44" s="293"/>
      <c r="E44" s="250">
        <f t="shared" si="2"/>
        <v>0</v>
      </c>
    </row>
    <row r="45" spans="1:5" ht="12.75">
      <c r="A45" s="61" t="s">
        <v>267</v>
      </c>
      <c r="B45" s="61"/>
      <c r="C45" s="293"/>
      <c r="D45" s="293"/>
      <c r="E45" s="250">
        <f t="shared" si="2"/>
        <v>0</v>
      </c>
    </row>
    <row r="46" spans="1:5" ht="12.75">
      <c r="A46" s="61" t="s">
        <v>268</v>
      </c>
      <c r="B46" s="61"/>
      <c r="C46" s="293"/>
      <c r="D46" s="293"/>
      <c r="E46" s="250">
        <f t="shared" si="2"/>
        <v>0</v>
      </c>
    </row>
    <row r="47" spans="1:6" ht="12.75">
      <c r="A47" s="477" t="s">
        <v>490</v>
      </c>
      <c r="B47" s="61"/>
      <c r="C47" s="293">
        <v>2149397</v>
      </c>
      <c r="D47" s="293"/>
      <c r="E47" s="250">
        <f t="shared" si="2"/>
        <v>2149397</v>
      </c>
      <c r="F47" s="514"/>
    </row>
    <row r="48" spans="1:7" ht="12.75">
      <c r="A48" s="477" t="s">
        <v>491</v>
      </c>
      <c r="B48" s="61"/>
      <c r="C48" s="293"/>
      <c r="D48" s="293"/>
      <c r="E48" s="250">
        <f t="shared" si="2"/>
        <v>0</v>
      </c>
      <c r="G48" s="516"/>
    </row>
    <row r="49" spans="1:5" ht="12.75">
      <c r="A49" s="61" t="s">
        <v>451</v>
      </c>
      <c r="B49" s="61"/>
      <c r="C49" s="293"/>
      <c r="D49" s="293"/>
      <c r="E49" s="250">
        <f t="shared" si="2"/>
        <v>0</v>
      </c>
    </row>
    <row r="50" spans="1:5" ht="12.75">
      <c r="A50" s="61"/>
      <c r="B50" s="61"/>
      <c r="C50" s="309"/>
      <c r="D50" s="309"/>
      <c r="E50" s="278">
        <f t="shared" si="2"/>
        <v>0</v>
      </c>
    </row>
    <row r="51" spans="1:5" ht="12.75">
      <c r="A51" s="2" t="s">
        <v>178</v>
      </c>
      <c r="C51" s="250">
        <f>SUM(C41:C50)</f>
        <v>2149397</v>
      </c>
      <c r="D51" s="250">
        <f>SUM(D41:D50)</f>
        <v>0</v>
      </c>
      <c r="E51" s="250">
        <f>SUM(E41:E50)</f>
        <v>2149397</v>
      </c>
    </row>
    <row r="52" spans="3:5" ht="12.75">
      <c r="C52" s="22"/>
      <c r="D52" s="22"/>
      <c r="E52" s="22"/>
    </row>
    <row r="53" spans="1:5" ht="12.75">
      <c r="A53" s="246" t="s">
        <v>270</v>
      </c>
      <c r="B53" s="61"/>
      <c r="C53" s="91"/>
      <c r="D53" s="91"/>
      <c r="E53" s="91"/>
    </row>
    <row r="54" spans="1:5" ht="12.75">
      <c r="A54" s="61"/>
      <c r="B54" s="61"/>
      <c r="C54" s="293"/>
      <c r="D54" s="293"/>
      <c r="E54" s="250">
        <f>C54-D54</f>
        <v>0</v>
      </c>
    </row>
    <row r="55" spans="1:5" ht="12.75">
      <c r="A55" s="245"/>
      <c r="B55" s="61"/>
      <c r="C55" s="293"/>
      <c r="D55" s="293"/>
      <c r="E55" s="250">
        <f aca="true" t="shared" si="3" ref="E55:E62">C55-D55</f>
        <v>0</v>
      </c>
    </row>
    <row r="56" spans="1:5" ht="12.75">
      <c r="A56" s="245" t="s">
        <v>265</v>
      </c>
      <c r="B56" s="61"/>
      <c r="C56" s="293"/>
      <c r="D56" s="293"/>
      <c r="E56" s="250">
        <f t="shared" si="3"/>
        <v>0</v>
      </c>
    </row>
    <row r="57" spans="1:5" ht="12.75">
      <c r="A57" s="245" t="s">
        <v>266</v>
      </c>
      <c r="B57" s="61"/>
      <c r="C57" s="293"/>
      <c r="D57" s="293"/>
      <c r="E57" s="250">
        <f t="shared" si="3"/>
        <v>0</v>
      </c>
    </row>
    <row r="58" spans="1:5" ht="12.75">
      <c r="A58" s="245" t="s">
        <v>267</v>
      </c>
      <c r="B58" s="61"/>
      <c r="C58" s="293"/>
      <c r="D58" s="293"/>
      <c r="E58" s="250">
        <f t="shared" si="3"/>
        <v>0</v>
      </c>
    </row>
    <row r="59" spans="1:5" ht="12.75">
      <c r="A59" s="245" t="s">
        <v>268</v>
      </c>
      <c r="B59" s="61"/>
      <c r="C59" s="293"/>
      <c r="D59" s="293"/>
      <c r="E59" s="250">
        <f t="shared" si="3"/>
        <v>0</v>
      </c>
    </row>
    <row r="60" spans="1:6" ht="12.75">
      <c r="A60" s="477" t="s">
        <v>490</v>
      </c>
      <c r="B60" s="61"/>
      <c r="C60" s="293">
        <v>2228002</v>
      </c>
      <c r="D60" s="293"/>
      <c r="E60" s="250">
        <f t="shared" si="3"/>
        <v>2228002</v>
      </c>
      <c r="F60" s="514"/>
    </row>
    <row r="61" spans="1:5" ht="12.75">
      <c r="A61" s="477" t="s">
        <v>491</v>
      </c>
      <c r="B61" s="61"/>
      <c r="C61" s="293"/>
      <c r="D61" s="293"/>
      <c r="E61" s="250">
        <f t="shared" si="3"/>
        <v>0</v>
      </c>
    </row>
    <row r="62" spans="1:5" ht="13.5" thickBot="1">
      <c r="A62" s="62"/>
      <c r="B62" s="61"/>
      <c r="C62" s="293"/>
      <c r="D62" s="293"/>
      <c r="E62" s="250">
        <f t="shared" si="3"/>
        <v>0</v>
      </c>
    </row>
    <row r="63" spans="1:5" ht="12.75">
      <c r="A63" s="56" t="s">
        <v>130</v>
      </c>
      <c r="C63" s="22"/>
      <c r="D63" s="22"/>
      <c r="E63" s="278"/>
    </row>
    <row r="64" spans="1:5" ht="12.75">
      <c r="A64" s="2" t="s">
        <v>178</v>
      </c>
      <c r="C64" s="250">
        <f>SUM(C54:C62)</f>
        <v>2228002</v>
      </c>
      <c r="D64" s="250">
        <f>SUM(D54:D62)</f>
        <v>0</v>
      </c>
      <c r="E64" s="250">
        <f>SUM(E54:E62)</f>
        <v>2228002</v>
      </c>
    </row>
  </sheetData>
  <sheetProtection/>
  <printOptions gridLines="1" headings="1"/>
  <pageMargins left="0.748031496062992" right="0.236220472440945" top="0.66" bottom="0.35" header="0.19" footer="0"/>
  <pageSetup fitToHeight="1" fitToWidth="1" horizontalDpi="600" verticalDpi="600" orientation="portrait" scale="86" r:id="rId1"/>
  <headerFooter alignWithMargins="0">
    <oddHeader>&amp;R&amp;9Hydro One Brampton Networks Inc.
EB-2008-0381
Deferred PILs Combined Proceeding</oddHeader>
    <oddFooter>&amp;L&amp;8March 22, 2010&amp;C&amp;Z&amp;F&amp;R&amp;"Arial,Bold"&amp;9&amp;A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142"/>
  <sheetViews>
    <sheetView zoomScalePageLayoutView="0" workbookViewId="0" topLeftCell="A1">
      <pane xSplit="1" ySplit="6" topLeftCell="B115" activePane="bottomRight" state="frozen"/>
      <selection pane="topLeft" activeCell="B3" sqref="B3"/>
      <selection pane="topRight" activeCell="B3" sqref="B3"/>
      <selection pane="bottomLeft" activeCell="B3" sqref="B3"/>
      <selection pane="bottomRight" activeCell="F1" sqref="F1:F6553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470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7" ht="12.75">
      <c r="A5" s="407" t="s">
        <v>469</v>
      </c>
      <c r="B5" s="8"/>
      <c r="C5" s="8" t="s">
        <v>2</v>
      </c>
      <c r="D5" s="8"/>
      <c r="E5" s="8"/>
      <c r="F5" s="514"/>
      <c r="G5" s="515"/>
    </row>
    <row r="6" spans="1:6" ht="12.75">
      <c r="A6" s="407" t="s">
        <v>448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Burlington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118</v>
      </c>
      <c r="B11" s="20"/>
      <c r="C11" s="271">
        <f>TAXREC!C13</f>
        <v>119697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185</v>
      </c>
      <c r="C17" s="294"/>
      <c r="D17" s="294"/>
      <c r="E17" s="311">
        <f>C17-D17</f>
        <v>0</v>
      </c>
    </row>
    <row r="18" spans="1:5" ht="12.75">
      <c r="A18" s="67" t="s">
        <v>251</v>
      </c>
      <c r="B18" t="s">
        <v>185</v>
      </c>
      <c r="C18" s="294"/>
      <c r="D18" s="294"/>
      <c r="E18" s="311">
        <f aca="true" t="shared" si="0" ref="E18:E45">C18-D18</f>
        <v>0</v>
      </c>
    </row>
    <row r="19" spans="1:6" ht="12.75">
      <c r="A19" s="67" t="s">
        <v>133</v>
      </c>
      <c r="B19" t="s">
        <v>185</v>
      </c>
      <c r="C19" s="294">
        <v>1471</v>
      </c>
      <c r="D19" s="294"/>
      <c r="E19" s="311">
        <f t="shared" si="0"/>
        <v>1471</v>
      </c>
      <c r="F19" s="514"/>
    </row>
    <row r="20" spans="1:6" ht="12.75">
      <c r="A20" s="67" t="s">
        <v>452</v>
      </c>
      <c r="B20" t="s">
        <v>185</v>
      </c>
      <c r="C20" s="294">
        <v>23368</v>
      </c>
      <c r="D20" s="312"/>
      <c r="E20" s="311">
        <f t="shared" si="0"/>
        <v>23368</v>
      </c>
      <c r="F20" s="514"/>
    </row>
    <row r="21" spans="1:5" ht="12.75">
      <c r="A21" s="67" t="s">
        <v>8</v>
      </c>
      <c r="B21" t="s">
        <v>185</v>
      </c>
      <c r="C21" s="294"/>
      <c r="D21" s="294"/>
      <c r="E21" s="311">
        <f t="shared" si="0"/>
        <v>0</v>
      </c>
    </row>
    <row r="22" spans="1:5" ht="12.75">
      <c r="A22" s="67"/>
      <c r="B22" t="s">
        <v>185</v>
      </c>
      <c r="C22" s="294"/>
      <c r="D22" s="294"/>
      <c r="E22" s="311">
        <f t="shared" si="0"/>
        <v>0</v>
      </c>
    </row>
    <row r="23" spans="1:6" ht="12.75">
      <c r="A23" s="67" t="s">
        <v>135</v>
      </c>
      <c r="B23" t="s">
        <v>185</v>
      </c>
      <c r="C23" s="294">
        <v>138976</v>
      </c>
      <c r="D23" s="294"/>
      <c r="E23" s="311">
        <f t="shared" si="0"/>
        <v>138976</v>
      </c>
      <c r="F23" s="516"/>
    </row>
    <row r="24" spans="1:5" ht="12.75">
      <c r="A24" s="67" t="s">
        <v>136</v>
      </c>
      <c r="B24" t="s">
        <v>185</v>
      </c>
      <c r="C24" s="294"/>
      <c r="D24" s="294"/>
      <c r="E24" s="311">
        <f t="shared" si="0"/>
        <v>0</v>
      </c>
    </row>
    <row r="25" spans="1:5" ht="12.75">
      <c r="A25" s="67" t="s">
        <v>9</v>
      </c>
      <c r="B25" t="s">
        <v>185</v>
      </c>
      <c r="C25" s="294"/>
      <c r="D25" s="294"/>
      <c r="E25" s="311">
        <f t="shared" si="0"/>
        <v>0</v>
      </c>
    </row>
    <row r="26" spans="1:5" ht="12.75">
      <c r="A26" s="67" t="s">
        <v>189</v>
      </c>
      <c r="B26" t="s">
        <v>185</v>
      </c>
      <c r="C26" s="294"/>
      <c r="D26" s="294"/>
      <c r="E26" s="311">
        <f t="shared" si="0"/>
        <v>0</v>
      </c>
    </row>
    <row r="27" spans="1:5" ht="12.75">
      <c r="A27" s="67" t="s">
        <v>7</v>
      </c>
      <c r="B27" t="s">
        <v>185</v>
      </c>
      <c r="C27" s="294"/>
      <c r="D27" s="294"/>
      <c r="E27" s="311">
        <f t="shared" si="0"/>
        <v>0</v>
      </c>
    </row>
    <row r="28" spans="1:6" ht="12.75">
      <c r="A28" s="486" t="s">
        <v>514</v>
      </c>
      <c r="B28" t="s">
        <v>185</v>
      </c>
      <c r="C28" s="294">
        <v>11788</v>
      </c>
      <c r="D28" s="294"/>
      <c r="E28" s="311">
        <f t="shared" si="0"/>
        <v>11788</v>
      </c>
      <c r="F28" s="514"/>
    </row>
    <row r="29" spans="1:5" ht="12.75">
      <c r="A29" s="67" t="s">
        <v>137</v>
      </c>
      <c r="B29" t="s">
        <v>185</v>
      </c>
      <c r="C29" s="294"/>
      <c r="D29" s="294"/>
      <c r="E29" s="311">
        <f t="shared" si="0"/>
        <v>0</v>
      </c>
    </row>
    <row r="30" spans="1:5" ht="12.75">
      <c r="A30" s="67" t="s">
        <v>138</v>
      </c>
      <c r="B30" t="s">
        <v>185</v>
      </c>
      <c r="C30" s="294"/>
      <c r="D30" s="294"/>
      <c r="E30" s="311">
        <f t="shared" si="0"/>
        <v>0</v>
      </c>
    </row>
    <row r="31" spans="1:5" ht="12.75">
      <c r="A31" s="67" t="s">
        <v>252</v>
      </c>
      <c r="B31" t="s">
        <v>185</v>
      </c>
      <c r="C31" s="294"/>
      <c r="D31" s="294"/>
      <c r="E31" s="311">
        <f t="shared" si="0"/>
        <v>0</v>
      </c>
    </row>
    <row r="32" spans="1:6" ht="12.75">
      <c r="A32" s="67" t="s">
        <v>139</v>
      </c>
      <c r="B32" t="s">
        <v>185</v>
      </c>
      <c r="C32" s="294">
        <v>0</v>
      </c>
      <c r="D32" s="294"/>
      <c r="E32" s="311">
        <f t="shared" si="0"/>
        <v>0</v>
      </c>
      <c r="F32" s="516"/>
    </row>
    <row r="33" spans="1:5" ht="12.75">
      <c r="A33" s="67" t="s">
        <v>140</v>
      </c>
      <c r="B33" t="s">
        <v>185</v>
      </c>
      <c r="C33" s="294"/>
      <c r="D33" s="294"/>
      <c r="E33" s="311">
        <f t="shared" si="0"/>
        <v>0</v>
      </c>
    </row>
    <row r="34" spans="1:5" ht="12.75">
      <c r="A34" s="67" t="s">
        <v>141</v>
      </c>
      <c r="B34" t="s">
        <v>185</v>
      </c>
      <c r="C34" s="294"/>
      <c r="D34" s="294"/>
      <c r="E34" s="311">
        <f t="shared" si="0"/>
        <v>0</v>
      </c>
    </row>
    <row r="35" spans="1:5" ht="12.75">
      <c r="A35" s="67" t="s">
        <v>191</v>
      </c>
      <c r="B35" t="s">
        <v>185</v>
      </c>
      <c r="C35" s="294"/>
      <c r="D35" s="294"/>
      <c r="E35" s="311">
        <f t="shared" si="0"/>
        <v>0</v>
      </c>
    </row>
    <row r="36" spans="1:5" ht="12.75">
      <c r="A36" s="67" t="s">
        <v>479</v>
      </c>
      <c r="B36" t="s">
        <v>185</v>
      </c>
      <c r="C36" s="294"/>
      <c r="D36" s="294"/>
      <c r="E36" s="311">
        <f t="shared" si="0"/>
        <v>0</v>
      </c>
    </row>
    <row r="37" spans="1:5" ht="12.75">
      <c r="A37" s="67"/>
      <c r="B37" t="s">
        <v>185</v>
      </c>
      <c r="C37" s="294"/>
      <c r="D37" s="294"/>
      <c r="E37" s="311">
        <f t="shared" si="0"/>
        <v>0</v>
      </c>
    </row>
    <row r="38" spans="2:5" ht="12.75">
      <c r="B38" t="s">
        <v>185</v>
      </c>
      <c r="C38" s="294"/>
      <c r="D38" s="294"/>
      <c r="E38" s="250">
        <f t="shared" si="0"/>
        <v>0</v>
      </c>
    </row>
    <row r="39" spans="2:5" ht="12.75">
      <c r="B39" t="s">
        <v>185</v>
      </c>
      <c r="C39" s="293"/>
      <c r="D39" s="294"/>
      <c r="E39" s="250">
        <f t="shared" si="0"/>
        <v>0</v>
      </c>
    </row>
    <row r="40" spans="1:5" ht="12.75">
      <c r="A40" s="68" t="s">
        <v>202</v>
      </c>
      <c r="B40" t="s">
        <v>185</v>
      </c>
      <c r="C40" s="293"/>
      <c r="D40" s="293"/>
      <c r="E40" s="250">
        <f t="shared" si="0"/>
        <v>0</v>
      </c>
    </row>
    <row r="41" spans="1:5" ht="12.75">
      <c r="A41" s="486" t="s">
        <v>503</v>
      </c>
      <c r="B41" t="s">
        <v>185</v>
      </c>
      <c r="C41" s="293"/>
      <c r="D41" s="293"/>
      <c r="E41" s="250">
        <f t="shared" si="0"/>
        <v>0</v>
      </c>
    </row>
    <row r="42" spans="1:5" ht="12.75">
      <c r="A42" s="486" t="s">
        <v>495</v>
      </c>
      <c r="B42" t="s">
        <v>185</v>
      </c>
      <c r="C42" s="293"/>
      <c r="D42" s="293"/>
      <c r="E42" s="250">
        <f t="shared" si="0"/>
        <v>0</v>
      </c>
    </row>
    <row r="43" spans="1:5" ht="12.75">
      <c r="A43" s="486" t="s">
        <v>496</v>
      </c>
      <c r="B43" t="s">
        <v>185</v>
      </c>
      <c r="C43" s="293"/>
      <c r="D43" s="293"/>
      <c r="E43" s="250">
        <f t="shared" si="0"/>
        <v>0</v>
      </c>
    </row>
    <row r="44" spans="1:6" ht="12.75">
      <c r="A44" s="486" t="s">
        <v>497</v>
      </c>
      <c r="B44" t="s">
        <v>185</v>
      </c>
      <c r="C44" s="293">
        <v>936</v>
      </c>
      <c r="D44" s="293"/>
      <c r="E44" s="250">
        <f t="shared" si="0"/>
        <v>936</v>
      </c>
      <c r="F44" s="516"/>
    </row>
    <row r="45" spans="1:5" ht="12.75">
      <c r="A45" s="486" t="s">
        <v>502</v>
      </c>
      <c r="B45" t="s">
        <v>185</v>
      </c>
      <c r="C45" s="293"/>
      <c r="D45" s="293"/>
      <c r="E45" s="278">
        <f t="shared" si="0"/>
        <v>0</v>
      </c>
    </row>
    <row r="46" spans="1:5" ht="12.75">
      <c r="A46" s="70" t="s">
        <v>168</v>
      </c>
      <c r="B46" t="s">
        <v>187</v>
      </c>
      <c r="C46" s="250">
        <f>SUM(C17:C45)</f>
        <v>176539</v>
      </c>
      <c r="D46" s="250">
        <f>SUM(D17:D45)</f>
        <v>0</v>
      </c>
      <c r="E46" s="250">
        <f>SUM(E17:E45)</f>
        <v>176539</v>
      </c>
    </row>
    <row r="47" ht="12.75">
      <c r="A47" s="67"/>
    </row>
    <row r="48" ht="12.75">
      <c r="A48" s="67" t="s">
        <v>170</v>
      </c>
    </row>
    <row r="49" spans="1:5" ht="12.75">
      <c r="A49" s="274" t="str">
        <f aca="true" t="shared" si="1" ref="A49:A75">IF($E17&gt;$C$11,A17," ")</f>
        <v> </v>
      </c>
      <c r="B49" s="272"/>
      <c r="C49" s="250">
        <f aca="true" t="shared" si="2" ref="C49:E63">IF($E17&gt;$C$11,C17,)</f>
        <v>0</v>
      </c>
      <c r="D49" s="250">
        <f t="shared" si="2"/>
        <v>0</v>
      </c>
      <c r="E49" s="250">
        <f t="shared" si="2"/>
        <v>0</v>
      </c>
    </row>
    <row r="50" spans="1:5" ht="12.75">
      <c r="A50" s="274" t="str">
        <f t="shared" si="1"/>
        <v> </v>
      </c>
      <c r="B50" s="272"/>
      <c r="C50" s="250">
        <f t="shared" si="2"/>
        <v>0</v>
      </c>
      <c r="D50" s="250">
        <f t="shared" si="2"/>
        <v>0</v>
      </c>
      <c r="E50" s="250">
        <f t="shared" si="2"/>
        <v>0</v>
      </c>
    </row>
    <row r="51" spans="1:5" ht="12.75">
      <c r="A51" s="274" t="str">
        <f t="shared" si="1"/>
        <v> </v>
      </c>
      <c r="B51" s="272"/>
      <c r="C51" s="250">
        <f t="shared" si="2"/>
        <v>0</v>
      </c>
      <c r="D51" s="250">
        <f t="shared" si="2"/>
        <v>0</v>
      </c>
      <c r="E51" s="250">
        <f t="shared" si="2"/>
        <v>0</v>
      </c>
    </row>
    <row r="52" spans="1:5" ht="12.75">
      <c r="A52" s="274" t="str">
        <f t="shared" si="1"/>
        <v> </v>
      </c>
      <c r="B52" s="272"/>
      <c r="C52" s="250">
        <f t="shared" si="2"/>
        <v>0</v>
      </c>
      <c r="D52" s="250">
        <f t="shared" si="2"/>
        <v>0</v>
      </c>
      <c r="E52" s="250">
        <f t="shared" si="2"/>
        <v>0</v>
      </c>
    </row>
    <row r="53" spans="1:5" ht="12.75">
      <c r="A53" s="274" t="str">
        <f t="shared" si="1"/>
        <v> </v>
      </c>
      <c r="B53" s="272"/>
      <c r="C53" s="250">
        <f t="shared" si="2"/>
        <v>0</v>
      </c>
      <c r="D53" s="250">
        <f t="shared" si="2"/>
        <v>0</v>
      </c>
      <c r="E53" s="250">
        <f t="shared" si="2"/>
        <v>0</v>
      </c>
    </row>
    <row r="54" spans="1:5" ht="12.75">
      <c r="A54" s="274" t="str">
        <f t="shared" si="1"/>
        <v> </v>
      </c>
      <c r="B54" s="272"/>
      <c r="C54" s="250">
        <f t="shared" si="2"/>
        <v>0</v>
      </c>
      <c r="D54" s="250">
        <f t="shared" si="2"/>
        <v>0</v>
      </c>
      <c r="E54" s="250">
        <f t="shared" si="2"/>
        <v>0</v>
      </c>
    </row>
    <row r="55" spans="1:5" ht="12.75">
      <c r="A55" s="274" t="str">
        <f t="shared" si="1"/>
        <v>Scientific research expenditures deducted</v>
      </c>
      <c r="B55" s="272"/>
      <c r="C55" s="250">
        <f t="shared" si="2"/>
        <v>138976</v>
      </c>
      <c r="D55" s="250">
        <f t="shared" si="2"/>
        <v>0</v>
      </c>
      <c r="E55" s="250">
        <f t="shared" si="2"/>
        <v>138976</v>
      </c>
    </row>
    <row r="56" spans="1:5" ht="12.75">
      <c r="A56" s="274" t="str">
        <f t="shared" si="1"/>
        <v> </v>
      </c>
      <c r="B56" s="272"/>
      <c r="C56" s="250">
        <f t="shared" si="2"/>
        <v>0</v>
      </c>
      <c r="D56" s="250">
        <f t="shared" si="2"/>
        <v>0</v>
      </c>
      <c r="E56" s="250">
        <f t="shared" si="2"/>
        <v>0</v>
      </c>
    </row>
    <row r="57" spans="1:5" ht="12.75">
      <c r="A57" s="274" t="str">
        <f t="shared" si="1"/>
        <v> </v>
      </c>
      <c r="B57" s="272"/>
      <c r="C57" s="250">
        <f t="shared" si="2"/>
        <v>0</v>
      </c>
      <c r="D57" s="250">
        <f t="shared" si="2"/>
        <v>0</v>
      </c>
      <c r="E57" s="250">
        <f t="shared" si="2"/>
        <v>0</v>
      </c>
    </row>
    <row r="58" spans="1:5" ht="12.75">
      <c r="A58" s="274" t="str">
        <f t="shared" si="1"/>
        <v> </v>
      </c>
      <c r="B58" s="272"/>
      <c r="C58" s="250">
        <f t="shared" si="2"/>
        <v>0</v>
      </c>
      <c r="D58" s="250">
        <f t="shared" si="2"/>
        <v>0</v>
      </c>
      <c r="E58" s="250">
        <f t="shared" si="2"/>
        <v>0</v>
      </c>
    </row>
    <row r="59" spans="1:5" ht="12.75">
      <c r="A59" s="274" t="str">
        <f t="shared" si="1"/>
        <v> </v>
      </c>
      <c r="B59" s="272"/>
      <c r="C59" s="250">
        <f t="shared" si="2"/>
        <v>0</v>
      </c>
      <c r="D59" s="250">
        <f t="shared" si="2"/>
        <v>0</v>
      </c>
      <c r="E59" s="250">
        <f t="shared" si="2"/>
        <v>0</v>
      </c>
    </row>
    <row r="60" spans="1:5" ht="12.75">
      <c r="A60" s="274" t="str">
        <f t="shared" si="1"/>
        <v> </v>
      </c>
      <c r="B60" s="272"/>
      <c r="C60" s="250">
        <f t="shared" si="2"/>
        <v>0</v>
      </c>
      <c r="D60" s="250">
        <f t="shared" si="2"/>
        <v>0</v>
      </c>
      <c r="E60" s="250">
        <f t="shared" si="2"/>
        <v>0</v>
      </c>
    </row>
    <row r="61" spans="1:5" ht="12.75">
      <c r="A61" s="274" t="str">
        <f t="shared" si="1"/>
        <v> </v>
      </c>
      <c r="B61" s="272"/>
      <c r="C61" s="250">
        <f t="shared" si="2"/>
        <v>0</v>
      </c>
      <c r="D61" s="250">
        <f t="shared" si="2"/>
        <v>0</v>
      </c>
      <c r="E61" s="250">
        <f>IF($E29&gt;$C$11,E29,)</f>
        <v>0</v>
      </c>
    </row>
    <row r="62" spans="1:5" ht="12.75">
      <c r="A62" s="274" t="str">
        <f t="shared" si="1"/>
        <v> </v>
      </c>
      <c r="B62" s="272"/>
      <c r="C62" s="250">
        <f t="shared" si="2"/>
        <v>0</v>
      </c>
      <c r="D62" s="250">
        <f t="shared" si="2"/>
        <v>0</v>
      </c>
      <c r="E62" s="250">
        <f>IF($E30&gt;$C$11,E30,)</f>
        <v>0</v>
      </c>
    </row>
    <row r="63" spans="1:5" ht="12.75">
      <c r="A63" s="274" t="str">
        <f t="shared" si="1"/>
        <v> </v>
      </c>
      <c r="B63" s="272"/>
      <c r="C63" s="250">
        <f t="shared" si="2"/>
        <v>0</v>
      </c>
      <c r="D63" s="250">
        <f t="shared" si="2"/>
        <v>0</v>
      </c>
      <c r="E63" s="250">
        <f>IF($E31&gt;$C$11,E31,)</f>
        <v>0</v>
      </c>
    </row>
    <row r="64" spans="1:5" ht="12.75">
      <c r="A64" s="274" t="str">
        <f t="shared" si="1"/>
        <v> </v>
      </c>
      <c r="B64" s="272"/>
      <c r="C64" s="250">
        <f aca="true" t="shared" si="3" ref="C64:C77">IF($E32&gt;$C$11,C32,)</f>
        <v>0</v>
      </c>
      <c r="D64" s="250">
        <f aca="true" t="shared" si="4" ref="D64:D77">IF($E33&gt;$C$11,D33,)</f>
        <v>0</v>
      </c>
      <c r="E64" s="250">
        <f aca="true" t="shared" si="5" ref="E64:E77">IF($E32&gt;$C$11,E32,)</f>
        <v>0</v>
      </c>
    </row>
    <row r="65" spans="1:5" ht="12.75">
      <c r="A65" s="274" t="str">
        <f t="shared" si="1"/>
        <v> </v>
      </c>
      <c r="B65" s="272"/>
      <c r="C65" s="250">
        <f t="shared" si="3"/>
        <v>0</v>
      </c>
      <c r="D65" s="250">
        <f t="shared" si="4"/>
        <v>0</v>
      </c>
      <c r="E65" s="250">
        <f t="shared" si="5"/>
        <v>0</v>
      </c>
    </row>
    <row r="66" spans="1:5" ht="12.75">
      <c r="A66" s="274" t="str">
        <f t="shared" si="1"/>
        <v> </v>
      </c>
      <c r="B66" s="272"/>
      <c r="C66" s="250">
        <f t="shared" si="3"/>
        <v>0</v>
      </c>
      <c r="D66" s="250">
        <f t="shared" si="4"/>
        <v>0</v>
      </c>
      <c r="E66" s="250">
        <f t="shared" si="5"/>
        <v>0</v>
      </c>
    </row>
    <row r="67" spans="1:5" ht="12.75">
      <c r="A67" s="274" t="str">
        <f t="shared" si="1"/>
        <v> </v>
      </c>
      <c r="B67" s="272"/>
      <c r="C67" s="250">
        <f t="shared" si="3"/>
        <v>0</v>
      </c>
      <c r="D67" s="250">
        <f t="shared" si="4"/>
        <v>0</v>
      </c>
      <c r="E67" s="250">
        <f t="shared" si="5"/>
        <v>0</v>
      </c>
    </row>
    <row r="68" spans="1:5" ht="12.75">
      <c r="A68" s="274" t="str">
        <f t="shared" si="1"/>
        <v> </v>
      </c>
      <c r="B68" s="272"/>
      <c r="C68" s="250">
        <f t="shared" si="3"/>
        <v>0</v>
      </c>
      <c r="D68" s="250">
        <f t="shared" si="4"/>
        <v>0</v>
      </c>
      <c r="E68" s="250">
        <f t="shared" si="5"/>
        <v>0</v>
      </c>
    </row>
    <row r="69" spans="1:5" ht="12.75">
      <c r="A69" s="274" t="str">
        <f t="shared" si="1"/>
        <v> </v>
      </c>
      <c r="B69" s="272"/>
      <c r="C69" s="250">
        <f t="shared" si="3"/>
        <v>0</v>
      </c>
      <c r="D69" s="250">
        <f t="shared" si="4"/>
        <v>0</v>
      </c>
      <c r="E69" s="250">
        <f t="shared" si="5"/>
        <v>0</v>
      </c>
    </row>
    <row r="70" spans="1:5" ht="12.75">
      <c r="A70" s="274" t="str">
        <f t="shared" si="1"/>
        <v> </v>
      </c>
      <c r="B70" s="272"/>
      <c r="C70" s="250">
        <f t="shared" si="3"/>
        <v>0</v>
      </c>
      <c r="D70" s="250">
        <f t="shared" si="4"/>
        <v>0</v>
      </c>
      <c r="E70" s="250">
        <f t="shared" si="5"/>
        <v>0</v>
      </c>
    </row>
    <row r="71" spans="1:5" ht="12.75">
      <c r="A71" s="274" t="str">
        <f t="shared" si="1"/>
        <v> </v>
      </c>
      <c r="B71" s="272"/>
      <c r="C71" s="250">
        <f t="shared" si="3"/>
        <v>0</v>
      </c>
      <c r="D71" s="250">
        <f t="shared" si="4"/>
        <v>0</v>
      </c>
      <c r="E71" s="250">
        <f t="shared" si="5"/>
        <v>0</v>
      </c>
    </row>
    <row r="72" spans="1:5" ht="12.75">
      <c r="A72" s="274" t="str">
        <f t="shared" si="1"/>
        <v> </v>
      </c>
      <c r="B72" s="272"/>
      <c r="C72" s="250">
        <f t="shared" si="3"/>
        <v>0</v>
      </c>
      <c r="D72" s="250">
        <f t="shared" si="4"/>
        <v>0</v>
      </c>
      <c r="E72" s="250">
        <f t="shared" si="5"/>
        <v>0</v>
      </c>
    </row>
    <row r="73" spans="1:5" ht="12.75">
      <c r="A73" s="274" t="str">
        <f t="shared" si="1"/>
        <v> </v>
      </c>
      <c r="B73" s="272"/>
      <c r="C73" s="250">
        <f t="shared" si="3"/>
        <v>0</v>
      </c>
      <c r="D73" s="250">
        <f t="shared" si="4"/>
        <v>0</v>
      </c>
      <c r="E73" s="250">
        <f t="shared" si="5"/>
        <v>0</v>
      </c>
    </row>
    <row r="74" spans="1:5" ht="12.75">
      <c r="A74" s="274" t="str">
        <f t="shared" si="1"/>
        <v> </v>
      </c>
      <c r="B74" s="272"/>
      <c r="C74" s="250">
        <f t="shared" si="3"/>
        <v>0</v>
      </c>
      <c r="D74" s="250">
        <f t="shared" si="4"/>
        <v>0</v>
      </c>
      <c r="E74" s="250">
        <f t="shared" si="5"/>
        <v>0</v>
      </c>
    </row>
    <row r="75" spans="1:5" ht="12.75">
      <c r="A75" s="274" t="str">
        <f t="shared" si="1"/>
        <v> </v>
      </c>
      <c r="B75" s="272"/>
      <c r="C75" s="250">
        <f t="shared" si="3"/>
        <v>0</v>
      </c>
      <c r="D75" s="250">
        <f t="shared" si="4"/>
        <v>0</v>
      </c>
      <c r="E75" s="250">
        <f t="shared" si="5"/>
        <v>0</v>
      </c>
    </row>
    <row r="76" spans="1:5" ht="12.75">
      <c r="A76" s="274" t="str">
        <f>IF($E44&gt;$C$11,A44," ")</f>
        <v> </v>
      </c>
      <c r="B76" s="273"/>
      <c r="C76" s="250">
        <f t="shared" si="3"/>
        <v>0</v>
      </c>
      <c r="D76" s="250">
        <f t="shared" si="4"/>
        <v>0</v>
      </c>
      <c r="E76" s="250">
        <f t="shared" si="5"/>
        <v>0</v>
      </c>
    </row>
    <row r="77" spans="1:5" ht="12.75">
      <c r="A77" s="274" t="str">
        <f>IF($E45&gt;$C$11,A45," ")</f>
        <v> </v>
      </c>
      <c r="B77" s="273"/>
      <c r="C77" s="250">
        <f t="shared" si="3"/>
        <v>0</v>
      </c>
      <c r="D77" s="250">
        <f t="shared" si="4"/>
        <v>0</v>
      </c>
      <c r="E77" s="250">
        <f t="shared" si="5"/>
        <v>0</v>
      </c>
    </row>
    <row r="78" spans="1:5" ht="12.75">
      <c r="A78" s="274"/>
      <c r="B78" s="273"/>
      <c r="C78" s="250"/>
      <c r="D78" s="250"/>
      <c r="E78" s="250"/>
    </row>
    <row r="79" spans="1:5" ht="12.75">
      <c r="A79" s="275" t="s">
        <v>142</v>
      </c>
      <c r="B79" s="272"/>
      <c r="C79" s="250">
        <f>SUM(C49:C77)</f>
        <v>138976</v>
      </c>
      <c r="D79" s="250">
        <f>SUM(D49:D75)</f>
        <v>0</v>
      </c>
      <c r="E79" s="250">
        <f>SUM(E49:E77)</f>
        <v>138976</v>
      </c>
    </row>
    <row r="80" spans="1:6" ht="12.75">
      <c r="A80" s="275" t="s">
        <v>201</v>
      </c>
      <c r="B80" s="276"/>
      <c r="C80" s="313">
        <f>C46-C79</f>
        <v>37563</v>
      </c>
      <c r="D80" s="313">
        <f>D46-D79</f>
        <v>0</v>
      </c>
      <c r="E80" s="313">
        <f>E46-E79</f>
        <v>37563</v>
      </c>
      <c r="F80" s="516"/>
    </row>
    <row r="81" spans="1:5" ht="12.75">
      <c r="A81" s="275" t="s">
        <v>168</v>
      </c>
      <c r="B81" s="276"/>
      <c r="C81" s="313">
        <f>C79+C80</f>
        <v>176539</v>
      </c>
      <c r="D81" s="313">
        <f>D79+D80</f>
        <v>0</v>
      </c>
      <c r="E81" s="313">
        <f>E79+E80</f>
        <v>176539</v>
      </c>
    </row>
    <row r="82" ht="12.75">
      <c r="A82" s="67"/>
    </row>
    <row r="83" ht="12.75">
      <c r="A83" s="67" t="s">
        <v>143</v>
      </c>
    </row>
    <row r="84" spans="1:5" ht="12.75">
      <c r="A84" s="67" t="s">
        <v>144</v>
      </c>
      <c r="B84" s="8" t="s">
        <v>186</v>
      </c>
      <c r="C84" s="293"/>
      <c r="D84" s="293"/>
      <c r="E84" s="250">
        <f>C84-D84</f>
        <v>0</v>
      </c>
    </row>
    <row r="85" spans="1:5" ht="12.75">
      <c r="A85" s="71" t="s">
        <v>150</v>
      </c>
      <c r="B85" s="8" t="s">
        <v>186</v>
      </c>
      <c r="C85" s="293"/>
      <c r="D85" s="293"/>
      <c r="E85" s="250">
        <f aca="true" t="shared" si="6" ref="E85:E101">C85-D85</f>
        <v>0</v>
      </c>
    </row>
    <row r="86" spans="1:5" ht="12.75">
      <c r="A86" s="71" t="s">
        <v>145</v>
      </c>
      <c r="B86" s="8" t="s">
        <v>186</v>
      </c>
      <c r="C86" s="293"/>
      <c r="D86" s="293"/>
      <c r="E86" s="250">
        <f t="shared" si="6"/>
        <v>0</v>
      </c>
    </row>
    <row r="87" spans="1:5" ht="12.75">
      <c r="A87" s="71" t="s">
        <v>253</v>
      </c>
      <c r="B87" s="8" t="s">
        <v>186</v>
      </c>
      <c r="C87" s="293"/>
      <c r="D87" s="293"/>
      <c r="E87" s="250">
        <f t="shared" si="6"/>
        <v>0</v>
      </c>
    </row>
    <row r="88" spans="1:6" ht="12.75">
      <c r="A88" s="67" t="s">
        <v>192</v>
      </c>
      <c r="B88" s="8" t="s">
        <v>186</v>
      </c>
      <c r="C88" s="293">
        <v>62752</v>
      </c>
      <c r="D88" s="293"/>
      <c r="E88" s="250">
        <f t="shared" si="6"/>
        <v>62752</v>
      </c>
      <c r="F88" s="516"/>
    </row>
    <row r="89" spans="1:5" ht="12.75">
      <c r="A89" s="67" t="s">
        <v>379</v>
      </c>
      <c r="B89" s="8" t="s">
        <v>186</v>
      </c>
      <c r="C89" s="293"/>
      <c r="D89" s="293"/>
      <c r="E89" s="250">
        <f t="shared" si="6"/>
        <v>0</v>
      </c>
    </row>
    <row r="90" spans="1:5" ht="12.75">
      <c r="A90" s="67" t="s">
        <v>193</v>
      </c>
      <c r="B90" s="8" t="s">
        <v>186</v>
      </c>
      <c r="C90" s="293"/>
      <c r="D90" s="293"/>
      <c r="E90" s="250">
        <f t="shared" si="6"/>
        <v>0</v>
      </c>
    </row>
    <row r="91" spans="1:5" ht="12.75">
      <c r="A91" s="67" t="s">
        <v>165</v>
      </c>
      <c r="B91" s="8" t="s">
        <v>186</v>
      </c>
      <c r="C91" s="293"/>
      <c r="D91" s="293"/>
      <c r="E91" s="250">
        <f t="shared" si="6"/>
        <v>0</v>
      </c>
    </row>
    <row r="92" spans="1:5" ht="12.75">
      <c r="A92" s="67" t="s">
        <v>166</v>
      </c>
      <c r="B92" s="8" t="s">
        <v>186</v>
      </c>
      <c r="C92" s="293"/>
      <c r="D92" s="293"/>
      <c r="E92" s="250">
        <f t="shared" si="6"/>
        <v>0</v>
      </c>
    </row>
    <row r="93" spans="1:5" ht="12.75">
      <c r="A93" s="67" t="s">
        <v>167</v>
      </c>
      <c r="B93" s="8" t="s">
        <v>186</v>
      </c>
      <c r="C93" s="293"/>
      <c r="D93" s="293"/>
      <c r="E93" s="250">
        <f t="shared" si="6"/>
        <v>0</v>
      </c>
    </row>
    <row r="94" spans="2:5" ht="12.75">
      <c r="B94" s="8" t="s">
        <v>186</v>
      </c>
      <c r="C94" s="293"/>
      <c r="D94" s="293"/>
      <c r="E94" s="250"/>
    </row>
    <row r="95" spans="1:5" ht="12.75">
      <c r="A95" s="67"/>
      <c r="B95" s="8" t="s">
        <v>186</v>
      </c>
      <c r="C95" s="293"/>
      <c r="D95" s="293"/>
      <c r="E95" s="250">
        <f t="shared" si="6"/>
        <v>0</v>
      </c>
    </row>
    <row r="96" spans="1:5" ht="12.75">
      <c r="A96" s="67"/>
      <c r="B96" s="8" t="s">
        <v>186</v>
      </c>
      <c r="C96" s="293"/>
      <c r="D96" s="293"/>
      <c r="E96" s="250">
        <f t="shared" si="6"/>
        <v>0</v>
      </c>
    </row>
    <row r="97" spans="1:6" ht="12.75">
      <c r="A97" s="68" t="s">
        <v>520</v>
      </c>
      <c r="B97" s="8" t="s">
        <v>186</v>
      </c>
      <c r="C97" s="293">
        <v>57349</v>
      </c>
      <c r="D97" s="293"/>
      <c r="E97" s="250">
        <f t="shared" si="6"/>
        <v>57349</v>
      </c>
      <c r="F97" s="516"/>
    </row>
    <row r="98" spans="1:5" ht="12.75">
      <c r="A98" s="486" t="s">
        <v>500</v>
      </c>
      <c r="B98" s="8" t="s">
        <v>186</v>
      </c>
      <c r="C98" s="293"/>
      <c r="D98" s="293"/>
      <c r="E98" s="250">
        <f t="shared" si="6"/>
        <v>0</v>
      </c>
    </row>
    <row r="99" spans="1:5" ht="12.75">
      <c r="A99" s="486" t="s">
        <v>501</v>
      </c>
      <c r="B99" s="8" t="s">
        <v>186</v>
      </c>
      <c r="C99" s="293"/>
      <c r="D99" s="293"/>
      <c r="E99" s="250">
        <f t="shared" si="6"/>
        <v>0</v>
      </c>
    </row>
    <row r="100" spans="1:6" ht="12.75">
      <c r="A100" s="486" t="s">
        <v>515</v>
      </c>
      <c r="B100" s="8"/>
      <c r="C100" s="293">
        <v>3019</v>
      </c>
      <c r="D100" s="293"/>
      <c r="E100" s="250">
        <f t="shared" si="6"/>
        <v>3019</v>
      </c>
      <c r="F100" s="514"/>
    </row>
    <row r="101" spans="1:5" ht="12.75">
      <c r="A101" s="67" t="s">
        <v>492</v>
      </c>
      <c r="B101" s="8" t="s">
        <v>186</v>
      </c>
      <c r="C101" s="293"/>
      <c r="D101" s="293"/>
      <c r="E101" s="250">
        <f t="shared" si="6"/>
        <v>0</v>
      </c>
    </row>
    <row r="102" spans="1:5" ht="12.75">
      <c r="A102" s="67" t="s">
        <v>169</v>
      </c>
      <c r="B102" s="8" t="s">
        <v>187</v>
      </c>
      <c r="C102" s="250">
        <f>SUM(C84:C101)</f>
        <v>123120</v>
      </c>
      <c r="D102" s="250">
        <f>SUM(D84:D101)</f>
        <v>0</v>
      </c>
      <c r="E102" s="250">
        <f>SUM(E84:E101)</f>
        <v>123120</v>
      </c>
    </row>
    <row r="103" ht="12.75">
      <c r="A103" s="67"/>
    </row>
    <row r="104" ht="12.75">
      <c r="A104" s="67" t="s">
        <v>172</v>
      </c>
    </row>
    <row r="105" spans="1:5" ht="12.75">
      <c r="A105" s="274" t="str">
        <f aca="true" t="shared" si="7" ref="A105:A114">IF($E84&gt;$C$11,A84," ")</f>
        <v> </v>
      </c>
      <c r="B105" s="272"/>
      <c r="C105" s="250">
        <f aca="true" t="shared" si="8" ref="C105:E120">IF($E84&gt;$C$11,C84,)</f>
        <v>0</v>
      </c>
      <c r="D105" s="250">
        <f t="shared" si="8"/>
        <v>0</v>
      </c>
      <c r="E105" s="250">
        <f t="shared" si="8"/>
        <v>0</v>
      </c>
    </row>
    <row r="106" spans="1:5" ht="12.75">
      <c r="A106" s="274" t="str">
        <f t="shared" si="7"/>
        <v> </v>
      </c>
      <c r="B106" s="272"/>
      <c r="C106" s="250">
        <f t="shared" si="8"/>
        <v>0</v>
      </c>
      <c r="D106" s="250">
        <f t="shared" si="8"/>
        <v>0</v>
      </c>
      <c r="E106" s="250">
        <f t="shared" si="8"/>
        <v>0</v>
      </c>
    </row>
    <row r="107" spans="1:5" ht="12.75">
      <c r="A107" s="274" t="str">
        <f t="shared" si="7"/>
        <v> </v>
      </c>
      <c r="B107" s="272"/>
      <c r="C107" s="250">
        <f t="shared" si="8"/>
        <v>0</v>
      </c>
      <c r="D107" s="250">
        <f t="shared" si="8"/>
        <v>0</v>
      </c>
      <c r="E107" s="250">
        <f t="shared" si="8"/>
        <v>0</v>
      </c>
    </row>
    <row r="108" spans="1:5" ht="12.75">
      <c r="A108" s="274" t="str">
        <f t="shared" si="7"/>
        <v> </v>
      </c>
      <c r="B108" s="272"/>
      <c r="C108" s="250">
        <f t="shared" si="8"/>
        <v>0</v>
      </c>
      <c r="D108" s="250">
        <f t="shared" si="8"/>
        <v>0</v>
      </c>
      <c r="E108" s="250">
        <f t="shared" si="8"/>
        <v>0</v>
      </c>
    </row>
    <row r="109" spans="1:5" ht="12.75">
      <c r="A109" s="274" t="str">
        <f t="shared" si="7"/>
        <v> </v>
      </c>
      <c r="B109" s="272"/>
      <c r="C109" s="250">
        <f t="shared" si="8"/>
        <v>0</v>
      </c>
      <c r="D109" s="250">
        <f t="shared" si="8"/>
        <v>0</v>
      </c>
      <c r="E109" s="250">
        <f t="shared" si="8"/>
        <v>0</v>
      </c>
    </row>
    <row r="110" spans="1:5" ht="12.75">
      <c r="A110" s="274" t="str">
        <f t="shared" si="7"/>
        <v> </v>
      </c>
      <c r="B110" s="272"/>
      <c r="C110" s="250">
        <f t="shared" si="8"/>
        <v>0</v>
      </c>
      <c r="D110" s="250">
        <f t="shared" si="8"/>
        <v>0</v>
      </c>
      <c r="E110" s="250">
        <f t="shared" si="8"/>
        <v>0</v>
      </c>
    </row>
    <row r="111" spans="1:5" ht="12.75">
      <c r="A111" s="274" t="str">
        <f t="shared" si="7"/>
        <v> </v>
      </c>
      <c r="B111" s="272"/>
      <c r="C111" s="250">
        <f t="shared" si="8"/>
        <v>0</v>
      </c>
      <c r="D111" s="250">
        <f t="shared" si="8"/>
        <v>0</v>
      </c>
      <c r="E111" s="250">
        <f t="shared" si="8"/>
        <v>0</v>
      </c>
    </row>
    <row r="112" spans="1:5" ht="12.75">
      <c r="A112" s="274" t="str">
        <f t="shared" si="7"/>
        <v> </v>
      </c>
      <c r="B112" s="272"/>
      <c r="C112" s="250">
        <f t="shared" si="8"/>
        <v>0</v>
      </c>
      <c r="D112" s="250">
        <f t="shared" si="8"/>
        <v>0</v>
      </c>
      <c r="E112" s="250">
        <f t="shared" si="8"/>
        <v>0</v>
      </c>
    </row>
    <row r="113" spans="1:5" ht="12.75">
      <c r="A113" s="274" t="str">
        <f t="shared" si="7"/>
        <v> </v>
      </c>
      <c r="B113" s="272"/>
      <c r="C113" s="250">
        <f t="shared" si="8"/>
        <v>0</v>
      </c>
      <c r="D113" s="250">
        <f t="shared" si="8"/>
        <v>0</v>
      </c>
      <c r="E113" s="250">
        <f t="shared" si="8"/>
        <v>0</v>
      </c>
    </row>
    <row r="114" spans="1:5" ht="12.75">
      <c r="A114" s="274" t="str">
        <f t="shared" si="7"/>
        <v> </v>
      </c>
      <c r="B114" s="272"/>
      <c r="C114" s="250">
        <f t="shared" si="8"/>
        <v>0</v>
      </c>
      <c r="D114" s="250">
        <f t="shared" si="8"/>
        <v>0</v>
      </c>
      <c r="E114" s="250">
        <f t="shared" si="8"/>
        <v>0</v>
      </c>
    </row>
    <row r="115" spans="1:5" ht="12.75">
      <c r="A115" s="274" t="str">
        <f>IF($E94&gt;$C$11,A97," ")</f>
        <v> </v>
      </c>
      <c r="B115" s="272"/>
      <c r="C115" s="250">
        <f t="shared" si="8"/>
        <v>0</v>
      </c>
      <c r="D115" s="250">
        <f t="shared" si="8"/>
        <v>0</v>
      </c>
      <c r="E115" s="250">
        <f t="shared" si="8"/>
        <v>0</v>
      </c>
    </row>
    <row r="116" spans="1:5" ht="12.75">
      <c r="A116" s="274" t="str">
        <f>IF($E95&gt;$C$11,#REF!," ")</f>
        <v> </v>
      </c>
      <c r="B116" s="272"/>
      <c r="C116" s="250">
        <f t="shared" si="8"/>
        <v>0</v>
      </c>
      <c r="D116" s="250">
        <f t="shared" si="8"/>
        <v>0</v>
      </c>
      <c r="E116" s="250">
        <f t="shared" si="8"/>
        <v>0</v>
      </c>
    </row>
    <row r="117" spans="1:5" ht="12.75">
      <c r="A117" s="274" t="str">
        <f>IF($E96&gt;$C$11,A96," ")</f>
        <v> </v>
      </c>
      <c r="B117" s="272"/>
      <c r="C117" s="250">
        <f t="shared" si="8"/>
        <v>0</v>
      </c>
      <c r="D117" s="250">
        <f t="shared" si="8"/>
        <v>0</v>
      </c>
      <c r="E117" s="250">
        <f t="shared" si="8"/>
        <v>0</v>
      </c>
    </row>
    <row r="118" spans="1:5" ht="12.75">
      <c r="A118" s="274" t="str">
        <f>IF($E97&gt;$C$11,A95," ")</f>
        <v> </v>
      </c>
      <c r="B118" s="272"/>
      <c r="C118" s="250">
        <f t="shared" si="8"/>
        <v>0</v>
      </c>
      <c r="D118" s="250">
        <f t="shared" si="8"/>
        <v>0</v>
      </c>
      <c r="E118" s="250">
        <f t="shared" si="8"/>
        <v>0</v>
      </c>
    </row>
    <row r="119" spans="1:5" ht="12.75">
      <c r="A119" s="274" t="str">
        <f>IF($E98&gt;$C$11,A98," ")</f>
        <v> </v>
      </c>
      <c r="B119" s="272"/>
      <c r="C119" s="250">
        <f t="shared" si="8"/>
        <v>0</v>
      </c>
      <c r="D119" s="250">
        <f t="shared" si="8"/>
        <v>0</v>
      </c>
      <c r="E119" s="250">
        <f t="shared" si="8"/>
        <v>0</v>
      </c>
    </row>
    <row r="120" spans="1:5" ht="12.75">
      <c r="A120" s="274" t="str">
        <f>IF($E99&gt;$C$11,A99," ")</f>
        <v> </v>
      </c>
      <c r="B120" s="272"/>
      <c r="C120" s="250">
        <f t="shared" si="8"/>
        <v>0</v>
      </c>
      <c r="D120" s="250">
        <f t="shared" si="8"/>
        <v>0</v>
      </c>
      <c r="E120" s="250">
        <f t="shared" si="8"/>
        <v>0</v>
      </c>
    </row>
    <row r="121" spans="1:5" ht="12.75">
      <c r="A121" s="274" t="str">
        <f>IF($E101&gt;$C$11,A101," ")</f>
        <v> </v>
      </c>
      <c r="B121" s="272"/>
      <c r="C121" s="250">
        <f>IF($E101&gt;$C$11,C101,)</f>
        <v>0</v>
      </c>
      <c r="D121" s="250">
        <f>IF($E101&gt;$C$11,D101,)</f>
        <v>0</v>
      </c>
      <c r="E121" s="250">
        <f>IF($E101&gt;$C$11,E101,)</f>
        <v>0</v>
      </c>
    </row>
    <row r="122" spans="1:5" ht="12.75">
      <c r="A122" s="277" t="s">
        <v>200</v>
      </c>
      <c r="B122" s="272"/>
      <c r="C122" s="250">
        <f>SUM(C105:C121)</f>
        <v>0</v>
      </c>
      <c r="D122" s="250">
        <f>SUM(D105:D121)</f>
        <v>0</v>
      </c>
      <c r="E122" s="250">
        <f>SUM(E105:E121)</f>
        <v>0</v>
      </c>
    </row>
    <row r="123" spans="1:6" ht="12.75">
      <c r="A123" s="277" t="s">
        <v>199</v>
      </c>
      <c r="B123" s="272"/>
      <c r="C123" s="250">
        <f>C102-C122</f>
        <v>123120</v>
      </c>
      <c r="D123" s="250">
        <f>D102-D122</f>
        <v>0</v>
      </c>
      <c r="E123" s="250">
        <f>E102-E122</f>
        <v>123120</v>
      </c>
      <c r="F123" s="516"/>
    </row>
    <row r="124" spans="1:5" ht="12.75">
      <c r="A124" s="277" t="s">
        <v>169</v>
      </c>
      <c r="B124" s="272"/>
      <c r="C124" s="250">
        <f>C122+C123</f>
        <v>123120</v>
      </c>
      <c r="D124" s="250">
        <f>D122+D123</f>
        <v>0</v>
      </c>
      <c r="E124" s="250">
        <f>E122+E123</f>
        <v>123120</v>
      </c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</sheetData>
  <sheetProtection/>
  <printOptions gridLines="1" headings="1"/>
  <pageMargins left="0.748031496062992" right="0.236220472440945" top="0.66" bottom="0.35" header="0.19" footer="0"/>
  <pageSetup fitToHeight="2" fitToWidth="1" horizontalDpi="600" verticalDpi="600" orientation="portrait" scale="74" r:id="rId1"/>
  <headerFooter alignWithMargins="0">
    <oddHeader>&amp;R&amp;9Hydro One Brampton Networks Inc.
EB-2008-0381
Deferred PILs Combined Proceeding
</oddHeader>
    <oddFooter>&amp;L&amp;8March 22, 2010&amp;C&amp;Z&amp;F&amp;R&amp;"Arial,Bold"&amp;9&amp;A</oddFooter>
  </headerFooter>
  <rowBreaks count="1" manualBreakCount="1">
    <brk id="8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G64" sqref="G6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387</v>
      </c>
      <c r="E3" s="92"/>
    </row>
    <row r="4" spans="1:6" ht="15.75">
      <c r="A4" s="453" t="s">
        <v>448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55" t="s">
        <v>388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Burlington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131</v>
      </c>
      <c r="B19" t="s">
        <v>185</v>
      </c>
      <c r="C19" s="294"/>
      <c r="D19" s="294"/>
      <c r="E19" s="311">
        <f aca="true" t="shared" si="0" ref="E19:E45">C19-D19</f>
        <v>0</v>
      </c>
    </row>
    <row r="20" spans="1:5" ht="12.75">
      <c r="A20" t="s">
        <v>390</v>
      </c>
      <c r="B20" t="s">
        <v>185</v>
      </c>
      <c r="C20" s="294"/>
      <c r="D20" s="294"/>
      <c r="E20" s="311">
        <f t="shared" si="0"/>
        <v>0</v>
      </c>
    </row>
    <row r="21" spans="1:5" ht="12.75">
      <c r="A21" t="s">
        <v>456</v>
      </c>
      <c r="B21" t="s">
        <v>185</v>
      </c>
      <c r="C21" s="294"/>
      <c r="D21" s="294"/>
      <c r="E21" s="311">
        <f t="shared" si="0"/>
        <v>0</v>
      </c>
    </row>
    <row r="22" spans="1:5" ht="12.75">
      <c r="A22" s="67" t="s">
        <v>393</v>
      </c>
      <c r="B22" t="s">
        <v>185</v>
      </c>
      <c r="C22" s="294"/>
      <c r="D22" s="312"/>
      <c r="E22" s="311">
        <f t="shared" si="0"/>
        <v>0</v>
      </c>
    </row>
    <row r="23" spans="1:5" ht="12.75">
      <c r="A23" s="67" t="s">
        <v>394</v>
      </c>
      <c r="B23" t="s">
        <v>185</v>
      </c>
      <c r="C23" s="294"/>
      <c r="D23" s="294"/>
      <c r="E23" s="311">
        <f t="shared" si="0"/>
        <v>0</v>
      </c>
    </row>
    <row r="24" spans="1:5" ht="12.75">
      <c r="A24" s="67" t="s">
        <v>457</v>
      </c>
      <c r="B24" t="s">
        <v>185</v>
      </c>
      <c r="C24" s="294">
        <v>0</v>
      </c>
      <c r="D24" s="294"/>
      <c r="E24" s="311">
        <f t="shared" si="0"/>
        <v>0</v>
      </c>
    </row>
    <row r="25" spans="1:5" ht="12.75">
      <c r="A25" s="67" t="s">
        <v>123</v>
      </c>
      <c r="B25" t="s">
        <v>185</v>
      </c>
      <c r="C25" s="294"/>
      <c r="D25" s="294"/>
      <c r="E25" s="311">
        <f t="shared" si="0"/>
        <v>0</v>
      </c>
    </row>
    <row r="26" spans="1:5" ht="12.75">
      <c r="A26" s="67" t="s">
        <v>132</v>
      </c>
      <c r="B26" t="s">
        <v>185</v>
      </c>
      <c r="C26" s="294"/>
      <c r="D26" s="294"/>
      <c r="E26" s="311">
        <f t="shared" si="0"/>
        <v>0</v>
      </c>
    </row>
    <row r="27" spans="1:5" ht="12.75">
      <c r="A27" s="67" t="s">
        <v>440</v>
      </c>
      <c r="B27" t="s">
        <v>185</v>
      </c>
      <c r="C27" s="294"/>
      <c r="D27" s="294"/>
      <c r="E27" s="311">
        <f t="shared" si="0"/>
        <v>0</v>
      </c>
    </row>
    <row r="28" spans="1:5" ht="12.75">
      <c r="A28" s="67" t="s">
        <v>392</v>
      </c>
      <c r="B28" t="s">
        <v>185</v>
      </c>
      <c r="C28" s="294"/>
      <c r="D28" s="294"/>
      <c r="E28" s="311">
        <f t="shared" si="0"/>
        <v>0</v>
      </c>
    </row>
    <row r="29" spans="1:5" ht="12.75">
      <c r="A29" s="67" t="s">
        <v>134</v>
      </c>
      <c r="B29" t="s">
        <v>185</v>
      </c>
      <c r="C29" s="294"/>
      <c r="D29" s="294"/>
      <c r="E29" s="311">
        <f t="shared" si="0"/>
        <v>0</v>
      </c>
    </row>
    <row r="30" spans="1:5" ht="12.75">
      <c r="A30" s="67" t="s">
        <v>391</v>
      </c>
      <c r="B30" t="s">
        <v>185</v>
      </c>
      <c r="C30" s="294"/>
      <c r="D30" s="294"/>
      <c r="E30" s="311">
        <f t="shared" si="0"/>
        <v>0</v>
      </c>
    </row>
    <row r="31" spans="1:5" ht="12.75">
      <c r="A31" s="67" t="s">
        <v>190</v>
      </c>
      <c r="B31" t="s">
        <v>185</v>
      </c>
      <c r="C31" s="294"/>
      <c r="D31" s="294"/>
      <c r="E31" s="311">
        <f t="shared" si="0"/>
        <v>0</v>
      </c>
    </row>
    <row r="32" spans="1:5" ht="12.75">
      <c r="A32" s="67" t="s">
        <v>435</v>
      </c>
      <c r="B32" t="s">
        <v>185</v>
      </c>
      <c r="C32" s="294"/>
      <c r="D32" s="294"/>
      <c r="E32" s="311">
        <f t="shared" si="0"/>
        <v>0</v>
      </c>
    </row>
    <row r="33" spans="1:5" ht="12.75">
      <c r="A33" s="67" t="s">
        <v>436</v>
      </c>
      <c r="B33" t="s">
        <v>185</v>
      </c>
      <c r="C33" s="294"/>
      <c r="D33" s="294"/>
      <c r="E33" s="311">
        <f t="shared" si="0"/>
        <v>0</v>
      </c>
    </row>
    <row r="34" spans="1:5" ht="12.75">
      <c r="A34" s="67" t="s">
        <v>453</v>
      </c>
      <c r="B34" t="s">
        <v>185</v>
      </c>
      <c r="C34" s="294"/>
      <c r="D34" s="294"/>
      <c r="E34" s="311">
        <f t="shared" si="0"/>
        <v>0</v>
      </c>
    </row>
    <row r="35" spans="1:5" ht="12.75">
      <c r="A35" s="81" t="s">
        <v>454</v>
      </c>
      <c r="C35" s="294"/>
      <c r="D35" s="294"/>
      <c r="E35" s="311">
        <f t="shared" si="0"/>
        <v>0</v>
      </c>
    </row>
    <row r="36" spans="1:5" ht="12.75">
      <c r="A36" s="67" t="s">
        <v>437</v>
      </c>
      <c r="C36" s="294"/>
      <c r="D36" s="294"/>
      <c r="E36" s="311">
        <f t="shared" si="0"/>
        <v>0</v>
      </c>
    </row>
    <row r="37" spans="1:5" ht="12.75">
      <c r="A37" s="67" t="s">
        <v>438</v>
      </c>
      <c r="C37" s="294"/>
      <c r="D37" s="294"/>
      <c r="E37" s="311">
        <f t="shared" si="0"/>
        <v>0</v>
      </c>
    </row>
    <row r="38" spans="1:5" ht="12.75">
      <c r="A38" s="67" t="s">
        <v>460</v>
      </c>
      <c r="C38" s="294"/>
      <c r="D38" s="294"/>
      <c r="E38" s="311">
        <f t="shared" si="0"/>
        <v>0</v>
      </c>
    </row>
    <row r="39" spans="2:5" ht="12.75">
      <c r="B39" t="s">
        <v>185</v>
      </c>
      <c r="C39" s="294"/>
      <c r="D39" s="294"/>
      <c r="E39" s="311">
        <f t="shared" si="0"/>
        <v>0</v>
      </c>
    </row>
    <row r="40" spans="1:5" ht="12.75">
      <c r="A40" s="81" t="s">
        <v>395</v>
      </c>
      <c r="B40" t="s">
        <v>185</v>
      </c>
      <c r="C40" s="294"/>
      <c r="D40" s="294"/>
      <c r="E40" s="311">
        <f t="shared" si="0"/>
        <v>0</v>
      </c>
    </row>
    <row r="41" spans="1:5" ht="12.75">
      <c r="A41" s="81" t="s">
        <v>389</v>
      </c>
      <c r="B41" t="s">
        <v>185</v>
      </c>
      <c r="C41" s="294"/>
      <c r="D41" s="294"/>
      <c r="E41" s="311">
        <f t="shared" si="0"/>
        <v>0</v>
      </c>
    </row>
    <row r="42" spans="2:5" ht="12.75">
      <c r="B42" t="s">
        <v>185</v>
      </c>
      <c r="C42" s="294"/>
      <c r="D42" s="294"/>
      <c r="E42" s="311">
        <f t="shared" si="0"/>
        <v>0</v>
      </c>
    </row>
    <row r="43" spans="1:5" ht="12.75">
      <c r="A43" s="68" t="s">
        <v>202</v>
      </c>
      <c r="B43" t="s">
        <v>185</v>
      </c>
      <c r="C43" s="294"/>
      <c r="D43" s="294"/>
      <c r="E43" s="311">
        <f t="shared" si="0"/>
        <v>0</v>
      </c>
    </row>
    <row r="44" spans="1:5" ht="12.75">
      <c r="A44" s="67" t="s">
        <v>458</v>
      </c>
      <c r="B44" t="s">
        <v>185</v>
      </c>
      <c r="C44" s="293"/>
      <c r="D44" s="293"/>
      <c r="E44" s="250">
        <f t="shared" si="0"/>
        <v>0</v>
      </c>
    </row>
    <row r="45" spans="2:5" ht="12.75">
      <c r="B45" t="s">
        <v>185</v>
      </c>
      <c r="C45" s="293"/>
      <c r="D45" s="293"/>
      <c r="E45" s="250">
        <f t="shared" si="0"/>
        <v>0</v>
      </c>
    </row>
    <row r="46" spans="1:5" ht="12.75">
      <c r="A46" s="67"/>
      <c r="B46" t="s">
        <v>185</v>
      </c>
      <c r="C46" s="293"/>
      <c r="D46" s="293"/>
      <c r="E46" s="278"/>
    </row>
    <row r="47" spans="1:5" ht="12.75">
      <c r="A47" s="438" t="s">
        <v>399</v>
      </c>
      <c r="B47" t="s">
        <v>187</v>
      </c>
      <c r="C47" s="250">
        <f>SUM(C19:C46)</f>
        <v>0</v>
      </c>
      <c r="D47" s="250">
        <f>SUM(D19:D46)</f>
        <v>0</v>
      </c>
      <c r="E47" s="250">
        <f>SUM(E19:E46)</f>
        <v>0</v>
      </c>
    </row>
    <row r="48" ht="12.75">
      <c r="A48" s="67"/>
    </row>
    <row r="49" ht="12.75">
      <c r="A49" s="81" t="s">
        <v>143</v>
      </c>
    </row>
    <row r="51" spans="1:5" ht="12.75">
      <c r="A51" s="71" t="s">
        <v>390</v>
      </c>
      <c r="B51" s="8" t="s">
        <v>186</v>
      </c>
      <c r="C51" s="293"/>
      <c r="D51" s="293"/>
      <c r="E51" s="250">
        <f aca="true" t="shared" si="1" ref="E51:E61">C51-D51</f>
        <v>0</v>
      </c>
    </row>
    <row r="52" spans="1:5" ht="12.75">
      <c r="A52" s="67" t="s">
        <v>456</v>
      </c>
      <c r="B52" s="8" t="s">
        <v>186</v>
      </c>
      <c r="C52" s="293"/>
      <c r="D52" s="293"/>
      <c r="E52" s="250">
        <f t="shared" si="1"/>
        <v>0</v>
      </c>
    </row>
    <row r="53" spans="1:5" ht="12.75">
      <c r="A53" t="s">
        <v>391</v>
      </c>
      <c r="B53" s="8" t="s">
        <v>186</v>
      </c>
      <c r="C53" s="293"/>
      <c r="D53" s="293"/>
      <c r="E53" s="250">
        <f t="shared" si="1"/>
        <v>0</v>
      </c>
    </row>
    <row r="54" spans="1:5" ht="12.75">
      <c r="A54" t="s">
        <v>439</v>
      </c>
      <c r="B54" s="8" t="s">
        <v>186</v>
      </c>
      <c r="C54" s="293"/>
      <c r="D54" s="293"/>
      <c r="E54" s="250">
        <f t="shared" si="1"/>
        <v>0</v>
      </c>
    </row>
    <row r="55" spans="1:5" ht="12.75">
      <c r="A55" s="67" t="s">
        <v>447</v>
      </c>
      <c r="B55" s="8" t="s">
        <v>186</v>
      </c>
      <c r="C55" s="293"/>
      <c r="D55" s="293"/>
      <c r="E55" s="250">
        <f t="shared" si="1"/>
        <v>0</v>
      </c>
    </row>
    <row r="56" spans="1:5" ht="12.75">
      <c r="A56" s="67" t="s">
        <v>459</v>
      </c>
      <c r="B56" s="8" t="s">
        <v>186</v>
      </c>
      <c r="C56" s="293"/>
      <c r="D56" s="293"/>
      <c r="E56" s="250">
        <f t="shared" si="1"/>
        <v>0</v>
      </c>
    </row>
    <row r="57" spans="1:5" ht="12.75">
      <c r="A57" s="2" t="s">
        <v>455</v>
      </c>
      <c r="B57" s="8" t="s">
        <v>186</v>
      </c>
      <c r="C57" s="293">
        <v>0</v>
      </c>
      <c r="D57" s="293"/>
      <c r="E57" s="250">
        <f t="shared" si="1"/>
        <v>0</v>
      </c>
    </row>
    <row r="58" spans="1:5" ht="12.75">
      <c r="A58" s="67" t="s">
        <v>458</v>
      </c>
      <c r="B58" s="8" t="s">
        <v>186</v>
      </c>
      <c r="C58" s="293"/>
      <c r="D58" s="293"/>
      <c r="E58" s="250">
        <f t="shared" si="1"/>
        <v>0</v>
      </c>
    </row>
    <row r="59" spans="1:5" ht="12.75">
      <c r="A59" s="67"/>
      <c r="B59" s="8" t="s">
        <v>186</v>
      </c>
      <c r="C59" s="293"/>
      <c r="D59" s="293"/>
      <c r="E59" s="250">
        <f t="shared" si="1"/>
        <v>0</v>
      </c>
    </row>
    <row r="60" spans="2:5" ht="12.75">
      <c r="B60" s="8" t="s">
        <v>186</v>
      </c>
      <c r="C60" s="293"/>
      <c r="D60" s="293"/>
      <c r="E60" s="250">
        <f t="shared" si="1"/>
        <v>0</v>
      </c>
    </row>
    <row r="61" spans="2:5" ht="12.75">
      <c r="B61" s="8" t="s">
        <v>186</v>
      </c>
      <c r="C61" s="293"/>
      <c r="D61" s="293"/>
      <c r="E61" s="250">
        <f t="shared" si="1"/>
        <v>0</v>
      </c>
    </row>
    <row r="62" spans="2:5" ht="12.75">
      <c r="B62" s="8" t="s">
        <v>186</v>
      </c>
      <c r="C62" s="293"/>
      <c r="D62" s="293"/>
      <c r="E62" s="250">
        <f aca="true" t="shared" si="2" ref="E62:E72">C62-D62</f>
        <v>0</v>
      </c>
    </row>
    <row r="63" spans="2:5" ht="12.75">
      <c r="B63" s="8" t="s">
        <v>186</v>
      </c>
      <c r="C63" s="293"/>
      <c r="D63" s="293"/>
      <c r="E63" s="250">
        <f t="shared" si="2"/>
        <v>0</v>
      </c>
    </row>
    <row r="64" spans="1:5" ht="12.75">
      <c r="A64" s="457" t="s">
        <v>396</v>
      </c>
      <c r="B64" s="8" t="s">
        <v>186</v>
      </c>
      <c r="C64" s="293"/>
      <c r="D64" s="293"/>
      <c r="E64" s="250">
        <f t="shared" si="2"/>
        <v>0</v>
      </c>
    </row>
    <row r="65" spans="2:5" ht="12.75">
      <c r="B65" s="8" t="s">
        <v>186</v>
      </c>
      <c r="C65" s="293"/>
      <c r="D65" s="293"/>
      <c r="E65" s="250">
        <f t="shared" si="2"/>
        <v>0</v>
      </c>
    </row>
    <row r="66" spans="1:6" ht="12.75">
      <c r="A66" s="457" t="s">
        <v>389</v>
      </c>
      <c r="B66" s="8" t="s">
        <v>186</v>
      </c>
      <c r="C66" s="293">
        <v>3353578</v>
      </c>
      <c r="D66" s="293"/>
      <c r="E66" s="250">
        <f t="shared" si="2"/>
        <v>3353578</v>
      </c>
      <c r="F66" s="531" t="s">
        <v>517</v>
      </c>
    </row>
    <row r="67" spans="1:5" ht="12.75">
      <c r="A67" s="67"/>
      <c r="B67" s="8" t="s">
        <v>186</v>
      </c>
      <c r="C67" s="293"/>
      <c r="D67" s="293"/>
      <c r="E67" s="250">
        <f t="shared" si="2"/>
        <v>0</v>
      </c>
    </row>
    <row r="68" spans="1:5" ht="12.75">
      <c r="A68" s="68" t="s">
        <v>203</v>
      </c>
      <c r="B68" s="8" t="s">
        <v>186</v>
      </c>
      <c r="C68" s="293"/>
      <c r="D68" s="293"/>
      <c r="E68" s="250">
        <f t="shared" si="2"/>
        <v>0</v>
      </c>
    </row>
    <row r="69" spans="1:5" ht="12.75">
      <c r="A69" s="67"/>
      <c r="B69" s="8" t="s">
        <v>186</v>
      </c>
      <c r="C69" s="293"/>
      <c r="D69" s="293"/>
      <c r="E69" s="250">
        <f t="shared" si="2"/>
        <v>0</v>
      </c>
    </row>
    <row r="70" spans="1:5" ht="12.75">
      <c r="A70" s="67"/>
      <c r="B70" s="8" t="s">
        <v>186</v>
      </c>
      <c r="C70" s="293"/>
      <c r="D70" s="293"/>
      <c r="E70" s="250">
        <f t="shared" si="2"/>
        <v>0</v>
      </c>
    </row>
    <row r="71" spans="1:5" ht="12.75">
      <c r="A71" s="67"/>
      <c r="B71" s="8" t="s">
        <v>186</v>
      </c>
      <c r="C71" s="293"/>
      <c r="D71" s="293"/>
      <c r="E71" s="250">
        <f t="shared" si="2"/>
        <v>0</v>
      </c>
    </row>
    <row r="72" spans="1:5" ht="12.75">
      <c r="A72" s="67"/>
      <c r="B72" s="8" t="s">
        <v>186</v>
      </c>
      <c r="C72" s="293"/>
      <c r="D72" s="293"/>
      <c r="E72" s="278">
        <f t="shared" si="2"/>
        <v>0</v>
      </c>
    </row>
    <row r="73" spans="1:5" ht="12.75">
      <c r="A73" s="437" t="s">
        <v>398</v>
      </c>
      <c r="B73" s="8" t="s">
        <v>187</v>
      </c>
      <c r="C73" s="250">
        <f>SUM(C51:C72)</f>
        <v>3353578</v>
      </c>
      <c r="D73" s="250">
        <f>SUM(D51:D72)</f>
        <v>0</v>
      </c>
      <c r="E73" s="250">
        <f>SUM(E51:E72)</f>
        <v>3353578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" right="0.236220472440945" top="0.66" bottom="0.35" header="0.19" footer="0"/>
  <pageSetup fitToHeight="2" fitToWidth="1" horizontalDpi="600" verticalDpi="600" orientation="portrait" scale="77" r:id="rId1"/>
  <headerFooter alignWithMargins="0">
    <oddHeader>&amp;R&amp;9Hydro One Brampton Networks Inc.
EB-2008-0381
Deferred PILs Combined Proceeding
</oddHeader>
    <oddFooter>&amp;L&amp;8March 22, 2010&amp;C&amp;Z&amp;F&amp;R&amp;"Arial,Bold"&amp;9&amp;A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8">
      <selection activeCell="I20" sqref="I2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1.57421875" style="8" bestFit="1" customWidth="1"/>
    <col min="4" max="4" width="11.28125" style="8" bestFit="1" customWidth="1"/>
    <col min="5" max="5" width="11.7109375" style="8" bestFit="1" customWidth="1"/>
    <col min="6" max="6" width="13.0039062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79" t="str">
        <f>REGINFO!A1</f>
        <v>PILs TAXES - EB-2008-381</v>
      </c>
      <c r="B1" s="380"/>
      <c r="C1" s="340"/>
      <c r="D1" s="340"/>
      <c r="E1" s="340"/>
      <c r="F1" s="340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1" t="s">
        <v>106</v>
      </c>
      <c r="B2" s="340"/>
      <c r="C2" s="340"/>
      <c r="D2" s="340"/>
      <c r="E2" s="340"/>
      <c r="F2" s="342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1" t="s">
        <v>305</v>
      </c>
      <c r="B3" s="340"/>
      <c r="C3" s="340"/>
      <c r="D3" s="340"/>
      <c r="E3" s="340"/>
      <c r="F3" s="342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Burlington Hydro Inc.</v>
      </c>
      <c r="B4" s="340"/>
      <c r="C4" s="340"/>
      <c r="D4" s="340"/>
      <c r="E4" s="340"/>
      <c r="F4" s="340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2005</v>
      </c>
      <c r="B5" s="340"/>
      <c r="C5" s="340"/>
      <c r="D5" s="340"/>
      <c r="E5" s="340"/>
      <c r="F5" s="340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1"/>
      <c r="B7" s="340"/>
      <c r="C7" s="340"/>
      <c r="D7" s="340"/>
      <c r="E7" s="340"/>
      <c r="F7" s="402" t="s">
        <v>337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542" t="s">
        <v>516</v>
      </c>
      <c r="B8" s="543"/>
      <c r="C8" s="543"/>
      <c r="D8" s="543"/>
      <c r="E8" s="340"/>
      <c r="F8" s="377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111</v>
      </c>
      <c r="B9" s="324"/>
      <c r="C9" s="369">
        <v>0</v>
      </c>
      <c r="D9" s="369"/>
      <c r="E9" s="369">
        <v>400001</v>
      </c>
      <c r="F9" s="370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471</v>
      </c>
      <c r="B10" s="325"/>
      <c r="C10" s="371" t="s">
        <v>110</v>
      </c>
      <c r="D10" s="371"/>
      <c r="E10" s="371" t="s">
        <v>110</v>
      </c>
      <c r="F10" s="509" t="s">
        <v>506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115</v>
      </c>
      <c r="C11" s="372">
        <v>400000</v>
      </c>
      <c r="D11" s="372"/>
      <c r="E11" s="372">
        <v>1128000</v>
      </c>
      <c r="F11" s="373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298</v>
      </c>
      <c r="B13" s="401">
        <v>2005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297</v>
      </c>
      <c r="B14" s="244"/>
      <c r="C14" s="326">
        <v>0.1312</v>
      </c>
      <c r="D14" s="326"/>
      <c r="E14" s="327">
        <v>0.1775</v>
      </c>
      <c r="F14" s="327">
        <v>0.2212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302</v>
      </c>
      <c r="B15" s="244"/>
      <c r="C15" s="328">
        <v>0.055</v>
      </c>
      <c r="D15" s="328"/>
      <c r="E15" s="329">
        <v>0.0975</v>
      </c>
      <c r="F15" s="329">
        <v>0.14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258</v>
      </c>
      <c r="B16" s="244"/>
      <c r="C16" s="330">
        <f>SUM(C14:C15)</f>
        <v>0.1862</v>
      </c>
      <c r="D16" s="330"/>
      <c r="E16" s="331">
        <v>0.275</v>
      </c>
      <c r="F16" s="331">
        <f>SUM(F14:F15)</f>
        <v>0.3612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4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108</v>
      </c>
      <c r="B18" s="243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109</v>
      </c>
      <c r="B19" s="237"/>
      <c r="C19" s="333">
        <v>0.00175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112</v>
      </c>
      <c r="B20" s="237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3" t="s">
        <v>332</v>
      </c>
      <c r="B21" s="505" t="s">
        <v>507</v>
      </c>
      <c r="C21" s="358">
        <v>7500000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3" t="s">
        <v>333</v>
      </c>
      <c r="B22" s="506" t="s">
        <v>508</v>
      </c>
      <c r="C22" s="359">
        <v>50000000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36" t="s">
        <v>486</v>
      </c>
      <c r="B23" s="537"/>
      <c r="C23" s="537"/>
      <c r="D23" s="537"/>
      <c r="E23" s="537"/>
      <c r="F23" s="537"/>
      <c r="G23" s="427"/>
      <c r="H23" s="412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3"/>
      <c r="B24" s="404"/>
      <c r="C24" s="404"/>
      <c r="D24" s="404"/>
      <c r="E24" s="404"/>
      <c r="F24" s="404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4"/>
      <c r="B25" s="375"/>
      <c r="C25" s="378"/>
      <c r="D25" s="340"/>
      <c r="E25" s="340"/>
      <c r="F25" s="402" t="s">
        <v>338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44" t="s">
        <v>509</v>
      </c>
      <c r="B26" s="545"/>
      <c r="C26" s="545"/>
      <c r="D26" s="545"/>
      <c r="E26" s="545"/>
      <c r="F26" s="545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111</v>
      </c>
      <c r="B27" s="324"/>
      <c r="C27" s="364">
        <v>0</v>
      </c>
      <c r="D27" s="364">
        <v>300001</v>
      </c>
      <c r="E27" s="364">
        <v>400001</v>
      </c>
      <c r="F27" s="365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443</v>
      </c>
      <c r="B28" s="325"/>
      <c r="C28" s="366" t="s">
        <v>110</v>
      </c>
      <c r="D28" s="493" t="s">
        <v>110</v>
      </c>
      <c r="E28" s="366" t="s">
        <v>110</v>
      </c>
      <c r="F28" s="494" t="s">
        <v>506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115</v>
      </c>
      <c r="C29" s="367">
        <v>300000</v>
      </c>
      <c r="D29" s="367">
        <v>400000</v>
      </c>
      <c r="E29" s="367">
        <v>1128000</v>
      </c>
      <c r="F29" s="368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114</v>
      </c>
      <c r="B31" s="401">
        <v>2005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297</v>
      </c>
      <c r="B32" s="401"/>
      <c r="C32" s="326">
        <v>0.1312</v>
      </c>
      <c r="D32" s="326">
        <v>0.2212</v>
      </c>
      <c r="E32" s="327">
        <v>0.2212</v>
      </c>
      <c r="F32" s="327">
        <v>0.2212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29</v>
      </c>
      <c r="B33" s="401"/>
      <c r="C33" s="328">
        <v>0.055</v>
      </c>
      <c r="D33" s="328">
        <v>0.055</v>
      </c>
      <c r="E33" s="329">
        <v>0.0975</v>
      </c>
      <c r="F33" s="329">
        <v>0.14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258</v>
      </c>
      <c r="B34" s="401"/>
      <c r="C34" s="330">
        <f>SUM(C32:C33)</f>
        <v>0.1862</v>
      </c>
      <c r="D34" s="330">
        <v>0.2762</v>
      </c>
      <c r="E34" s="331">
        <f>SUM(E32:E33)</f>
        <v>0.3187</v>
      </c>
      <c r="F34" s="331">
        <f>SUM(F32:F33)</f>
        <v>0.3612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4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108</v>
      </c>
      <c r="B36" s="401"/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109</v>
      </c>
      <c r="B37" s="401"/>
      <c r="C37" s="333">
        <v>0.00175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112</v>
      </c>
      <c r="B38" s="401"/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3" t="s">
        <v>481</v>
      </c>
      <c r="B39" s="505" t="s">
        <v>507</v>
      </c>
      <c r="C39" s="358">
        <v>7500000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3" t="s">
        <v>482</v>
      </c>
      <c r="B40" s="506" t="s">
        <v>508</v>
      </c>
      <c r="C40" s="358">
        <v>50000000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38" t="s">
        <v>335</v>
      </c>
      <c r="B41" s="537"/>
      <c r="C41" s="537"/>
      <c r="D41" s="537"/>
      <c r="E41" s="537"/>
      <c r="F41" s="537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39"/>
      <c r="B42" s="539"/>
      <c r="C42" s="539"/>
      <c r="D42" s="539"/>
      <c r="E42" s="539"/>
      <c r="F42" s="539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4"/>
      <c r="B43" s="375"/>
      <c r="C43" s="376"/>
      <c r="D43" s="375"/>
      <c r="E43" s="375"/>
      <c r="F43" s="402" t="s">
        <v>339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0" t="s">
        <v>505</v>
      </c>
      <c r="B44" s="362"/>
      <c r="C44" s="363"/>
      <c r="D44" s="362"/>
      <c r="E44" s="340"/>
      <c r="F44" s="377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488" t="s">
        <v>111</v>
      </c>
      <c r="B45" s="489"/>
      <c r="C45" s="490">
        <v>0</v>
      </c>
      <c r="D45" s="490">
        <v>300001</v>
      </c>
      <c r="E45" s="490">
        <v>400001</v>
      </c>
      <c r="F45" s="365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491"/>
      <c r="B46" s="492"/>
      <c r="C46" s="493" t="s">
        <v>110</v>
      </c>
      <c r="D46" s="493" t="s">
        <v>110</v>
      </c>
      <c r="E46" s="493" t="s">
        <v>110</v>
      </c>
      <c r="F46" s="494" t="s">
        <v>506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491"/>
      <c r="B47" s="495" t="s">
        <v>115</v>
      </c>
      <c r="C47" s="496">
        <v>300000</v>
      </c>
      <c r="D47" s="496">
        <v>400000</v>
      </c>
      <c r="E47" s="496">
        <v>1128000</v>
      </c>
      <c r="F47" s="368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497" t="s">
        <v>107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2" t="s">
        <v>114</v>
      </c>
      <c r="B49" s="401">
        <v>2005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2" t="s">
        <v>297</v>
      </c>
      <c r="B50" s="244"/>
      <c r="C50" s="349">
        <v>0.1312</v>
      </c>
      <c r="D50" s="498">
        <v>0.2212</v>
      </c>
      <c r="E50" s="499">
        <v>0.2612</v>
      </c>
      <c r="F50" s="499">
        <v>0.2212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2" t="s">
        <v>29</v>
      </c>
      <c r="B51" s="244"/>
      <c r="C51" s="351">
        <f>C33</f>
        <v>0.055</v>
      </c>
      <c r="D51" s="500">
        <v>0.055</v>
      </c>
      <c r="E51" s="501">
        <v>0.0975</v>
      </c>
      <c r="F51" s="501">
        <v>0.14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2" t="s">
        <v>258</v>
      </c>
      <c r="B52" s="244"/>
      <c r="C52" s="330">
        <f>SUM(C50:C51)</f>
        <v>0.1862</v>
      </c>
      <c r="D52" s="502">
        <f>SUM(D50:D51)</f>
        <v>0.2762</v>
      </c>
      <c r="E52" s="503">
        <f>SUM(E50:E51)</f>
        <v>0.3587</v>
      </c>
      <c r="F52" s="503">
        <f>SUM(F50:F51)</f>
        <v>0.3612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2"/>
      <c r="B53" s="244"/>
      <c r="C53" s="349"/>
      <c r="D53" s="349"/>
      <c r="E53" s="350"/>
      <c r="F53" s="350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497" t="s">
        <v>108</v>
      </c>
      <c r="B54" s="243"/>
      <c r="C54" s="352">
        <v>0.003</v>
      </c>
      <c r="D54" s="349"/>
      <c r="E54" s="350"/>
      <c r="F54" s="350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497" t="s">
        <v>109</v>
      </c>
      <c r="B55" s="237"/>
      <c r="C55" s="353">
        <v>0.00175</v>
      </c>
      <c r="D55" s="354"/>
      <c r="E55" s="355"/>
      <c r="F55" s="355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497" t="s">
        <v>112</v>
      </c>
      <c r="B56" s="237"/>
      <c r="C56" s="354">
        <v>0.0112</v>
      </c>
      <c r="D56" s="356"/>
      <c r="E56" s="357"/>
      <c r="F56" s="357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504" t="s">
        <v>351</v>
      </c>
      <c r="B57" s="505" t="s">
        <v>507</v>
      </c>
      <c r="C57" s="358">
        <v>7187629</v>
      </c>
      <c r="D57" s="356"/>
      <c r="E57" s="357"/>
      <c r="F57" s="357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504" t="s">
        <v>352</v>
      </c>
      <c r="B58" s="506" t="s">
        <v>508</v>
      </c>
      <c r="C58" s="359">
        <v>44714915</v>
      </c>
      <c r="D58" s="360"/>
      <c r="E58" s="361"/>
      <c r="F58" s="361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 customHeight="1">
      <c r="A59" s="536" t="s">
        <v>353</v>
      </c>
      <c r="B59" s="540"/>
      <c r="C59" s="540"/>
      <c r="D59" s="540"/>
      <c r="E59" s="540"/>
      <c r="F59" s="540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41"/>
      <c r="B60" s="541"/>
      <c r="C60" s="541"/>
      <c r="D60" s="541"/>
      <c r="E60" s="541"/>
      <c r="F60" s="541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1"/>
      <c r="B61" s="342"/>
      <c r="C61" s="342"/>
      <c r="D61" s="342"/>
      <c r="E61" s="342"/>
      <c r="F61" s="344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1"/>
      <c r="B62" s="342"/>
      <c r="C62" s="343"/>
      <c r="D62" s="343"/>
      <c r="E62" s="343"/>
      <c r="F62" s="345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1"/>
      <c r="B63" s="340"/>
      <c r="C63" s="340"/>
      <c r="D63" s="340"/>
      <c r="E63" s="340"/>
      <c r="F63" s="340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6"/>
      <c r="B64" s="347"/>
      <c r="C64" s="348"/>
      <c r="D64" s="348"/>
      <c r="E64" s="348"/>
      <c r="F64" s="348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" right="0.236220472440945" top="0.66" bottom="0.35" header="0.19" footer="0"/>
  <pageSetup fitToHeight="1" fitToWidth="1" horizontalDpi="600" verticalDpi="600" orientation="portrait" scale="74" r:id="rId1"/>
  <headerFooter alignWithMargins="0">
    <oddHeader>&amp;R&amp;9Hydro One Brampton Networks Inc.
EB-2008-0381
Deferred PILs Combined Proceeding</oddHeader>
    <oddFooter>&amp;L&amp;8March 22, 2010&amp;C&amp;Z&amp;F&amp;R&amp;"Arial,Bold"&amp;9&amp;A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="75" zoomScaleNormal="75" zoomScalePageLayoutView="0" workbookViewId="0" topLeftCell="A1">
      <selection activeCell="M18" sqref="M1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461</v>
      </c>
      <c r="B2" s="2"/>
    </row>
    <row r="3" spans="1:15" ht="12.75">
      <c r="A3" s="2" t="str">
        <f>REGINFO!A3</f>
        <v>Utility Name: Burlington Hydro Inc.</v>
      </c>
      <c r="O3" s="408" t="str">
        <f>REGINFO!E1</f>
        <v>Version 2009.1</v>
      </c>
    </row>
    <row r="4" spans="1:15" ht="12.75">
      <c r="A4" s="2" t="str">
        <f>REGINFO!A4</f>
        <v>Reporting period:  2005</v>
      </c>
      <c r="E4" s="409" t="s">
        <v>321</v>
      </c>
      <c r="F4" s="393"/>
      <c r="G4" s="393"/>
      <c r="H4" s="393"/>
      <c r="I4" s="393"/>
      <c r="O4" s="40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94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95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87" t="s">
        <v>103</v>
      </c>
    </row>
    <row r="10" spans="1:8" ht="12.75">
      <c r="A10" s="2"/>
      <c r="F10" s="34"/>
      <c r="H10" s="34"/>
    </row>
    <row r="11" spans="1:15" ht="20.25" customHeight="1">
      <c r="A11" s="81" t="s">
        <v>104</v>
      </c>
      <c r="B11" s="8" t="s">
        <v>187</v>
      </c>
      <c r="C11" s="389">
        <v>0</v>
      </c>
      <c r="D11" s="385"/>
      <c r="E11" s="391">
        <f>C22</f>
        <v>1050154</v>
      </c>
      <c r="F11" s="411"/>
      <c r="G11" s="391">
        <f>E22</f>
        <v>575456</v>
      </c>
      <c r="H11" s="411"/>
      <c r="I11" s="391">
        <f>G22</f>
        <v>405438</v>
      </c>
      <c r="J11" s="385"/>
      <c r="K11" s="391">
        <f>I22</f>
        <v>-169918.5</v>
      </c>
      <c r="L11" s="385"/>
      <c r="M11" s="391">
        <f>K22</f>
        <v>-1142662.5112135252</v>
      </c>
      <c r="N11" s="385"/>
      <c r="O11" s="391">
        <f>C11</f>
        <v>0</v>
      </c>
    </row>
    <row r="12" spans="1:15" ht="27" customHeight="1">
      <c r="A12" s="81" t="s">
        <v>400</v>
      </c>
      <c r="B12" s="66" t="s">
        <v>188</v>
      </c>
      <c r="C12" s="390">
        <v>1050154</v>
      </c>
      <c r="D12" s="386"/>
      <c r="E12" s="390">
        <v>3234741</v>
      </c>
      <c r="F12" s="95"/>
      <c r="G12" s="410">
        <v>4284895</v>
      </c>
      <c r="H12" s="95"/>
      <c r="I12" s="410">
        <f>E12/12*9+G12/12*3</f>
        <v>3497279.5</v>
      </c>
      <c r="J12" s="386"/>
      <c r="K12" s="410">
        <f>E12/12*3</f>
        <v>808685.25</v>
      </c>
      <c r="L12" s="386"/>
      <c r="M12" s="410">
        <f>TAXCALC!C96/12*4</f>
        <v>1197703.4394606554</v>
      </c>
      <c r="N12" s="386"/>
      <c r="O12" s="391">
        <f aca="true" t="shared" si="0" ref="O12:O20">SUM(C12:N12)</f>
        <v>14073458.189460656</v>
      </c>
    </row>
    <row r="13" spans="1:15" ht="27" customHeight="1">
      <c r="A13" s="81" t="s">
        <v>442</v>
      </c>
      <c r="B13" s="66"/>
      <c r="C13" s="410"/>
      <c r="D13" s="386"/>
      <c r="E13" s="410"/>
      <c r="F13" s="95"/>
      <c r="G13" s="410"/>
      <c r="H13" s="95"/>
      <c r="I13" s="410"/>
      <c r="J13" s="386"/>
      <c r="K13" s="390">
        <f>TAXCALC!C96/12*9</f>
        <v>2694832.738786475</v>
      </c>
      <c r="L13" s="386"/>
      <c r="M13" s="410"/>
      <c r="N13" s="386"/>
      <c r="O13" s="391">
        <f t="shared" si="0"/>
        <v>2694832.738786475</v>
      </c>
    </row>
    <row r="14" spans="1:15" ht="25.5">
      <c r="A14" s="81" t="s">
        <v>401</v>
      </c>
      <c r="B14" s="66" t="s">
        <v>188</v>
      </c>
      <c r="C14" s="390"/>
      <c r="D14" s="386"/>
      <c r="E14" s="390"/>
      <c r="F14" s="95"/>
      <c r="G14" s="390"/>
      <c r="H14" s="95"/>
      <c r="I14" s="390"/>
      <c r="J14" s="386"/>
      <c r="K14" s="390"/>
      <c r="L14" s="386"/>
      <c r="M14" s="390"/>
      <c r="N14" s="386"/>
      <c r="O14" s="391">
        <f t="shared" si="0"/>
        <v>0</v>
      </c>
    </row>
    <row r="15" spans="1:15" ht="27" customHeight="1">
      <c r="A15" s="81" t="s">
        <v>402</v>
      </c>
      <c r="B15" s="66" t="s">
        <v>188</v>
      </c>
      <c r="C15" s="390"/>
      <c r="D15" s="386"/>
      <c r="E15" s="410"/>
      <c r="F15" s="95"/>
      <c r="G15" s="390">
        <v>3247</v>
      </c>
      <c r="H15" s="95"/>
      <c r="I15" s="390">
        <v>-191483</v>
      </c>
      <c r="J15" s="386"/>
      <c r="K15" s="410">
        <v>-234261</v>
      </c>
      <c r="L15" s="386"/>
      <c r="M15" s="390">
        <f>TAXCALC!E184</f>
        <v>53337.46153846155</v>
      </c>
      <c r="N15" s="386"/>
      <c r="O15" s="391">
        <f t="shared" si="0"/>
        <v>-369159.53846153844</v>
      </c>
    </row>
    <row r="16" spans="1:15" ht="27" customHeight="1">
      <c r="A16" s="81" t="s">
        <v>403</v>
      </c>
      <c r="B16" s="66"/>
      <c r="C16" s="390"/>
      <c r="D16" s="386"/>
      <c r="E16" s="390">
        <v>975</v>
      </c>
      <c r="F16" s="95"/>
      <c r="G16" s="390"/>
      <c r="H16" s="95"/>
      <c r="I16" s="390"/>
      <c r="J16" s="386"/>
      <c r="K16" s="390"/>
      <c r="L16" s="386"/>
      <c r="M16" s="390"/>
      <c r="N16" s="386"/>
      <c r="O16" s="391">
        <f t="shared" si="0"/>
        <v>975</v>
      </c>
    </row>
    <row r="17" spans="1:15" ht="27.75" customHeight="1">
      <c r="A17" s="81" t="s">
        <v>404</v>
      </c>
      <c r="B17" s="66" t="s">
        <v>188</v>
      </c>
      <c r="C17" s="390"/>
      <c r="D17" s="386"/>
      <c r="E17" s="410">
        <v>0</v>
      </c>
      <c r="F17" s="95"/>
      <c r="G17" s="390"/>
      <c r="H17" s="95"/>
      <c r="I17" s="390">
        <v>-282391</v>
      </c>
      <c r="J17" s="386"/>
      <c r="K17" s="410">
        <v>-441841</v>
      </c>
      <c r="L17" s="386"/>
      <c r="M17" s="390">
        <f>TAXCALC!E182</f>
        <v>-63821.53846153847</v>
      </c>
      <c r="N17" s="386"/>
      <c r="O17" s="391">
        <f t="shared" si="0"/>
        <v>-788053.5384615385</v>
      </c>
    </row>
    <row r="18" spans="1:15" ht="25.5">
      <c r="A18" s="81" t="s">
        <v>405</v>
      </c>
      <c r="B18" s="66" t="s">
        <v>188</v>
      </c>
      <c r="C18" s="390"/>
      <c r="D18" s="386"/>
      <c r="E18" s="390"/>
      <c r="F18" s="95"/>
      <c r="G18" s="390"/>
      <c r="H18" s="95"/>
      <c r="I18" s="390"/>
      <c r="J18" s="386"/>
      <c r="K18" s="390"/>
      <c r="L18" s="386"/>
      <c r="M18" s="390"/>
      <c r="N18" s="386"/>
      <c r="O18" s="391">
        <f t="shared" si="0"/>
        <v>0</v>
      </c>
    </row>
    <row r="19" spans="1:15" ht="24" customHeight="1">
      <c r="A19" s="421" t="s">
        <v>406</v>
      </c>
      <c r="B19" s="66" t="s">
        <v>188</v>
      </c>
      <c r="C19" s="390"/>
      <c r="D19" s="386"/>
      <c r="E19" s="390">
        <v>105476</v>
      </c>
      <c r="F19" s="95"/>
      <c r="G19" s="390">
        <v>27683</v>
      </c>
      <c r="H19" s="95"/>
      <c r="I19" s="390">
        <v>-16114</v>
      </c>
      <c r="J19" s="386"/>
      <c r="K19" s="390">
        <v>-50914</v>
      </c>
      <c r="L19" s="386"/>
      <c r="M19" s="390">
        <v>-64471</v>
      </c>
      <c r="N19" s="386"/>
      <c r="O19" s="391">
        <f t="shared" si="0"/>
        <v>1660</v>
      </c>
    </row>
    <row r="20" spans="1:15" ht="24.75" customHeight="1">
      <c r="A20" s="81" t="s">
        <v>474</v>
      </c>
      <c r="B20" s="66" t="s">
        <v>186</v>
      </c>
      <c r="C20" s="410">
        <v>0</v>
      </c>
      <c r="D20" s="386"/>
      <c r="E20" s="390">
        <v>-3815890</v>
      </c>
      <c r="F20" s="95"/>
      <c r="G20" s="390">
        <v>-4485843</v>
      </c>
      <c r="H20" s="95"/>
      <c r="I20" s="390">
        <v>-3582648</v>
      </c>
      <c r="J20" s="386"/>
      <c r="K20" s="390">
        <v>-3749246</v>
      </c>
      <c r="L20" s="386"/>
      <c r="M20" s="390">
        <v>-1160703</v>
      </c>
      <c r="N20" s="386"/>
      <c r="O20" s="391">
        <f t="shared" si="0"/>
        <v>-16794330</v>
      </c>
    </row>
    <row r="21" spans="1:15" ht="12.75">
      <c r="A21" s="65"/>
      <c r="C21" s="386"/>
      <c r="D21" s="95"/>
      <c r="E21" s="386"/>
      <c r="F21" s="95"/>
      <c r="G21" s="386"/>
      <c r="H21" s="95"/>
      <c r="I21" s="386"/>
      <c r="J21" s="386"/>
      <c r="K21" s="386"/>
      <c r="L21" s="386"/>
      <c r="M21" s="386"/>
      <c r="N21" s="386"/>
      <c r="O21" s="411"/>
    </row>
    <row r="22" spans="1:15" ht="13.5" thickBot="1">
      <c r="A22" s="81" t="s">
        <v>376</v>
      </c>
      <c r="B22" s="34"/>
      <c r="C22" s="392">
        <f>SUM(C11:C20)</f>
        <v>1050154</v>
      </c>
      <c r="D22" s="411"/>
      <c r="E22" s="392">
        <f>SUM(E11:E20)</f>
        <v>575456</v>
      </c>
      <c r="F22" s="411"/>
      <c r="G22" s="392">
        <f>SUM(G11:G20)</f>
        <v>405438</v>
      </c>
      <c r="H22" s="411"/>
      <c r="I22" s="392">
        <f>SUM(I11:I20)</f>
        <v>-169918.5</v>
      </c>
      <c r="J22" s="385"/>
      <c r="K22" s="392">
        <f>SUM(K11:K20)</f>
        <v>-1142662.5112135252</v>
      </c>
      <c r="L22" s="385"/>
      <c r="M22" s="392">
        <f>SUM(M11:M21)</f>
        <v>-1180617.1486759468</v>
      </c>
      <c r="N22" s="385"/>
      <c r="O22" s="439">
        <f>SUM(O11:O20)</f>
        <v>-1180617.1486759447</v>
      </c>
    </row>
    <row r="23" spans="1:15" ht="13.5" thickTop="1">
      <c r="A23" s="422"/>
      <c r="B23" s="423"/>
      <c r="C23" s="429"/>
      <c r="D23" s="430"/>
      <c r="E23" s="429"/>
      <c r="F23" s="430"/>
      <c r="G23" s="429"/>
      <c r="H23" s="430"/>
      <c r="I23" s="429"/>
      <c r="J23" s="423"/>
      <c r="K23" s="429"/>
      <c r="L23" s="187"/>
      <c r="M23" s="431"/>
      <c r="N23" s="187"/>
      <c r="O23" s="431"/>
    </row>
    <row r="24" spans="1:15" ht="12.75">
      <c r="A24" s="445"/>
      <c r="B24" s="446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8"/>
    </row>
    <row r="25" spans="1:15" ht="12.75">
      <c r="A25" s="422"/>
      <c r="B25" s="423"/>
      <c r="C25" s="449"/>
      <c r="D25" s="449"/>
      <c r="E25" s="449"/>
      <c r="F25" s="449"/>
      <c r="G25" s="449"/>
      <c r="H25" s="449"/>
      <c r="I25" s="449"/>
      <c r="J25" s="450"/>
      <c r="K25" s="449"/>
      <c r="L25" s="451"/>
      <c r="M25" s="452"/>
      <c r="N25" s="451"/>
      <c r="O25" s="452"/>
    </row>
    <row r="26" spans="1:15" ht="12.75">
      <c r="A26" s="422" t="s">
        <v>407</v>
      </c>
      <c r="B26" s="423"/>
      <c r="C26" s="449"/>
      <c r="D26" s="449"/>
      <c r="E26" s="449"/>
      <c r="F26" s="449"/>
      <c r="G26" s="449"/>
      <c r="H26" s="449"/>
      <c r="I26" s="449"/>
      <c r="J26" s="450"/>
      <c r="K26" s="449"/>
      <c r="L26" s="451"/>
      <c r="M26" s="452"/>
      <c r="N26" s="451"/>
      <c r="O26" s="452"/>
    </row>
    <row r="27" spans="1:15" ht="9" customHeight="1">
      <c r="A27" s="422"/>
      <c r="B27" s="423"/>
      <c r="C27" s="423"/>
      <c r="D27" s="423"/>
      <c r="E27" s="423"/>
      <c r="F27" s="423"/>
      <c r="G27" s="423"/>
      <c r="H27" s="423"/>
      <c r="I27" s="423"/>
      <c r="J27" s="423"/>
      <c r="K27" s="424"/>
      <c r="L27" s="187"/>
      <c r="M27" s="187"/>
      <c r="N27" s="187"/>
      <c r="O27" s="187"/>
    </row>
    <row r="28" spans="1:15" ht="12.75">
      <c r="A28" s="422" t="s">
        <v>408</v>
      </c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187"/>
      <c r="M28" s="187"/>
      <c r="N28" s="187"/>
      <c r="O28" s="187"/>
    </row>
    <row r="29" spans="1:15" ht="12.75">
      <c r="A29" s="425" t="s">
        <v>409</v>
      </c>
      <c r="B29" s="423"/>
      <c r="C29" s="423"/>
      <c r="D29" s="423"/>
      <c r="E29" s="423"/>
      <c r="F29" s="423"/>
      <c r="G29" s="423"/>
      <c r="H29" s="423"/>
      <c r="I29" s="423"/>
      <c r="J29" s="423"/>
      <c r="K29" s="423"/>
      <c r="L29" s="187"/>
      <c r="M29" s="187"/>
      <c r="N29" s="187"/>
      <c r="O29" s="187"/>
    </row>
    <row r="30" spans="1:15" ht="9" customHeight="1">
      <c r="A30" s="187"/>
      <c r="B30" s="423"/>
      <c r="C30" s="423"/>
      <c r="D30" s="423"/>
      <c r="E30" s="423"/>
      <c r="F30" s="423"/>
      <c r="G30" s="423"/>
      <c r="H30" s="423"/>
      <c r="I30" s="423"/>
      <c r="J30" s="423"/>
      <c r="K30" s="423"/>
      <c r="L30" s="187"/>
      <c r="M30" s="187"/>
      <c r="N30" s="187"/>
      <c r="O30" s="187"/>
    </row>
    <row r="31" spans="1:15" ht="12.75">
      <c r="A31" s="440" t="s">
        <v>410</v>
      </c>
      <c r="B31" s="80"/>
      <c r="C31" s="80"/>
      <c r="D31" s="80"/>
      <c r="E31" s="80"/>
      <c r="F31" s="80"/>
      <c r="G31" s="80"/>
      <c r="H31" s="80"/>
      <c r="I31" s="436"/>
      <c r="J31" s="436"/>
      <c r="K31" s="436"/>
      <c r="L31" s="436"/>
      <c r="M31" s="436"/>
      <c r="N31" s="436"/>
      <c r="O31" s="436"/>
    </row>
    <row r="32" spans="1:15" ht="9" customHeight="1">
      <c r="A32" s="441"/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</row>
    <row r="33" spans="1:19" ht="12.75">
      <c r="A33" s="547" t="s">
        <v>411</v>
      </c>
      <c r="B33" s="548"/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412"/>
      <c r="Q33" s="412"/>
      <c r="R33" s="412"/>
      <c r="S33" s="412"/>
    </row>
    <row r="34" spans="1:19" ht="12.75">
      <c r="A34" s="546" t="s">
        <v>412</v>
      </c>
      <c r="B34" s="549"/>
      <c r="C34" s="549"/>
      <c r="D34" s="549"/>
      <c r="E34" s="549"/>
      <c r="F34" s="549"/>
      <c r="G34" s="549"/>
      <c r="H34" s="549"/>
      <c r="I34" s="549"/>
      <c r="J34" s="549"/>
      <c r="K34" s="549"/>
      <c r="L34" s="549"/>
      <c r="M34" s="549"/>
      <c r="N34" s="549"/>
      <c r="O34" s="549"/>
      <c r="P34" s="412"/>
      <c r="Q34" s="412"/>
      <c r="R34" s="412"/>
      <c r="S34" s="412"/>
    </row>
    <row r="35" spans="1:19" ht="12.75">
      <c r="A35" s="546" t="s">
        <v>433</v>
      </c>
      <c r="B35" s="549"/>
      <c r="C35" s="549"/>
      <c r="D35" s="549"/>
      <c r="E35" s="549"/>
      <c r="F35" s="549"/>
      <c r="G35" s="549"/>
      <c r="H35" s="549"/>
      <c r="I35" s="549"/>
      <c r="J35" s="549"/>
      <c r="K35" s="549"/>
      <c r="L35" s="549"/>
      <c r="M35" s="549"/>
      <c r="N35" s="549"/>
      <c r="O35" s="549"/>
      <c r="P35" s="412"/>
      <c r="Q35" s="412"/>
      <c r="R35" s="412"/>
      <c r="S35" s="412"/>
    </row>
    <row r="36" spans="1:19" ht="12.75">
      <c r="A36" s="546" t="s">
        <v>413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412"/>
      <c r="Q36" s="412"/>
      <c r="R36" s="412"/>
      <c r="S36" s="412"/>
    </row>
    <row r="37" spans="1:19" ht="12.75">
      <c r="A37" s="426" t="s">
        <v>373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12"/>
      <c r="Q37" s="412"/>
      <c r="R37" s="412"/>
      <c r="S37" s="412"/>
    </row>
    <row r="38" spans="1:19" ht="12.75">
      <c r="A38" s="426" t="s">
        <v>374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12"/>
      <c r="Q38" s="412"/>
      <c r="R38" s="412"/>
      <c r="S38" s="412"/>
    </row>
    <row r="39" spans="1:19" ht="12.75">
      <c r="A39" s="426" t="s">
        <v>414</v>
      </c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12"/>
      <c r="Q39" s="412"/>
      <c r="R39" s="412"/>
      <c r="S39" s="412"/>
    </row>
    <row r="40" spans="1:19" ht="12.75">
      <c r="A40" s="426" t="s">
        <v>415</v>
      </c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12"/>
      <c r="Q40" s="412"/>
      <c r="R40" s="412"/>
      <c r="S40" s="412"/>
    </row>
    <row r="41" spans="2:19" ht="9" customHeight="1"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12"/>
      <c r="Q41" s="412"/>
      <c r="R41" s="412"/>
      <c r="S41" s="412"/>
    </row>
    <row r="42" spans="1:15" ht="12.75">
      <c r="A42" s="428" t="s">
        <v>416</v>
      </c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187"/>
      <c r="M42" s="187"/>
      <c r="N42" s="187"/>
      <c r="O42" s="187"/>
    </row>
    <row r="43" spans="1:15" ht="12.75">
      <c r="A43" s="423" t="s">
        <v>417</v>
      </c>
      <c r="B43" s="423"/>
      <c r="C43" s="423"/>
      <c r="D43" s="423"/>
      <c r="E43" s="423"/>
      <c r="F43" s="423"/>
      <c r="G43" s="423"/>
      <c r="H43" s="423"/>
      <c r="I43" s="423"/>
      <c r="J43" s="423"/>
      <c r="K43" s="423"/>
      <c r="L43" s="187"/>
      <c r="M43" s="187"/>
      <c r="N43" s="187"/>
      <c r="O43" s="187"/>
    </row>
    <row r="44" spans="1:15" ht="9" customHeight="1">
      <c r="A44" s="423"/>
      <c r="B44" s="423"/>
      <c r="C44" s="423"/>
      <c r="D44" s="423"/>
      <c r="E44" s="423"/>
      <c r="F44" s="423"/>
      <c r="G44" s="423"/>
      <c r="H44" s="423"/>
      <c r="I44" s="423"/>
      <c r="J44" s="423"/>
      <c r="K44" s="423"/>
      <c r="L44" s="187"/>
      <c r="M44" s="187"/>
      <c r="N44" s="187"/>
      <c r="O44" s="187"/>
    </row>
    <row r="45" spans="1:15" ht="12.75">
      <c r="A45" s="428" t="s">
        <v>418</v>
      </c>
      <c r="B45" s="423"/>
      <c r="C45" s="423"/>
      <c r="D45" s="423"/>
      <c r="E45" s="423"/>
      <c r="F45" s="423"/>
      <c r="G45" s="423"/>
      <c r="H45" s="423"/>
      <c r="I45" s="423"/>
      <c r="J45" s="423"/>
      <c r="K45" s="423"/>
      <c r="L45" s="187"/>
      <c r="M45" s="187"/>
      <c r="N45" s="187"/>
      <c r="O45" s="187"/>
    </row>
    <row r="46" spans="1:15" ht="12.75">
      <c r="A46" s="423" t="s">
        <v>419</v>
      </c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187"/>
      <c r="M46" s="187"/>
      <c r="N46" s="187"/>
      <c r="O46" s="187"/>
    </row>
    <row r="47" spans="1:15" ht="9" customHeight="1">
      <c r="A47" s="423"/>
      <c r="B47" s="423"/>
      <c r="C47" s="423"/>
      <c r="D47" s="423"/>
      <c r="E47" s="423"/>
      <c r="F47" s="423"/>
      <c r="G47" s="423"/>
      <c r="H47" s="423"/>
      <c r="I47" s="423"/>
      <c r="J47" s="423"/>
      <c r="K47" s="423"/>
      <c r="L47" s="187"/>
      <c r="M47" s="187"/>
      <c r="N47" s="187"/>
      <c r="O47" s="187"/>
    </row>
    <row r="48" spans="1:15" ht="12.75">
      <c r="A48" s="428" t="s">
        <v>420</v>
      </c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187"/>
      <c r="M48" s="187"/>
      <c r="N48" s="187"/>
      <c r="O48" s="187"/>
    </row>
    <row r="49" spans="1:15" ht="12.75">
      <c r="A49" s="423" t="s">
        <v>421</v>
      </c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187"/>
      <c r="M49" s="187"/>
      <c r="N49" s="187"/>
      <c r="O49" s="187"/>
    </row>
    <row r="50" spans="1:15" ht="9" customHeight="1">
      <c r="A50" s="423"/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187"/>
      <c r="M50" s="187"/>
      <c r="N50" s="187"/>
      <c r="O50" s="187"/>
    </row>
    <row r="51" spans="1:15" ht="12.75">
      <c r="A51" s="428" t="s">
        <v>422</v>
      </c>
      <c r="B51" s="423"/>
      <c r="C51" s="423"/>
      <c r="D51" s="423"/>
      <c r="E51" s="423"/>
      <c r="F51" s="423"/>
      <c r="G51" s="423"/>
      <c r="H51" s="423"/>
      <c r="I51" s="423"/>
      <c r="J51" s="423"/>
      <c r="K51" s="423"/>
      <c r="L51" s="187"/>
      <c r="M51" s="187"/>
      <c r="N51" s="187"/>
      <c r="O51" s="187"/>
    </row>
    <row r="52" spans="1:15" ht="12.75">
      <c r="A52" s="423" t="s">
        <v>419</v>
      </c>
      <c r="B52" s="423"/>
      <c r="C52" s="423"/>
      <c r="D52" s="423"/>
      <c r="E52" s="423"/>
      <c r="F52" s="423"/>
      <c r="G52" s="423"/>
      <c r="H52" s="423"/>
      <c r="I52" s="423"/>
      <c r="J52" s="423"/>
      <c r="K52" s="423"/>
      <c r="L52" s="187"/>
      <c r="M52" s="187"/>
      <c r="N52" s="187"/>
      <c r="O52" s="187"/>
    </row>
    <row r="53" spans="1:15" ht="9" customHeight="1">
      <c r="A53" s="428"/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187"/>
      <c r="M53" s="187"/>
      <c r="N53" s="187"/>
      <c r="O53" s="187"/>
    </row>
    <row r="54" spans="1:15" ht="12.75">
      <c r="A54" s="423" t="s">
        <v>423</v>
      </c>
      <c r="B54" s="423"/>
      <c r="C54" s="423"/>
      <c r="D54" s="423"/>
      <c r="E54" s="423"/>
      <c r="F54" s="423"/>
      <c r="G54" s="423"/>
      <c r="H54" s="423"/>
      <c r="I54" s="423"/>
      <c r="J54" s="423"/>
      <c r="K54" s="423"/>
      <c r="L54" s="187"/>
      <c r="M54" s="187"/>
      <c r="N54" s="187"/>
      <c r="O54" s="187"/>
    </row>
    <row r="55" spans="1:15" ht="9" customHeight="1">
      <c r="A55" s="423"/>
      <c r="B55" s="423"/>
      <c r="C55" s="423"/>
      <c r="D55" s="423"/>
      <c r="E55" s="423"/>
      <c r="F55" s="423"/>
      <c r="G55" s="423"/>
      <c r="H55" s="423"/>
      <c r="I55" s="423"/>
      <c r="J55" s="423"/>
      <c r="K55" s="423"/>
      <c r="L55" s="187"/>
      <c r="M55" s="187"/>
      <c r="N55" s="187"/>
      <c r="O55" s="187"/>
    </row>
    <row r="56" spans="1:15" ht="12.75" customHeight="1">
      <c r="A56" s="428" t="s">
        <v>424</v>
      </c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187"/>
      <c r="M56" s="187"/>
      <c r="N56" s="187"/>
      <c r="O56" s="187"/>
    </row>
    <row r="57" spans="1:15" ht="9" customHeight="1">
      <c r="A57" s="423"/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187"/>
      <c r="M57" s="187"/>
      <c r="N57" s="187"/>
      <c r="O57" s="187"/>
    </row>
    <row r="58" spans="1:15" ht="12.75">
      <c r="A58" s="423" t="s">
        <v>425</v>
      </c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187"/>
      <c r="M58" s="187"/>
      <c r="N58" s="187"/>
      <c r="O58" s="187"/>
    </row>
    <row r="59" spans="1:15" ht="12.75">
      <c r="A59" s="423" t="s">
        <v>426</v>
      </c>
      <c r="B59" s="423"/>
      <c r="C59" s="423"/>
      <c r="D59" s="423"/>
      <c r="E59" s="423"/>
      <c r="F59" s="423"/>
      <c r="G59" s="423"/>
      <c r="H59" s="423"/>
      <c r="I59" s="423"/>
      <c r="J59" s="423"/>
      <c r="K59" s="423"/>
      <c r="L59" s="187"/>
      <c r="M59" s="187"/>
      <c r="N59" s="187"/>
      <c r="O59" s="187"/>
    </row>
    <row r="60" spans="1:15" ht="12.75">
      <c r="A60" s="423" t="s">
        <v>427</v>
      </c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187"/>
      <c r="M60" s="187"/>
      <c r="N60" s="187"/>
      <c r="O60" s="187"/>
    </row>
    <row r="61" spans="1:15" ht="12.75">
      <c r="A61" s="423" t="s">
        <v>383</v>
      </c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187"/>
      <c r="M61" s="187"/>
      <c r="N61" s="187"/>
      <c r="O61" s="187"/>
    </row>
    <row r="62" spans="1:15" ht="9" customHeight="1">
      <c r="A62" s="423"/>
      <c r="B62" s="423"/>
      <c r="C62" s="423"/>
      <c r="D62" s="423"/>
      <c r="E62" s="423"/>
      <c r="F62" s="423"/>
      <c r="G62" s="423"/>
      <c r="H62" s="423"/>
      <c r="I62" s="423"/>
      <c r="J62" s="423"/>
      <c r="K62" s="423"/>
      <c r="L62" s="187"/>
      <c r="M62" s="187"/>
      <c r="N62" s="187"/>
      <c r="O62" s="187"/>
    </row>
    <row r="63" spans="1:15" ht="12.75">
      <c r="A63" s="423" t="s">
        <v>428</v>
      </c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187"/>
      <c r="M63" s="187"/>
      <c r="N63" s="187"/>
      <c r="O63" s="187"/>
    </row>
    <row r="64" spans="1:15" ht="12.75">
      <c r="A64" s="423" t="s">
        <v>429</v>
      </c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187"/>
      <c r="M64" s="187"/>
      <c r="N64" s="187"/>
      <c r="O64" s="187"/>
    </row>
    <row r="65" spans="1:15" ht="12.75">
      <c r="A65" s="423" t="s">
        <v>385</v>
      </c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187"/>
      <c r="M65" s="187"/>
      <c r="N65" s="187"/>
      <c r="O65" s="187"/>
    </row>
    <row r="66" spans="1:15" ht="3.75" customHeight="1">
      <c r="A66" s="423"/>
      <c r="B66" s="423"/>
      <c r="C66" s="423"/>
      <c r="D66" s="423"/>
      <c r="E66" s="423"/>
      <c r="F66" s="423"/>
      <c r="G66" s="423"/>
      <c r="H66" s="423"/>
      <c r="I66" s="423"/>
      <c r="J66" s="423"/>
      <c r="K66" s="423"/>
      <c r="L66" s="187"/>
      <c r="M66" s="187"/>
      <c r="N66" s="187"/>
      <c r="O66" s="187"/>
    </row>
    <row r="67" spans="1:15" ht="12.75">
      <c r="A67" s="423" t="s">
        <v>384</v>
      </c>
      <c r="B67" s="423"/>
      <c r="C67" s="423"/>
      <c r="D67" s="423"/>
      <c r="E67" s="423"/>
      <c r="F67" s="423"/>
      <c r="G67" s="423"/>
      <c r="H67" s="423"/>
      <c r="I67" s="423"/>
      <c r="J67" s="423"/>
      <c r="K67" s="423"/>
      <c r="L67" s="187"/>
      <c r="M67" s="187"/>
      <c r="N67" s="187"/>
      <c r="O67" s="187"/>
    </row>
    <row r="68" spans="1:15" ht="12.75">
      <c r="A68" s="423" t="s">
        <v>386</v>
      </c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187"/>
      <c r="M68" s="187"/>
      <c r="N68" s="187"/>
      <c r="O68" s="187"/>
    </row>
    <row r="69" spans="1:15" ht="3.75" customHeight="1">
      <c r="A69" s="423"/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187"/>
      <c r="M69" s="187"/>
      <c r="N69" s="187"/>
      <c r="O69" s="187"/>
    </row>
    <row r="70" spans="1:15" ht="12.75">
      <c r="A70" s="423" t="s">
        <v>430</v>
      </c>
      <c r="B70" s="423"/>
      <c r="C70" s="423"/>
      <c r="D70" s="423"/>
      <c r="E70" s="423"/>
      <c r="F70" s="423"/>
      <c r="G70" s="423"/>
      <c r="H70" s="423"/>
      <c r="I70" s="423"/>
      <c r="J70" s="423"/>
      <c r="K70" s="423"/>
      <c r="L70" s="187"/>
      <c r="M70" s="187"/>
      <c r="N70" s="187"/>
      <c r="O70" s="187"/>
    </row>
    <row r="71" spans="1:15" ht="12.75">
      <c r="A71" s="423" t="s">
        <v>431</v>
      </c>
      <c r="B71" s="423"/>
      <c r="C71" s="423"/>
      <c r="D71" s="423"/>
      <c r="E71" s="423"/>
      <c r="F71" s="423"/>
      <c r="G71" s="423"/>
      <c r="H71" s="423"/>
      <c r="I71" s="423"/>
      <c r="J71" s="423"/>
      <c r="K71" s="423"/>
      <c r="L71" s="187"/>
      <c r="M71" s="187"/>
      <c r="N71" s="187"/>
      <c r="O71" s="187"/>
    </row>
    <row r="72" spans="1:15" ht="12.75">
      <c r="A72" s="423" t="s">
        <v>432</v>
      </c>
      <c r="B72" s="423"/>
      <c r="C72" s="423"/>
      <c r="D72" s="423"/>
      <c r="E72" s="423"/>
      <c r="F72" s="423"/>
      <c r="G72" s="423"/>
      <c r="H72" s="423"/>
      <c r="I72" s="423"/>
      <c r="J72" s="423"/>
      <c r="K72" s="423"/>
      <c r="L72" s="187"/>
      <c r="M72" s="187"/>
      <c r="N72" s="187"/>
      <c r="O72" s="187"/>
    </row>
    <row r="73" spans="1:15" ht="9" customHeight="1">
      <c r="A73" s="423"/>
      <c r="B73" s="423"/>
      <c r="C73" s="423"/>
      <c r="D73" s="423"/>
      <c r="E73" s="423"/>
      <c r="F73" s="423"/>
      <c r="G73" s="423"/>
      <c r="H73" s="423"/>
      <c r="I73" s="423"/>
      <c r="J73" s="423"/>
      <c r="K73" s="423"/>
      <c r="L73" s="187"/>
      <c r="M73" s="187"/>
      <c r="N73" s="187"/>
      <c r="O73" s="187"/>
    </row>
    <row r="74" spans="1:15" ht="12.75" customHeight="1">
      <c r="A74" s="546" t="s">
        <v>462</v>
      </c>
      <c r="B74" s="546"/>
      <c r="C74" s="546"/>
      <c r="D74" s="546"/>
      <c r="E74" s="546"/>
      <c r="F74" s="546"/>
      <c r="G74" s="546"/>
      <c r="H74" s="546"/>
      <c r="I74" s="546"/>
      <c r="J74" s="546"/>
      <c r="K74" s="546"/>
      <c r="L74" s="546"/>
      <c r="M74" s="546"/>
      <c r="N74" s="546"/>
      <c r="O74" s="546"/>
    </row>
    <row r="75" spans="1:15" ht="12.75">
      <c r="A75" s="423" t="s">
        <v>375</v>
      </c>
      <c r="B75" s="423"/>
      <c r="C75" s="423"/>
      <c r="D75" s="423"/>
      <c r="E75" s="423"/>
      <c r="F75" s="423"/>
      <c r="G75" s="423"/>
      <c r="H75" s="423"/>
      <c r="I75" s="423"/>
      <c r="J75" s="423"/>
      <c r="K75" s="423"/>
      <c r="L75" s="187"/>
      <c r="M75" s="187"/>
      <c r="N75" s="187"/>
      <c r="O75" s="187"/>
    </row>
    <row r="76" spans="1:15" ht="12.75">
      <c r="A76" s="187"/>
      <c r="B76" s="423"/>
      <c r="C76" s="423"/>
      <c r="D76" s="423"/>
      <c r="E76" s="423"/>
      <c r="F76" s="423"/>
      <c r="G76" s="423"/>
      <c r="H76" s="423"/>
      <c r="I76" s="423"/>
      <c r="J76" s="423"/>
      <c r="K76" s="423"/>
      <c r="L76" s="187"/>
      <c r="M76" s="187"/>
      <c r="N76" s="187"/>
      <c r="O76" s="187"/>
    </row>
    <row r="77" spans="1:15" ht="12.75">
      <c r="A77" s="187"/>
      <c r="B77" s="423"/>
      <c r="C77" s="423"/>
      <c r="D77" s="423"/>
      <c r="E77" s="423"/>
      <c r="F77" s="423"/>
      <c r="G77" s="423"/>
      <c r="H77" s="423"/>
      <c r="I77" s="423"/>
      <c r="J77" s="423"/>
      <c r="K77" s="423"/>
      <c r="L77" s="187"/>
      <c r="M77" s="187"/>
      <c r="N77" s="187"/>
      <c r="O77" s="187"/>
    </row>
    <row r="78" spans="1:17" ht="12.75">
      <c r="A78" s="187"/>
      <c r="B78" s="423"/>
      <c r="C78" s="423"/>
      <c r="D78" s="423"/>
      <c r="E78" s="423"/>
      <c r="F78" s="423"/>
      <c r="G78" s="423"/>
      <c r="H78" s="423"/>
      <c r="I78" s="423"/>
      <c r="J78" s="423"/>
      <c r="K78" s="423"/>
      <c r="L78" s="423"/>
      <c r="M78" s="423"/>
      <c r="N78" s="187"/>
      <c r="O78" s="187"/>
      <c r="P78" s="187"/>
      <c r="Q78" s="187"/>
    </row>
    <row r="79" spans="1:17" ht="12.75">
      <c r="A79" s="187"/>
      <c r="B79" s="423"/>
      <c r="C79" s="423"/>
      <c r="D79" s="423"/>
      <c r="E79" s="423"/>
      <c r="F79" s="423"/>
      <c r="G79" s="423"/>
      <c r="H79" s="423"/>
      <c r="I79" s="423"/>
      <c r="J79" s="423"/>
      <c r="K79" s="423"/>
      <c r="L79" s="423"/>
      <c r="M79" s="423"/>
      <c r="N79" s="187"/>
      <c r="O79" s="187"/>
      <c r="P79" s="187"/>
      <c r="Q79" s="187"/>
    </row>
    <row r="80" spans="1:17" ht="12.75">
      <c r="A80" s="187"/>
      <c r="B80" s="423"/>
      <c r="C80" s="423"/>
      <c r="D80" s="423"/>
      <c r="E80" s="423"/>
      <c r="F80" s="423"/>
      <c r="G80" s="423"/>
      <c r="H80" s="423"/>
      <c r="I80" s="423"/>
      <c r="J80" s="423"/>
      <c r="K80" s="423"/>
      <c r="L80" s="423"/>
      <c r="M80" s="423"/>
      <c r="N80" s="187"/>
      <c r="O80" s="187"/>
      <c r="P80" s="187"/>
      <c r="Q80" s="187"/>
    </row>
    <row r="81" spans="1:17" ht="12.75">
      <c r="A81" s="423"/>
      <c r="B81" s="423"/>
      <c r="C81" s="423"/>
      <c r="D81" s="423"/>
      <c r="E81" s="423"/>
      <c r="F81" s="423"/>
      <c r="G81" s="423"/>
      <c r="H81" s="423"/>
      <c r="I81" s="423"/>
      <c r="J81" s="423"/>
      <c r="K81" s="423"/>
      <c r="L81" s="423"/>
      <c r="M81" s="423"/>
      <c r="N81" s="187"/>
      <c r="O81" s="187"/>
      <c r="P81" s="187"/>
      <c r="Q81" s="187"/>
    </row>
    <row r="82" spans="1:17" ht="12.75">
      <c r="A82" s="187"/>
      <c r="B82" s="187"/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187"/>
      <c r="O82" s="187"/>
      <c r="P82" s="187"/>
      <c r="Q82" s="187"/>
    </row>
    <row r="83" spans="1:17" ht="12.75">
      <c r="A83" s="187"/>
      <c r="B83" s="187"/>
      <c r="C83" s="423"/>
      <c r="D83" s="423"/>
      <c r="E83" s="423"/>
      <c r="F83" s="423"/>
      <c r="G83" s="423"/>
      <c r="H83" s="423"/>
      <c r="I83" s="423"/>
      <c r="J83" s="423"/>
      <c r="K83" s="423"/>
      <c r="L83" s="423"/>
      <c r="M83" s="423"/>
      <c r="N83" s="187"/>
      <c r="O83" s="187"/>
      <c r="P83" s="187"/>
      <c r="Q83" s="187"/>
    </row>
    <row r="84" spans="1:17" ht="12.75">
      <c r="A84" s="423"/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187"/>
      <c r="O84" s="187"/>
      <c r="P84" s="187"/>
      <c r="Q84" s="187"/>
    </row>
    <row r="85" spans="1:17" ht="12.75">
      <c r="A85" s="187"/>
      <c r="B85" s="423"/>
      <c r="C85" s="423"/>
      <c r="D85" s="423"/>
      <c r="E85" s="423"/>
      <c r="F85" s="423"/>
      <c r="G85" s="423"/>
      <c r="H85" s="423"/>
      <c r="I85" s="423"/>
      <c r="J85" s="423"/>
      <c r="K85" s="423"/>
      <c r="L85" s="423"/>
      <c r="M85" s="423"/>
      <c r="N85" s="187"/>
      <c r="O85" s="187"/>
      <c r="P85" s="187"/>
      <c r="Q85" s="187"/>
    </row>
    <row r="86" spans="1:17" ht="12.75">
      <c r="A86" s="187"/>
      <c r="B86" s="423"/>
      <c r="C86" s="423"/>
      <c r="D86" s="423"/>
      <c r="E86" s="423"/>
      <c r="F86" s="423"/>
      <c r="G86" s="423"/>
      <c r="H86" s="423"/>
      <c r="I86" s="423"/>
      <c r="J86" s="423"/>
      <c r="K86" s="423"/>
      <c r="L86" s="423"/>
      <c r="M86" s="423"/>
      <c r="N86" s="187"/>
      <c r="O86" s="187"/>
      <c r="P86" s="187"/>
      <c r="Q86" s="187"/>
    </row>
    <row r="87" spans="1:17" ht="12.75">
      <c r="A87" s="187"/>
      <c r="B87" s="187"/>
      <c r="C87" s="423"/>
      <c r="D87" s="423"/>
      <c r="E87" s="423"/>
      <c r="F87" s="423"/>
      <c r="G87" s="423"/>
      <c r="H87" s="423"/>
      <c r="I87" s="423"/>
      <c r="J87" s="423"/>
      <c r="K87" s="423"/>
      <c r="L87" s="423"/>
      <c r="M87" s="423"/>
      <c r="N87" s="187"/>
      <c r="O87" s="187"/>
      <c r="P87" s="187"/>
      <c r="Q87" s="187"/>
    </row>
    <row r="88" spans="1:17" ht="12.75">
      <c r="A88" s="187"/>
      <c r="B88" s="187"/>
      <c r="C88" s="423"/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187"/>
      <c r="O88" s="187"/>
      <c r="P88" s="187"/>
      <c r="Q88" s="187"/>
    </row>
    <row r="89" spans="1:17" ht="12.75">
      <c r="A89" s="187"/>
      <c r="B89" s="187"/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187"/>
      <c r="O89" s="187"/>
      <c r="P89" s="187"/>
      <c r="Q89" s="187"/>
    </row>
    <row r="90" spans="1:17" ht="12.75">
      <c r="A90" s="187"/>
      <c r="B90" s="187"/>
      <c r="C90" s="423"/>
      <c r="D90" s="423"/>
      <c r="E90" s="423"/>
      <c r="F90" s="423"/>
      <c r="G90" s="423"/>
      <c r="H90" s="423"/>
      <c r="I90" s="423"/>
      <c r="J90" s="423"/>
      <c r="K90" s="423"/>
      <c r="L90" s="423"/>
      <c r="M90" s="423"/>
      <c r="N90" s="187"/>
      <c r="O90" s="187"/>
      <c r="P90" s="187"/>
      <c r="Q90" s="187"/>
    </row>
    <row r="91" spans="1:17" ht="12.75">
      <c r="A91" s="187"/>
      <c r="B91" s="187"/>
      <c r="D91" s="423"/>
      <c r="E91" s="423"/>
      <c r="F91" s="423"/>
      <c r="G91" s="423"/>
      <c r="H91" s="423"/>
      <c r="I91" s="423"/>
      <c r="J91" s="423"/>
      <c r="K91" s="423"/>
      <c r="L91" s="423"/>
      <c r="M91" s="423"/>
      <c r="N91" s="187"/>
      <c r="O91" s="187"/>
      <c r="P91" s="187"/>
      <c r="Q91" s="187"/>
    </row>
    <row r="92" spans="1:17" ht="12.75">
      <c r="A92" s="187"/>
      <c r="B92" s="187"/>
      <c r="C92" s="546"/>
      <c r="D92" s="546"/>
      <c r="E92" s="546"/>
      <c r="F92" s="546"/>
      <c r="G92" s="546"/>
      <c r="H92" s="546"/>
      <c r="I92" s="546"/>
      <c r="J92" s="546"/>
      <c r="K92" s="546"/>
      <c r="L92" s="546"/>
      <c r="M92" s="546"/>
      <c r="N92" s="546"/>
      <c r="O92" s="546"/>
      <c r="P92" s="546"/>
      <c r="Q92" s="546"/>
    </row>
    <row r="93" spans="1:17" ht="12.75">
      <c r="A93" s="187"/>
      <c r="B93" s="187"/>
      <c r="C93" s="423"/>
      <c r="D93" s="423"/>
      <c r="E93" s="423"/>
      <c r="F93" s="423"/>
      <c r="G93" s="423"/>
      <c r="H93" s="423"/>
      <c r="I93" s="423"/>
      <c r="J93" s="423"/>
      <c r="K93" s="423"/>
      <c r="L93" s="423"/>
      <c r="M93" s="423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  <headerFooter alignWithMargins="0">
    <oddHeader>&amp;R&amp;9Hydro One Brampton Networks Inc.
EB-2008-0381
Deferred PILs Combined Proceeding</oddHeader>
    <oddFooter>&amp;L&amp;8March 22, 2010&amp;C&amp;Z&amp;F&amp;R&amp;"Arial,Bold"&amp;9&amp;A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Shields</cp:lastModifiedBy>
  <cp:lastPrinted>2011-09-12T19:13:42Z</cp:lastPrinted>
  <dcterms:created xsi:type="dcterms:W3CDTF">2001-11-07T16:15:53Z</dcterms:created>
  <dcterms:modified xsi:type="dcterms:W3CDTF">2011-10-27T12:52:17Z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