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15" windowWidth="19230" windowHeight="5475" tabRatio="963" activeTab="3"/>
  </bookViews>
  <sheets>
    <sheet name="A-1 Summary" sheetId="1" r:id="rId1"/>
    <sheet name="A-2 Principal trueup" sheetId="2" r:id="rId2"/>
    <sheet name="A-3 Interest Trueup" sheetId="3" r:id="rId3"/>
    <sheet name="B-1 2002  PILS Recoveries" sheetId="4" r:id="rId4"/>
    <sheet name="B-2 2003 PILS Recoveries" sheetId="5" r:id="rId5"/>
    <sheet name="B-3 2004 PILS Recoveries" sheetId="6" r:id="rId6"/>
    <sheet name="B-4 2005 PILS Recoveries" sheetId="7" r:id="rId7"/>
    <sheet name="B-5 2006  PILS Recoveries" sheetId="8" r:id="rId8"/>
    <sheet name="C-1 Monthly Volumes" sheetId="9" r:id="rId9"/>
    <sheet name="C-2 Customer Count" sheetId="10" r:id="rId10"/>
  </sheets>
  <externalReferences>
    <externalReference r:id="rId13"/>
    <externalReference r:id="rId14"/>
  </externalReferences>
  <definedNames>
    <definedName name="contactf">#REF!</definedName>
    <definedName name="histdate">'[1]Financials'!$E$76</definedName>
    <definedName name="Incr2000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_xlnm.Print_Area" localSheetId="0">'A-1 Summary'!$A$1:$G$59</definedName>
    <definedName name="_xlnm.Print_Area" localSheetId="1">'A-2 Principal trueup'!$A$1:$H$80</definedName>
    <definedName name="_xlnm.Print_Area" localSheetId="2">'A-3 Interest Trueup'!$A$1:$I$164</definedName>
    <definedName name="_xlnm.Print_Area" localSheetId="3">'B-1 2002  PILS Recoveries'!$A$1:$R$76</definedName>
    <definedName name="_xlnm.Print_Area" localSheetId="4">'B-2 2003 PILS Recoveries'!$A$1:$R$88</definedName>
    <definedName name="_xlnm.Print_Area" localSheetId="5">'B-3 2004 PILS Recoveries'!$A$1:$R$88</definedName>
    <definedName name="_xlnm.Print_Area" localSheetId="6">'B-4 2005 PILS Recoveries'!$A$1:$R$89</definedName>
    <definedName name="_xlnm.Print_Area" localSheetId="7">'B-5 2006  PILS Recoveries'!$A$1:$R$88</definedName>
    <definedName name="_xlnm.Print_Area" localSheetId="8">'C-1 Monthly Volumes'!$A$1:$P$65</definedName>
    <definedName name="_xlnm.Print_Area" localSheetId="9">'C-2 Customer Count'!$A$1:$H$29</definedName>
    <definedName name="print_end">#REF!</definedName>
    <definedName name="_xlnm.Print_Titles" localSheetId="1">'A-2 Principal trueup'!$1:$2</definedName>
    <definedName name="_xlnm.Print_Titles" localSheetId="2">'A-3 Interest Trueup'!$1:$2</definedName>
    <definedName name="_xlnm.Print_Titles" localSheetId="3">'B-1 2002  PILS Recoveries'!$1:$2</definedName>
    <definedName name="_xlnm.Print_Titles" localSheetId="4">'B-2 2003 PILS Recoveries'!$1:$2</definedName>
    <definedName name="_xlnm.Print_Titles" localSheetId="5">'B-3 2004 PILS Recoveries'!$1:$2</definedName>
    <definedName name="_xlnm.Print_Titles" localSheetId="6">'B-4 2005 PILS Recoveries'!$1:$2</definedName>
    <definedName name="_xlnm.Print_Titles" localSheetId="7">'B-5 2006  PILS Recoveries'!$1:$2</definedName>
    <definedName name="SALBENF">#REF!</definedName>
    <definedName name="salreg">#REF!</definedName>
    <definedName name="SALREGF">#REF!</definedName>
    <definedName name="TEMPA">#REF!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'[1]Financials'!$A$1</definedName>
    <definedName name="utitliy1">'[2]Financials'!$A$1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<sst xmlns="http://schemas.openxmlformats.org/spreadsheetml/2006/main" count="1255" uniqueCount="147">
  <si>
    <t>Residential</t>
  </si>
  <si>
    <t>General Service  &lt; 50 kW</t>
  </si>
  <si>
    <t>Sentinel Lights</t>
  </si>
  <si>
    <t>Streetlighting</t>
  </si>
  <si>
    <t>Total PILS  billed to (collected from) customers</t>
  </si>
  <si>
    <t>TOTAL 2005</t>
  </si>
  <si>
    <t>TOTAL</t>
  </si>
  <si>
    <t>2001 PILS Fixed Proxy Rate</t>
  </si>
  <si>
    <t>2001  PILS  billed to (collected from) customers</t>
  </si>
  <si>
    <t>2002 PILS Fixed Proxy Rate</t>
  </si>
  <si>
    <t>2002   PILS  billed to (collected from) customers</t>
  </si>
  <si>
    <t>2002 PILS Variable Proxy Rate</t>
  </si>
  <si>
    <t>2004 PILS Variable Proxy Rate</t>
  </si>
  <si>
    <t>2004  PILS  billed to (collected from) customers</t>
  </si>
  <si>
    <t>2001 PILS Variable Proxy Rate</t>
  </si>
  <si>
    <t>2005 PILS Variable Proxy Rate</t>
  </si>
  <si>
    <t>2005 PILS  billed to (collected from) customers</t>
  </si>
  <si>
    <t>TOTAL 2002</t>
  </si>
  <si>
    <t>Billing Period</t>
  </si>
  <si>
    <t>Rate Class</t>
  </si>
  <si>
    <t>TOTAL 2003</t>
  </si>
  <si>
    <t>TOTAL 2004</t>
  </si>
  <si>
    <t>No. of Months Billed</t>
  </si>
  <si>
    <t>TOTAL 2006</t>
  </si>
  <si>
    <t>GRAND TOTAL</t>
  </si>
  <si>
    <t>Year</t>
  </si>
  <si>
    <t>Month</t>
  </si>
  <si>
    <t>Data</t>
  </si>
  <si>
    <t xml:space="preserve"> Residential</t>
  </si>
  <si>
    <t xml:space="preserve">  GS &lt; 50</t>
  </si>
  <si>
    <t>May</t>
  </si>
  <si>
    <t>June</t>
  </si>
  <si>
    <t>kWH</t>
  </si>
  <si>
    <t>Unbilled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</si>
  <si>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</si>
  <si>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</si>
  <si>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</si>
  <si>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</si>
  <si>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</si>
  <si>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</si>
  <si>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</si>
  <si>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</si>
  <si>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</si>
  <si>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</si>
  <si>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</si>
  <si>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Street Light</t>
  </si>
  <si>
    <t>Total</t>
  </si>
  <si>
    <t xml:space="preserve">kW </t>
  </si>
  <si>
    <t>TOTAL KWH</t>
  </si>
  <si>
    <t>Streetlight</t>
  </si>
  <si>
    <t>Sentinel</t>
  </si>
  <si>
    <t>Monthly Customers Billed</t>
  </si>
  <si>
    <t>TOTAL RESIDENTIAL</t>
  </si>
  <si>
    <t>TOTAL GS &lt; 50kW</t>
  </si>
  <si>
    <t>TOTAL Sentinel Lights</t>
  </si>
  <si>
    <t>TOTAL Streetlights</t>
  </si>
  <si>
    <t>Mon</t>
  </si>
  <si>
    <t>Accrual</t>
  </si>
  <si>
    <t>Monthly Variance</t>
  </si>
  <si>
    <t>Sept</t>
  </si>
  <si>
    <t>SIMPIL True-Up Adjustments</t>
  </si>
  <si>
    <t>*</t>
  </si>
  <si>
    <t>**</t>
  </si>
  <si>
    <t>Opening Balance</t>
  </si>
  <si>
    <t>Closing Balance</t>
  </si>
  <si>
    <t>Interest Rate</t>
  </si>
  <si>
    <t>Monthly Average</t>
  </si>
  <si>
    <t>TOTAL KW</t>
  </si>
  <si>
    <t>Total 2002</t>
  </si>
  <si>
    <t>Total 2003</t>
  </si>
  <si>
    <t>Total 2004</t>
  </si>
  <si>
    <t>Total 2005</t>
  </si>
  <si>
    <t>Total 2006</t>
  </si>
  <si>
    <t>Approved PILS Proxy Amount by Rate Year</t>
  </si>
  <si>
    <t>2002 Mar 1 - 2003 Feb 28</t>
  </si>
  <si>
    <t>2003 Mar 1 - 2004 Mar 31</t>
  </si>
  <si>
    <t>2004 Apr 1 - 2005 Mar 31</t>
  </si>
  <si>
    <t>2005 Apr 1 - 2006 Apr 30</t>
  </si>
  <si>
    <t>2002/2003 PILS Fixed Proxy Rate</t>
  </si>
  <si>
    <t>2002/2003 PILS Variable Proxy Rate</t>
  </si>
  <si>
    <t>2002/2003   PILS  billed to (collected from) customers</t>
  </si>
  <si>
    <t xml:space="preserve">2001  PILS  </t>
  </si>
  <si>
    <t xml:space="preserve">2002   PILS </t>
  </si>
  <si>
    <t>2003   PILS</t>
  </si>
  <si>
    <t xml:space="preserve">2004  PILS  </t>
  </si>
  <si>
    <t xml:space="preserve">2005 PILS </t>
  </si>
  <si>
    <t>2002 Proxy</t>
  </si>
  <si>
    <t>2005 Proxy</t>
  </si>
  <si>
    <t>2001 Proxy</t>
  </si>
  <si>
    <t xml:space="preserve">2001  PILS </t>
  </si>
  <si>
    <t>2002 PILS</t>
  </si>
  <si>
    <t>2004 PILS</t>
  </si>
  <si>
    <t>2005 PILS</t>
  </si>
  <si>
    <t>Total PILS Billed To Customers</t>
  </si>
  <si>
    <t>Cumulative  PILS Billed To Customers</t>
  </si>
  <si>
    <t>2003 PILS</t>
  </si>
  <si>
    <t>Fiscal Year</t>
  </si>
  <si>
    <t>Billed to Customers</t>
  </si>
  <si>
    <t>ok</t>
  </si>
  <si>
    <t>2002 PILS  billed to (collected from) customers</t>
  </si>
  <si>
    <t>Approved  PILS Proxy Amount</t>
  </si>
  <si>
    <t>2003 Proxy</t>
  </si>
  <si>
    <t>2004 Proxy</t>
  </si>
  <si>
    <t>2002 - 2006  PILS in Rates / PILS  Billed -  Variance</t>
  </si>
  <si>
    <t>Apr (includes unbilled)</t>
  </si>
  <si>
    <t xml:space="preserve">TOTAL   </t>
  </si>
  <si>
    <t>2002 Accrual recognized Jan 2003</t>
  </si>
  <si>
    <t xml:space="preserve">Variance  Before True-Ups and Adjustments </t>
  </si>
  <si>
    <t>Add Carrying Charges May 1 2006-April 30 2012</t>
  </si>
  <si>
    <t>Total to April 30, 2012</t>
  </si>
  <si>
    <t xml:space="preserve">Account 1562 PILS Balance </t>
  </si>
  <si>
    <t>General Service &gt; 50 Non TOU</t>
  </si>
  <si>
    <t>General Service &gt; 50 TOU</t>
  </si>
  <si>
    <t>TOTAL GS&gt; 50 kW Non TOU</t>
  </si>
  <si>
    <t>TOTAL GS&gt; 50 kW TOU</t>
  </si>
  <si>
    <t>kWh Billed</t>
  </si>
  <si>
    <t>kW Billed</t>
  </si>
  <si>
    <t>Final</t>
  </si>
  <si>
    <t xml:space="preserve"> PILS Revenue</t>
  </si>
  <si>
    <t xml:space="preserve"> Cumulative Balance</t>
  </si>
  <si>
    <t xml:space="preserve">Carrying Charges </t>
  </si>
  <si>
    <t>Monthly Interest</t>
  </si>
  <si>
    <t>Cumulative Interest</t>
  </si>
  <si>
    <t>Balance, April 30, 2006 including carrying charges</t>
  </si>
  <si>
    <t>General Service  &lt; 50 kW*</t>
  </si>
  <si>
    <t>*USL included in GS &lt; 50 kW</t>
  </si>
  <si>
    <t>PILS Billed To Customers</t>
  </si>
  <si>
    <t>PILS Billed To Customers  - Rate Riders</t>
  </si>
  <si>
    <t>PILS Riders  Billed To Customers</t>
  </si>
  <si>
    <t>*2006</t>
  </si>
  <si>
    <t>PILS Principal Balance April 2006</t>
  </si>
  <si>
    <t>PILS Recovery Amount</t>
  </si>
  <si>
    <t>2002-2003 PILS</t>
  </si>
  <si>
    <t>Sep**</t>
  </si>
  <si>
    <t>May*</t>
  </si>
  <si>
    <t>*includes PILs unbilled at Apr 30, 2006</t>
  </si>
  <si>
    <t>GS&gt;50 NON TOU</t>
  </si>
  <si>
    <t>GS&gt;50 TOU</t>
  </si>
  <si>
    <t xml:space="preserve">Dec </t>
  </si>
  <si>
    <t>Carrying Charge Balance April 2012</t>
  </si>
  <si>
    <t>Balance in Account 1562 April 30, 2012</t>
  </si>
  <si>
    <t>Total to April 30, 2006</t>
  </si>
  <si>
    <t>May 1, 2006 to Dec 31, 2010</t>
  </si>
  <si>
    <t>Jan 1, 2011 to April 30, 2012</t>
  </si>
  <si>
    <t>Apr*</t>
  </si>
  <si>
    <t>*rate changes effective May 1/02, Apr 1/04, Apr1/05 - kWh at previous rate included in previous month for purpose of calculating PILs recovery</t>
  </si>
  <si>
    <t>**no bills issued Sep/05 due to conversion delays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</si>
</sst>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_(&quot;$&quot;* #,##0.000000_);_(&quot;$&quot;* \(#,##0.000000\);_(&quot;$&quot;* &quot;-&quot;??_);_(@_)"/>
    <numFmt numFmtId="170" formatCode="_(&quot;$&quot;* #,##0_);_(&quot;$&quot;* \(#,##0\);_(&quot;$&quot;* &quot;-&quot;??_);_(@_)"/>
    <numFmt numFmtId="171" formatCode="#,##0;[Red]#,##0"/>
    <numFmt numFmtId="172" formatCode="_(* #,##0.0000_);_(* \(#,##0.0000\);_(* &quot;-&quot;??_);_(@_)"/>
    <numFmt numFmtId="173" formatCode="&quot;$&quot;#,##0"/>
    <numFmt numFmtId="174" formatCode="&quot;$&quot;#,##0.0000"/>
    <numFmt numFmtId="175" formatCode="&quot;$&quot;#,##0.0000_);\(&quot;$&quot;#,##0.0000\)"/>
    <numFmt numFmtId="176" formatCode="&quot;$&quot;#,##0_);\(&quot;$&quot;#,##0\)"/>
    <numFmt numFmtId="177" formatCode="_(* #,##0.0_);_(* \(#,##0.0\);_(* &quot;-&quot;??_);_(@_)"/>
    <numFmt numFmtId="178" formatCode="#,##0.0"/>
    <numFmt numFmtId="179" formatCode="mm/dd/yyyy"/>
    <numFmt numFmtId="180" formatCode="0\-0"/>
    <numFmt numFmtId="181" formatCode="##\-#"/>
    <numFmt numFmtId="182" formatCode="&quot;£ &quot;#,##0.00;[Red]\-&quot;£ 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 style="medium"/>
      <bottom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4" fillId="0" borderId="0">
      <alignment/>
      <protection/>
    </xf>
    <xf numFmtId="178" fontId="4" fillId="0" borderId="0">
      <alignment/>
      <protection/>
    </xf>
    <xf numFmtId="179" fontId="4" fillId="0" borderId="0">
      <alignment/>
      <protection/>
    </xf>
    <xf numFmtId="180" fontId="4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17" borderId="0" applyNumberFormat="0" applyBorder="0" applyAlignment="0" applyProtection="0"/>
    <xf numFmtId="0" fontId="25" fillId="27" borderId="0" applyNumberFormat="0" applyBorder="0" applyAlignment="0" applyProtection="0"/>
    <xf numFmtId="0" fontId="5" fillId="19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33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5" fillId="29" borderId="0" applyNumberFormat="0" applyBorder="0" applyAlignment="0" applyProtection="0"/>
    <xf numFmtId="0" fontId="25" fillId="41" borderId="0" applyNumberFormat="0" applyBorder="0" applyAlignment="0" applyProtection="0"/>
    <xf numFmtId="0" fontId="5" fillId="31" borderId="0" applyNumberFormat="0" applyBorder="0" applyAlignment="0" applyProtection="0"/>
    <xf numFmtId="0" fontId="25" fillId="42" borderId="0" applyNumberFormat="0" applyBorder="0" applyAlignment="0" applyProtection="0"/>
    <xf numFmtId="0" fontId="5" fillId="43" borderId="0" applyNumberFormat="0" applyBorder="0" applyAlignment="0" applyProtection="0"/>
    <xf numFmtId="0" fontId="26" fillId="44" borderId="0" applyNumberFormat="0" applyBorder="0" applyAlignment="0" applyProtection="0"/>
    <xf numFmtId="0" fontId="6" fillId="5" borderId="0" applyNumberFormat="0" applyBorder="0" applyAlignment="0" applyProtection="0"/>
    <xf numFmtId="0" fontId="27" fillId="45" borderId="1" applyNumberFormat="0" applyAlignment="0" applyProtection="0"/>
    <xf numFmtId="0" fontId="7" fillId="46" borderId="2" applyNumberFormat="0" applyAlignment="0" applyProtection="0"/>
    <xf numFmtId="0" fontId="28" fillId="47" borderId="3" applyNumberFormat="0" applyAlignment="0" applyProtection="0"/>
    <xf numFmtId="0" fontId="8" fillId="48" borderId="4" applyNumberFormat="0" applyAlignment="0" applyProtection="0"/>
    <xf numFmtId="16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0" fillId="49" borderId="0" applyNumberFormat="0" applyBorder="0" applyAlignment="0" applyProtection="0"/>
    <xf numFmtId="0" fontId="10" fillId="7" borderId="0" applyNumberFormat="0" applyBorder="0" applyAlignment="0" applyProtection="0"/>
    <xf numFmtId="38" fontId="23" fillId="46" borderId="0" applyNumberFormat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1" applyNumberFormat="0" applyAlignment="0" applyProtection="0"/>
    <xf numFmtId="10" fontId="23" fillId="51" borderId="11" applyNumberFormat="0" applyBorder="0" applyAlignment="0" applyProtection="0"/>
    <xf numFmtId="0" fontId="14" fillId="13" borderId="2" applyNumberFormat="0" applyAlignment="0" applyProtection="0"/>
    <xf numFmtId="0" fontId="36" fillId="0" borderId="12" applyNumberFormat="0" applyFill="0" applyAlignment="0" applyProtection="0"/>
    <xf numFmtId="0" fontId="15" fillId="0" borderId="13" applyNumberFormat="0" applyFill="0" applyAlignment="0" applyProtection="0"/>
    <xf numFmtId="181" fontId="4" fillId="0" borderId="0">
      <alignment/>
      <protection/>
    </xf>
    <xf numFmtId="167" fontId="4" fillId="0" borderId="0">
      <alignment/>
      <protection/>
    </xf>
    <xf numFmtId="0" fontId="37" fillId="52" borderId="0" applyNumberFormat="0" applyBorder="0" applyAlignment="0" applyProtection="0"/>
    <xf numFmtId="0" fontId="16" fillId="53" borderId="0" applyNumberFormat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4" borderId="14" applyNumberFormat="0" applyFont="0" applyAlignment="0" applyProtection="0"/>
    <xf numFmtId="0" fontId="1" fillId="51" borderId="15" applyNumberFormat="0" applyFont="0" applyAlignment="0" applyProtection="0"/>
    <xf numFmtId="0" fontId="38" fillId="45" borderId="16" applyNumberFormat="0" applyAlignment="0" applyProtection="0"/>
    <xf numFmtId="0" fontId="17" fillId="46" borderId="17" applyNumberFormat="0" applyAlignment="0" applyProtection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3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Alignment="1">
      <alignment wrapText="1"/>
    </xf>
    <xf numFmtId="165" fontId="0" fillId="0" borderId="0" xfId="78" applyFont="1" applyAlignment="1">
      <alignment/>
    </xf>
    <xf numFmtId="0" fontId="0" fillId="0" borderId="0" xfId="0" applyBorder="1" applyAlignment="1">
      <alignment/>
    </xf>
    <xf numFmtId="165" fontId="0" fillId="0" borderId="0" xfId="78" applyFont="1" applyBorder="1" applyAlignment="1">
      <alignment/>
    </xf>
    <xf numFmtId="0" fontId="0" fillId="0" borderId="0" xfId="0" applyFill="1" applyBorder="1" applyAlignment="1">
      <alignment/>
    </xf>
    <xf numFmtId="169" fontId="0" fillId="0" borderId="0" xfId="78" applyNumberFormat="1" applyFont="1" applyBorder="1" applyAlignment="1">
      <alignment/>
    </xf>
    <xf numFmtId="0" fontId="2" fillId="0" borderId="0" xfId="0" applyFont="1" applyAlignment="1">
      <alignment/>
    </xf>
    <xf numFmtId="165" fontId="0" fillId="0" borderId="0" xfId="78" applyFon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0" xfId="0" applyNumberFormat="1" applyAlignment="1">
      <alignment/>
    </xf>
    <xf numFmtId="168" fontId="0" fillId="0" borderId="20" xfId="78" applyNumberFormat="1" applyFont="1" applyBorder="1" applyAlignment="1">
      <alignment/>
    </xf>
    <xf numFmtId="165" fontId="0" fillId="0" borderId="21" xfId="78" applyFont="1" applyBorder="1" applyAlignment="1">
      <alignment/>
    </xf>
    <xf numFmtId="168" fontId="0" fillId="0" borderId="20" xfId="78" applyNumberFormat="1" applyFont="1" applyFill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169" fontId="0" fillId="0" borderId="20" xfId="78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22" xfId="0" applyBorder="1" applyAlignment="1">
      <alignment/>
    </xf>
    <xf numFmtId="170" fontId="0" fillId="0" borderId="22" xfId="0" applyNumberFormat="1" applyBorder="1" applyAlignment="1">
      <alignment/>
    </xf>
    <xf numFmtId="170" fontId="0" fillId="0" borderId="0" xfId="78" applyNumberFormat="1" applyFont="1" applyAlignment="1">
      <alignment/>
    </xf>
    <xf numFmtId="0" fontId="0" fillId="0" borderId="23" xfId="0" applyBorder="1" applyAlignment="1">
      <alignment/>
    </xf>
    <xf numFmtId="170" fontId="0" fillId="0" borderId="24" xfId="78" applyNumberFormat="1" applyFont="1" applyBorder="1" applyAlignment="1">
      <alignment/>
    </xf>
    <xf numFmtId="170" fontId="0" fillId="0" borderId="22" xfId="78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3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17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3" fillId="0" borderId="25" xfId="0" applyFont="1" applyBorder="1" applyAlignment="1">
      <alignment wrapText="1"/>
    </xf>
    <xf numFmtId="0" fontId="0" fillId="0" borderId="26" xfId="0" applyBorder="1" applyAlignment="1">
      <alignment/>
    </xf>
    <xf numFmtId="167" fontId="0" fillId="0" borderId="26" xfId="73" applyNumberFormat="1" applyFont="1" applyBorder="1" applyAlignment="1">
      <alignment/>
    </xf>
    <xf numFmtId="167" fontId="0" fillId="46" borderId="27" xfId="73" applyNumberFormat="1" applyFont="1" applyFill="1" applyBorder="1" applyAlignment="1">
      <alignment/>
    </xf>
    <xf numFmtId="167" fontId="0" fillId="46" borderId="26" xfId="73" applyNumberFormat="1" applyFont="1" applyFill="1" applyBorder="1" applyAlignment="1">
      <alignment/>
    </xf>
    <xf numFmtId="167" fontId="0" fillId="0" borderId="27" xfId="73" applyNumberFormat="1" applyFont="1" applyBorder="1" applyAlignment="1">
      <alignment/>
    </xf>
    <xf numFmtId="37" fontId="0" fillId="0" borderId="0" xfId="0" applyNumberFormat="1" applyAlignment="1">
      <alignment wrapText="1"/>
    </xf>
    <xf numFmtId="171" fontId="0" fillId="0" borderId="28" xfId="0" applyNumberFormat="1" applyFill="1" applyBorder="1" applyAlignment="1">
      <alignment/>
    </xf>
    <xf numFmtId="167" fontId="0" fillId="0" borderId="11" xfId="73" applyNumberFormat="1" applyFont="1" applyBorder="1" applyAlignment="1">
      <alignment/>
    </xf>
    <xf numFmtId="0" fontId="3" fillId="0" borderId="11" xfId="0" applyFont="1" applyBorder="1" applyAlignment="1">
      <alignment/>
    </xf>
    <xf numFmtId="171" fontId="3" fillId="0" borderId="11" xfId="0" applyNumberFormat="1" applyFont="1" applyBorder="1" applyAlignment="1">
      <alignment/>
    </xf>
    <xf numFmtId="167" fontId="3" fillId="0" borderId="11" xfId="73" applyNumberFormat="1" applyFont="1" applyBorder="1" applyAlignment="1">
      <alignment/>
    </xf>
    <xf numFmtId="0" fontId="0" fillId="0" borderId="29" xfId="0" applyBorder="1" applyAlignment="1">
      <alignment/>
    </xf>
    <xf numFmtId="170" fontId="0" fillId="0" borderId="24" xfId="0" applyNumberFormat="1" applyBorder="1" applyAlignment="1">
      <alignment/>
    </xf>
    <xf numFmtId="170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wrapText="1"/>
    </xf>
    <xf numFmtId="0" fontId="0" fillId="0" borderId="33" xfId="0" applyBorder="1" applyAlignment="1">
      <alignment/>
    </xf>
    <xf numFmtId="167" fontId="0" fillId="0" borderId="27" xfId="73" applyNumberFormat="1" applyFont="1" applyFill="1" applyBorder="1" applyAlignment="1">
      <alignment/>
    </xf>
    <xf numFmtId="0" fontId="0" fillId="19" borderId="34" xfId="0" applyFill="1" applyBorder="1" applyAlignment="1">
      <alignment/>
    </xf>
    <xf numFmtId="0" fontId="0" fillId="19" borderId="35" xfId="0" applyFill="1" applyBorder="1" applyAlignment="1">
      <alignment/>
    </xf>
    <xf numFmtId="0" fontId="0" fillId="19" borderId="36" xfId="0" applyFill="1" applyBorder="1" applyAlignment="1">
      <alignment/>
    </xf>
    <xf numFmtId="167" fontId="0" fillId="19" borderId="36" xfId="73" applyNumberFormat="1" applyFont="1" applyFill="1" applyBorder="1" applyAlignment="1">
      <alignment/>
    </xf>
    <xf numFmtId="167" fontId="0" fillId="19" borderId="37" xfId="73" applyNumberFormat="1" applyFont="1" applyFill="1" applyBorder="1" applyAlignment="1">
      <alignment/>
    </xf>
    <xf numFmtId="168" fontId="0" fillId="19" borderId="38" xfId="78" applyNumberFormat="1" applyFont="1" applyFill="1" applyBorder="1" applyAlignment="1">
      <alignment/>
    </xf>
    <xf numFmtId="169" fontId="0" fillId="19" borderId="39" xfId="78" applyNumberFormat="1" applyFont="1" applyFill="1" applyBorder="1" applyAlignment="1">
      <alignment/>
    </xf>
    <xf numFmtId="165" fontId="0" fillId="19" borderId="40" xfId="78" applyFont="1" applyFill="1" applyBorder="1" applyAlignment="1">
      <alignment/>
    </xf>
    <xf numFmtId="169" fontId="0" fillId="19" borderId="38" xfId="78" applyNumberFormat="1" applyFont="1" applyFill="1" applyBorder="1" applyAlignment="1">
      <alignment/>
    </xf>
    <xf numFmtId="167" fontId="0" fillId="0" borderId="0" xfId="73" applyNumberFormat="1" applyFont="1" applyBorder="1" applyAlignment="1">
      <alignment/>
    </xf>
    <xf numFmtId="167" fontId="0" fillId="0" borderId="21" xfId="73" applyNumberFormat="1" applyFont="1" applyBorder="1" applyAlignment="1">
      <alignment/>
    </xf>
    <xf numFmtId="0" fontId="0" fillId="0" borderId="28" xfId="0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9" fontId="0" fillId="0" borderId="0" xfId="150" applyFont="1" applyBorder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0" fillId="19" borderId="11" xfId="0" applyFill="1" applyBorder="1" applyAlignment="1">
      <alignment/>
    </xf>
    <xf numFmtId="0" fontId="0" fillId="19" borderId="31" xfId="0" applyFill="1" applyBorder="1" applyAlignment="1">
      <alignment/>
    </xf>
    <xf numFmtId="0" fontId="0" fillId="19" borderId="31" xfId="0" applyFill="1" applyBorder="1" applyAlignment="1">
      <alignment/>
    </xf>
    <xf numFmtId="0" fontId="0" fillId="19" borderId="11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41" xfId="0" applyBorder="1" applyAlignment="1">
      <alignment/>
    </xf>
    <xf numFmtId="164" fontId="0" fillId="0" borderId="41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42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43" xfId="0" applyBorder="1" applyAlignment="1">
      <alignment/>
    </xf>
    <xf numFmtId="0" fontId="3" fillId="0" borderId="28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28" xfId="0" applyBorder="1" applyAlignment="1">
      <alignment wrapText="1"/>
    </xf>
    <xf numFmtId="164" fontId="0" fillId="0" borderId="28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33" xfId="0" applyNumberFormat="1" applyBorder="1" applyAlignment="1">
      <alignment wrapText="1"/>
    </xf>
    <xf numFmtId="10" fontId="0" fillId="0" borderId="0" xfId="150" applyNumberFormat="1" applyFont="1" applyBorder="1" applyAlignment="1">
      <alignment/>
    </xf>
    <xf numFmtId="10" fontId="0" fillId="0" borderId="0" xfId="150" applyNumberFormat="1" applyFont="1" applyFill="1" applyBorder="1" applyAlignment="1">
      <alignment/>
    </xf>
    <xf numFmtId="167" fontId="0" fillId="0" borderId="41" xfId="73" applyNumberFormat="1" applyFont="1" applyBorder="1" applyAlignment="1">
      <alignment/>
    </xf>
    <xf numFmtId="167" fontId="0" fillId="0" borderId="42" xfId="73" applyNumberFormat="1" applyFont="1" applyBorder="1" applyAlignment="1">
      <alignment/>
    </xf>
    <xf numFmtId="0" fontId="20" fillId="0" borderId="0" xfId="0" applyFont="1" applyAlignment="1">
      <alignment/>
    </xf>
    <xf numFmtId="0" fontId="20" fillId="19" borderId="31" xfId="0" applyFont="1" applyFill="1" applyBorder="1" applyAlignment="1">
      <alignment/>
    </xf>
    <xf numFmtId="0" fontId="20" fillId="19" borderId="11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71" fontId="20" fillId="0" borderId="0" xfId="0" applyNumberFormat="1" applyFont="1" applyBorder="1" applyAlignment="1">
      <alignment/>
    </xf>
    <xf numFmtId="0" fontId="0" fillId="0" borderId="26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0" xfId="0" applyFill="1" applyAlignment="1">
      <alignment/>
    </xf>
    <xf numFmtId="0" fontId="3" fillId="51" borderId="45" xfId="0" applyFont="1" applyFill="1" applyBorder="1" applyAlignment="1">
      <alignment/>
    </xf>
    <xf numFmtId="0" fontId="3" fillId="51" borderId="46" xfId="0" applyFont="1" applyFill="1" applyBorder="1" applyAlignment="1">
      <alignment/>
    </xf>
    <xf numFmtId="167" fontId="3" fillId="51" borderId="46" xfId="0" applyNumberFormat="1" applyFont="1" applyFill="1" applyBorder="1" applyAlignment="1">
      <alignment/>
    </xf>
    <xf numFmtId="165" fontId="3" fillId="51" borderId="47" xfId="78" applyFont="1" applyFill="1" applyBorder="1" applyAlignment="1">
      <alignment/>
    </xf>
    <xf numFmtId="0" fontId="3" fillId="51" borderId="11" xfId="0" applyFont="1" applyFill="1" applyBorder="1" applyAlignment="1">
      <alignment wrapText="1"/>
    </xf>
    <xf numFmtId="0" fontId="3" fillId="51" borderId="11" xfId="0" applyFont="1" applyFill="1" applyBorder="1" applyAlignment="1">
      <alignment/>
    </xf>
    <xf numFmtId="0" fontId="21" fillId="51" borderId="11" xfId="0" applyFont="1" applyFill="1" applyBorder="1" applyAlignment="1">
      <alignment/>
    </xf>
    <xf numFmtId="167" fontId="3" fillId="51" borderId="11" xfId="0" applyNumberFormat="1" applyFont="1" applyFill="1" applyBorder="1" applyAlignment="1">
      <alignment/>
    </xf>
    <xf numFmtId="171" fontId="3" fillId="51" borderId="11" xfId="0" applyNumberFormat="1" applyFont="1" applyFill="1" applyBorder="1" applyAlignment="1">
      <alignment/>
    </xf>
    <xf numFmtId="0" fontId="3" fillId="0" borderId="31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51" borderId="38" xfId="0" applyFont="1" applyFill="1" applyBorder="1" applyAlignment="1">
      <alignment/>
    </xf>
    <xf numFmtId="170" fontId="3" fillId="51" borderId="48" xfId="78" applyNumberFormat="1" applyFont="1" applyFill="1" applyBorder="1" applyAlignment="1">
      <alignment/>
    </xf>
    <xf numFmtId="0" fontId="3" fillId="51" borderId="48" xfId="0" applyFont="1" applyFill="1" applyBorder="1" applyAlignment="1">
      <alignment/>
    </xf>
    <xf numFmtId="0" fontId="3" fillId="51" borderId="48" xfId="0" applyFont="1" applyFill="1" applyBorder="1" applyAlignment="1">
      <alignment wrapText="1"/>
    </xf>
    <xf numFmtId="170" fontId="3" fillId="51" borderId="48" xfId="0" applyNumberFormat="1" applyFont="1" applyFill="1" applyBorder="1" applyAlignment="1">
      <alignment/>
    </xf>
    <xf numFmtId="170" fontId="0" fillId="0" borderId="26" xfId="78" applyNumberFormat="1" applyFont="1" applyBorder="1" applyAlignment="1">
      <alignment/>
    </xf>
    <xf numFmtId="170" fontId="3" fillId="51" borderId="11" xfId="78" applyNumberFormat="1" applyFont="1" applyFill="1" applyBorder="1" applyAlignment="1">
      <alignment/>
    </xf>
    <xf numFmtId="0" fontId="3" fillId="51" borderId="25" xfId="0" applyFont="1" applyFill="1" applyBorder="1" applyAlignment="1">
      <alignment/>
    </xf>
    <xf numFmtId="0" fontId="3" fillId="51" borderId="49" xfId="0" applyFont="1" applyFill="1" applyBorder="1" applyAlignment="1">
      <alignment/>
    </xf>
    <xf numFmtId="0" fontId="3" fillId="51" borderId="50" xfId="0" applyFont="1" applyFill="1" applyBorder="1" applyAlignment="1">
      <alignment/>
    </xf>
    <xf numFmtId="170" fontId="0" fillId="0" borderId="27" xfId="78" applyNumberFormat="1" applyFont="1" applyBorder="1" applyAlignment="1">
      <alignment/>
    </xf>
    <xf numFmtId="0" fontId="3" fillId="51" borderId="51" xfId="0" applyFont="1" applyFill="1" applyBorder="1" applyAlignment="1">
      <alignment/>
    </xf>
    <xf numFmtId="170" fontId="3" fillId="51" borderId="52" xfId="78" applyNumberFormat="1" applyFont="1" applyFill="1" applyBorder="1" applyAlignment="1">
      <alignment/>
    </xf>
    <xf numFmtId="0" fontId="3" fillId="51" borderId="53" xfId="0" applyFont="1" applyFill="1" applyBorder="1" applyAlignment="1">
      <alignment/>
    </xf>
    <xf numFmtId="170" fontId="3" fillId="51" borderId="54" xfId="78" applyNumberFormat="1" applyFont="1" applyFill="1" applyBorder="1" applyAlignment="1">
      <alignment/>
    </xf>
    <xf numFmtId="170" fontId="3" fillId="51" borderId="55" xfId="78" applyNumberFormat="1" applyFont="1" applyFill="1" applyBorder="1" applyAlignment="1">
      <alignment/>
    </xf>
    <xf numFmtId="0" fontId="0" fillId="51" borderId="40" xfId="0" applyFill="1" applyBorder="1" applyAlignment="1">
      <alignment horizontal="centerContinuous"/>
    </xf>
    <xf numFmtId="0" fontId="0" fillId="0" borderId="0" xfId="0" applyFont="1" applyAlignment="1">
      <alignment wrapText="1"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64" fontId="0" fillId="0" borderId="31" xfId="0" applyNumberFormat="1" applyBorder="1" applyAlignment="1">
      <alignment horizontal="centerContinuous"/>
    </xf>
    <xf numFmtId="0" fontId="2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170" fontId="3" fillId="51" borderId="24" xfId="0" applyNumberFormat="1" applyFont="1" applyFill="1" applyBorder="1" applyAlignment="1">
      <alignment/>
    </xf>
    <xf numFmtId="170" fontId="3" fillId="51" borderId="22" xfId="0" applyNumberFormat="1" applyFont="1" applyFill="1" applyBorder="1" applyAlignment="1">
      <alignment/>
    </xf>
    <xf numFmtId="170" fontId="3" fillId="51" borderId="30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170" fontId="0" fillId="0" borderId="11" xfId="0" applyNumberFormat="1" applyFont="1" applyFill="1" applyBorder="1" applyAlignment="1">
      <alignment wrapText="1"/>
    </xf>
    <xf numFmtId="170" fontId="0" fillId="0" borderId="52" xfId="0" applyNumberFormat="1" applyFont="1" applyFill="1" applyBorder="1" applyAlignment="1">
      <alignment wrapText="1"/>
    </xf>
    <xf numFmtId="0" fontId="3" fillId="51" borderId="56" xfId="0" applyFont="1" applyFill="1" applyBorder="1" applyAlignment="1">
      <alignment wrapText="1"/>
    </xf>
    <xf numFmtId="170" fontId="3" fillId="51" borderId="57" xfId="78" applyNumberFormat="1" applyFont="1" applyFill="1" applyBorder="1" applyAlignment="1">
      <alignment wrapText="1"/>
    </xf>
    <xf numFmtId="0" fontId="3" fillId="51" borderId="38" xfId="0" applyFont="1" applyFill="1" applyBorder="1" applyAlignment="1">
      <alignment horizontal="centerContinuous"/>
    </xf>
    <xf numFmtId="0" fontId="3" fillId="51" borderId="39" xfId="0" applyFont="1" applyFill="1" applyBorder="1" applyAlignment="1">
      <alignment horizontal="centerContinuous"/>
    </xf>
    <xf numFmtId="0" fontId="3" fillId="51" borderId="35" xfId="0" applyFont="1" applyFill="1" applyBorder="1" applyAlignment="1">
      <alignment horizontal="centerContinuous"/>
    </xf>
    <xf numFmtId="0" fontId="3" fillId="51" borderId="40" xfId="0" applyFont="1" applyFill="1" applyBorder="1" applyAlignment="1">
      <alignment horizontal="centerContinuous"/>
    </xf>
    <xf numFmtId="0" fontId="0" fillId="0" borderId="58" xfId="0" applyFill="1" applyBorder="1" applyAlignment="1">
      <alignment/>
    </xf>
    <xf numFmtId="170" fontId="0" fillId="0" borderId="59" xfId="0" applyNumberFormat="1" applyFont="1" applyFill="1" applyBorder="1" applyAlignment="1">
      <alignment wrapText="1"/>
    </xf>
    <xf numFmtId="170" fontId="0" fillId="0" borderId="60" xfId="0" applyNumberFormat="1" applyFont="1" applyFill="1" applyBorder="1" applyAlignment="1">
      <alignment wrapText="1"/>
    </xf>
    <xf numFmtId="164" fontId="0" fillId="0" borderId="4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1" xfId="0" applyBorder="1" applyAlignment="1">
      <alignment wrapText="1"/>
    </xf>
    <xf numFmtId="0" fontId="0" fillId="0" borderId="41" xfId="0" applyBorder="1" applyAlignment="1">
      <alignment wrapText="1"/>
    </xf>
    <xf numFmtId="164" fontId="0" fillId="0" borderId="41" xfId="0" applyNumberForma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10" fontId="0" fillId="19" borderId="0" xfId="150" applyNumberFormat="1" applyFont="1" applyFill="1" applyBorder="1" applyAlignment="1">
      <alignment/>
    </xf>
    <xf numFmtId="164" fontId="0" fillId="0" borderId="26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0" fillId="0" borderId="31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164" fontId="3" fillId="0" borderId="64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164" fontId="0" fillId="0" borderId="26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64" fontId="0" fillId="0" borderId="62" xfId="0" applyNumberFormat="1" applyBorder="1" applyAlignment="1">
      <alignment/>
    </xf>
    <xf numFmtId="0" fontId="0" fillId="0" borderId="65" xfId="0" applyBorder="1" applyAlignment="1">
      <alignment/>
    </xf>
    <xf numFmtId="0" fontId="3" fillId="51" borderId="31" xfId="0" applyFont="1" applyFill="1" applyBorder="1" applyAlignment="1">
      <alignment/>
    </xf>
    <xf numFmtId="0" fontId="3" fillId="51" borderId="41" xfId="0" applyFont="1" applyFill="1" applyBorder="1" applyAlignment="1">
      <alignment/>
    </xf>
    <xf numFmtId="164" fontId="3" fillId="51" borderId="11" xfId="0" applyNumberFormat="1" applyFont="1" applyFill="1" applyBorder="1" applyAlignment="1">
      <alignment/>
    </xf>
    <xf numFmtId="0" fontId="0" fillId="51" borderId="31" xfId="0" applyFill="1" applyBorder="1" applyAlignment="1">
      <alignment/>
    </xf>
    <xf numFmtId="0" fontId="0" fillId="51" borderId="41" xfId="0" applyFill="1" applyBorder="1" applyAlignment="1">
      <alignment/>
    </xf>
    <xf numFmtId="164" fontId="0" fillId="51" borderId="41" xfId="0" applyNumberFormat="1" applyFill="1" applyBorder="1" applyAlignment="1">
      <alignment/>
    </xf>
    <xf numFmtId="164" fontId="0" fillId="51" borderId="42" xfId="0" applyNumberFormat="1" applyFill="1" applyBorder="1" applyAlignment="1">
      <alignment/>
    </xf>
    <xf numFmtId="164" fontId="3" fillId="51" borderId="11" xfId="0" applyNumberFormat="1" applyFont="1" applyFill="1" applyBorder="1" applyAlignment="1">
      <alignment horizontal="centerContinuous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164" fontId="0" fillId="0" borderId="63" xfId="0" applyNumberFormat="1" applyFont="1" applyBorder="1" applyAlignment="1">
      <alignment/>
    </xf>
    <xf numFmtId="164" fontId="3" fillId="51" borderId="42" xfId="0" applyNumberFormat="1" applyFont="1" applyFill="1" applyBorder="1" applyAlignment="1">
      <alignment/>
    </xf>
    <xf numFmtId="164" fontId="0" fillId="51" borderId="11" xfId="0" applyNumberFormat="1" applyFill="1" applyBorder="1" applyAlignment="1">
      <alignment/>
    </xf>
    <xf numFmtId="0" fontId="0" fillId="0" borderId="0" xfId="0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 wrapText="1"/>
      <protection locked="0"/>
    </xf>
    <xf numFmtId="164" fontId="3" fillId="0" borderId="26" xfId="0" applyNumberFormat="1" applyFont="1" applyBorder="1" applyAlignment="1">
      <alignment/>
    </xf>
    <xf numFmtId="0" fontId="0" fillId="51" borderId="42" xfId="0" applyFill="1" applyBorder="1" applyAlignment="1">
      <alignment wrapText="1"/>
    </xf>
    <xf numFmtId="0" fontId="3" fillId="51" borderId="31" xfId="0" applyFont="1" applyFill="1" applyBorder="1" applyAlignment="1">
      <alignment wrapText="1"/>
    </xf>
    <xf numFmtId="0" fontId="0" fillId="51" borderId="41" xfId="0" applyFill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164" fontId="0" fillId="0" borderId="26" xfId="0" applyNumberFormat="1" applyFont="1" applyBorder="1" applyAlignment="1">
      <alignment wrapText="1"/>
    </xf>
    <xf numFmtId="3" fontId="0" fillId="0" borderId="26" xfId="0" applyNumberFormat="1" applyFill="1" applyBorder="1" applyAlignment="1">
      <alignment/>
    </xf>
    <xf numFmtId="0" fontId="1" fillId="0" borderId="26" xfId="0" applyFont="1" applyFill="1" applyBorder="1" applyAlignment="1">
      <alignment/>
    </xf>
    <xf numFmtId="1" fontId="0" fillId="0" borderId="26" xfId="0" applyNumberFormat="1" applyFill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164" fontId="0" fillId="0" borderId="11" xfId="0" applyNumberFormat="1" applyFont="1" applyBorder="1" applyAlignment="1">
      <alignment horizontal="center" wrapText="1"/>
    </xf>
    <xf numFmtId="164" fontId="0" fillId="0" borderId="26" xfId="0" applyNumberFormat="1" applyFont="1" applyBorder="1" applyAlignment="1">
      <alignment horizontal="center" wrapText="1"/>
    </xf>
    <xf numFmtId="169" fontId="0" fillId="0" borderId="20" xfId="78" applyNumberFormat="1" applyFont="1" applyFill="1" applyBorder="1" applyAlignment="1">
      <alignment/>
    </xf>
    <xf numFmtId="164" fontId="0" fillId="0" borderId="31" xfId="0" applyNumberFormat="1" applyBorder="1" applyAlignment="1">
      <alignment horizontal="center" wrapText="1"/>
    </xf>
    <xf numFmtId="164" fontId="0" fillId="0" borderId="41" xfId="0" applyNumberFormat="1" applyBorder="1" applyAlignment="1">
      <alignment horizontal="center" wrapText="1"/>
    </xf>
    <xf numFmtId="164" fontId="0" fillId="0" borderId="42" xfId="0" applyNumberFormat="1" applyBorder="1" applyAlignment="1">
      <alignment horizontal="center" wrapText="1"/>
    </xf>
    <xf numFmtId="0" fontId="0" fillId="51" borderId="11" xfId="0" applyFill="1" applyBorder="1" applyAlignment="1">
      <alignment horizontal="center" wrapText="1"/>
    </xf>
    <xf numFmtId="0" fontId="3" fillId="51" borderId="24" xfId="0" applyFont="1" applyFill="1" applyBorder="1" applyAlignment="1">
      <alignment horizontal="center" wrapText="1"/>
    </xf>
    <xf numFmtId="0" fontId="3" fillId="51" borderId="48" xfId="0" applyFont="1" applyFill="1" applyBorder="1" applyAlignment="1">
      <alignment horizontal="center"/>
    </xf>
    <xf numFmtId="0" fontId="3" fillId="51" borderId="30" xfId="0" applyFont="1" applyFill="1" applyBorder="1" applyAlignment="1">
      <alignment horizontal="center"/>
    </xf>
    <xf numFmtId="0" fontId="3" fillId="51" borderId="22" xfId="0" applyFont="1" applyFill="1" applyBorder="1" applyAlignment="1">
      <alignment horizontal="center" wrapText="1"/>
    </xf>
    <xf numFmtId="0" fontId="3" fillId="51" borderId="30" xfId="0" applyFont="1" applyFill="1" applyBorder="1" applyAlignment="1">
      <alignment horizontal="center" wrapText="1"/>
    </xf>
    <xf numFmtId="0" fontId="0" fillId="0" borderId="23" xfId="0" applyFill="1" applyBorder="1" applyAlignment="1">
      <alignment/>
    </xf>
    <xf numFmtId="0" fontId="0" fillId="0" borderId="66" xfId="0" applyBorder="1" applyAlignment="1">
      <alignment horizontal="right"/>
    </xf>
    <xf numFmtId="0" fontId="0" fillId="0" borderId="67" xfId="0" applyBorder="1" applyAlignment="1">
      <alignment/>
    </xf>
    <xf numFmtId="171" fontId="0" fillId="0" borderId="62" xfId="0" applyNumberFormat="1" applyBorder="1" applyAlignment="1">
      <alignment/>
    </xf>
    <xf numFmtId="171" fontId="0" fillId="0" borderId="0" xfId="0" applyNumberFormat="1" applyBorder="1" applyAlignment="1">
      <alignment/>
    </xf>
    <xf numFmtId="37" fontId="0" fillId="0" borderId="11" xfId="0" applyNumberFormat="1" applyBorder="1" applyAlignment="1">
      <alignment/>
    </xf>
    <xf numFmtId="0" fontId="42" fillId="0" borderId="11" xfId="0" applyFont="1" applyBorder="1" applyAlignment="1">
      <alignment/>
    </xf>
    <xf numFmtId="3" fontId="0" fillId="0" borderId="44" xfId="0" applyNumberFormat="1" applyFill="1" applyBorder="1" applyAlignment="1">
      <alignment/>
    </xf>
    <xf numFmtId="0" fontId="3" fillId="51" borderId="11" xfId="0" applyFont="1" applyFill="1" applyBorder="1" applyAlignment="1">
      <alignment horizontal="center" wrapText="1"/>
    </xf>
    <xf numFmtId="37" fontId="0" fillId="0" borderId="26" xfId="0" applyNumberFormat="1" applyFill="1" applyBorder="1" applyAlignment="1">
      <alignment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3" fillId="0" borderId="69" xfId="0" applyFont="1" applyBorder="1" applyAlignment="1">
      <alignment horizontal="center" wrapText="1"/>
    </xf>
    <xf numFmtId="0" fontId="3" fillId="0" borderId="70" xfId="0" applyFont="1" applyBorder="1" applyAlignment="1">
      <alignment horizontal="center" wrapText="1"/>
    </xf>
    <xf numFmtId="0" fontId="0" fillId="0" borderId="71" xfId="0" applyFill="1" applyBorder="1" applyAlignment="1">
      <alignment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19" borderId="31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0" fillId="19" borderId="42" xfId="0" applyFill="1" applyBorder="1" applyAlignment="1">
      <alignment horizontal="center"/>
    </xf>
  </cellXfs>
  <cellStyles count="145">
    <cellStyle name="Normal" xfId="0"/>
    <cellStyle name="$" xfId="15"/>
    <cellStyle name="$.00" xfId="16"/>
    <cellStyle name="$M" xfId="17"/>
    <cellStyle name="$M.00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40% - Accent1" xfId="31"/>
    <cellStyle name="40% - Accent1 2" xfId="32"/>
    <cellStyle name="40% - Accent2" xfId="33"/>
    <cellStyle name="40% - Accent2 2" xfId="34"/>
    <cellStyle name="40% - Accent3" xfId="35"/>
    <cellStyle name="40% - Accent3 2" xfId="36"/>
    <cellStyle name="40% - Accent4" xfId="37"/>
    <cellStyle name="40% - Accent4 2" xfId="38"/>
    <cellStyle name="40% - Accent5" xfId="39"/>
    <cellStyle name="40% - Accent5 2" xfId="40"/>
    <cellStyle name="40% - Accent6" xfId="41"/>
    <cellStyle name="40% - Accent6 2" xfId="42"/>
    <cellStyle name="60% - Accent1" xfId="43"/>
    <cellStyle name="60% - Accent1 2" xfId="44"/>
    <cellStyle name="60% - Accent2" xfId="45"/>
    <cellStyle name="60% - Accent2 2" xfId="46"/>
    <cellStyle name="60% - Accent3" xfId="47"/>
    <cellStyle name="60% - Accent3 2" xfId="48"/>
    <cellStyle name="60% - Accent4" xfId="49"/>
    <cellStyle name="60% - Accent4 2" xfId="50"/>
    <cellStyle name="60% - Accent5" xfId="51"/>
    <cellStyle name="60% - Accent5 2" xfId="52"/>
    <cellStyle name="60% - Accent6" xfId="53"/>
    <cellStyle name="60% - Accent6 2" xfId="54"/>
    <cellStyle name="Accent1" xfId="55"/>
    <cellStyle name="Accent1 2" xfId="56"/>
    <cellStyle name="Accent2" xfId="57"/>
    <cellStyle name="Accent2 2" xfId="58"/>
    <cellStyle name="Accent3" xfId="59"/>
    <cellStyle name="Accent3 2" xfId="60"/>
    <cellStyle name="Accent4" xfId="61"/>
    <cellStyle name="Accent4 2" xfId="62"/>
    <cellStyle name="Accent5" xfId="63"/>
    <cellStyle name="Accent5 2" xfId="64"/>
    <cellStyle name="Accent6" xfId="65"/>
    <cellStyle name="Accent6 2" xfId="66"/>
    <cellStyle name="Bad" xfId="67"/>
    <cellStyle name="Bad 2" xfId="68"/>
    <cellStyle name="Calculation" xfId="69"/>
    <cellStyle name="Calculation 2" xfId="70"/>
    <cellStyle name="Check Cell" xfId="71"/>
    <cellStyle name="Check Cell 2" xfId="72"/>
    <cellStyle name="Comma" xfId="73"/>
    <cellStyle name="Comma [0]" xfId="74"/>
    <cellStyle name="Comma 2" xfId="75"/>
    <cellStyle name="Comma 3" xfId="76"/>
    <cellStyle name="Comma0" xfId="77"/>
    <cellStyle name="Currency" xfId="78"/>
    <cellStyle name="Currency [0]" xfId="79"/>
    <cellStyle name="Currency 2" xfId="80"/>
    <cellStyle name="Currency 2 2" xfId="81"/>
    <cellStyle name="Currency0" xfId="82"/>
    <cellStyle name="Date" xfId="83"/>
    <cellStyle name="Explanatory Text" xfId="84"/>
    <cellStyle name="Explanatory Text 2" xfId="85"/>
    <cellStyle name="Fixed" xfId="86"/>
    <cellStyle name="Good" xfId="87"/>
    <cellStyle name="Good 2" xfId="88"/>
    <cellStyle name="Grey" xfId="89"/>
    <cellStyle name="Heading 1" xfId="90"/>
    <cellStyle name="Heading 1 2" xfId="91"/>
    <cellStyle name="Heading 2" xfId="92"/>
    <cellStyle name="Heading 2 2" xfId="93"/>
    <cellStyle name="Heading 3" xfId="94"/>
    <cellStyle name="Heading 3 2" xfId="95"/>
    <cellStyle name="Heading 4" xfId="96"/>
    <cellStyle name="Heading 4 2" xfId="97"/>
    <cellStyle name="Hyperlink 2" xfId="98"/>
    <cellStyle name="Hyperlink 2 2" xfId="99"/>
    <cellStyle name="Input" xfId="100"/>
    <cellStyle name="Input [yellow]" xfId="101"/>
    <cellStyle name="Input 2" xfId="102"/>
    <cellStyle name="Linked Cell" xfId="103"/>
    <cellStyle name="Linked Cell 2" xfId="104"/>
    <cellStyle name="M" xfId="105"/>
    <cellStyle name="M.00" xfId="106"/>
    <cellStyle name="Neutral" xfId="107"/>
    <cellStyle name="Neutral 2" xfId="108"/>
    <cellStyle name="Normal - Style1" xfId="109"/>
    <cellStyle name="Normal 10" xfId="110"/>
    <cellStyle name="Normal 10 2" xfId="111"/>
    <cellStyle name="Normal 13" xfId="112"/>
    <cellStyle name="Normal 13 2" xfId="113"/>
    <cellStyle name="Normal 14" xfId="114"/>
    <cellStyle name="Normal 14 2" xfId="115"/>
    <cellStyle name="Normal 15" xfId="116"/>
    <cellStyle name="Normal 15 2" xfId="117"/>
    <cellStyle name="Normal 2" xfId="118"/>
    <cellStyle name="Normal 2 2" xfId="119"/>
    <cellStyle name="Normal 20 2" xfId="120"/>
    <cellStyle name="Normal 21" xfId="121"/>
    <cellStyle name="Normal 22" xfId="122"/>
    <cellStyle name="Normal 22 2" xfId="123"/>
    <cellStyle name="Normal 23" xfId="124"/>
    <cellStyle name="Normal 24" xfId="125"/>
    <cellStyle name="Normal 25" xfId="126"/>
    <cellStyle name="Normal 25 2" xfId="127"/>
    <cellStyle name="Normal 26" xfId="128"/>
    <cellStyle name="Normal 26 2" xfId="129"/>
    <cellStyle name="Normal 27" xfId="130"/>
    <cellStyle name="Normal 27 2" xfId="131"/>
    <cellStyle name="Normal 28" xfId="132"/>
    <cellStyle name="Normal 28 2" xfId="133"/>
    <cellStyle name="Normal 29" xfId="134"/>
    <cellStyle name="Normal 29 2" xfId="135"/>
    <cellStyle name="Normal 3" xfId="136"/>
    <cellStyle name="Normal 3 2" xfId="137"/>
    <cellStyle name="Normal 30" xfId="138"/>
    <cellStyle name="Normal 30 2" xfId="139"/>
    <cellStyle name="Normal 4" xfId="140"/>
    <cellStyle name="Normal 4 2" xfId="141"/>
    <cellStyle name="Normal 5 2" xfId="142"/>
    <cellStyle name="Normal 6 2" xfId="143"/>
    <cellStyle name="Normal 7 2" xfId="144"/>
    <cellStyle name="Normal 8 2" xfId="145"/>
    <cellStyle name="Note" xfId="146"/>
    <cellStyle name="Note 2" xfId="147"/>
    <cellStyle name="Output" xfId="148"/>
    <cellStyle name="Output 2" xfId="149"/>
    <cellStyle name="Percent" xfId="150"/>
    <cellStyle name="Percent [2]" xfId="151"/>
    <cellStyle name="Percent 2" xfId="152"/>
    <cellStyle name="Title" xfId="153"/>
    <cellStyle name="Title 2" xfId="154"/>
    <cellStyle name="Total" xfId="155"/>
    <cellStyle name="Total 2" xfId="156"/>
    <cellStyle name="Warning Text" xfId="157"/>
    <cellStyle name="Warning Text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amar$\My%20Documents\EXCEL\COSA\COSA_Unbundling%20(MEA)\Mea_UCA_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eichsteller$\My%20Documents\EXCEL\COSA\COSA_Unbundling%20(MEA)\Mea_UCA_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  <row r="76">
          <cell r="E76">
            <v>36161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8"/>
  <sheetViews>
    <sheetView showGridLines="0" zoomScale="85" zoomScaleNormal="85" zoomScalePageLayoutView="0" workbookViewId="0" topLeftCell="A25">
      <selection activeCell="H29" sqref="A1:H29"/>
    </sheetView>
  </sheetViews>
  <sheetFormatPr defaultColWidth="9.140625" defaultRowHeight="15"/>
  <cols>
    <col min="1" max="1" width="34.421875" style="0" customWidth="1"/>
    <col min="2" max="6" width="13.57421875" style="0" customWidth="1"/>
    <col min="7" max="7" width="13.421875" style="0" customWidth="1"/>
    <col min="12" max="12" width="62.7109375" style="0" bestFit="1" customWidth="1"/>
  </cols>
  <sheetData>
    <row r="1" ht="15.75" thickBot="1"/>
    <row r="2" spans="2:6" ht="15.75" thickBot="1">
      <c r="B2" s="161" t="s">
        <v>127</v>
      </c>
      <c r="C2" s="162"/>
      <c r="D2" s="162"/>
      <c r="E2" s="162"/>
      <c r="F2" s="164"/>
    </row>
    <row r="3" spans="1:6" ht="30.75" thickBot="1">
      <c r="A3" s="127" t="s">
        <v>19</v>
      </c>
      <c r="B3" s="234" t="s">
        <v>89</v>
      </c>
      <c r="C3" s="234" t="s">
        <v>132</v>
      </c>
      <c r="D3" s="234" t="s">
        <v>91</v>
      </c>
      <c r="E3" s="234" t="s">
        <v>92</v>
      </c>
      <c r="F3" s="234" t="s">
        <v>46</v>
      </c>
    </row>
    <row r="4" spans="1:6" ht="15">
      <c r="A4" s="21" t="s">
        <v>0</v>
      </c>
      <c r="B4" s="22">
        <f>'B-1 2002  PILS Recoveries'!J13+'B-2 2003 PILS Recoveries'!J15+'B-3 2004 PILS Recoveries'!J15</f>
        <v>304035.280866</v>
      </c>
      <c r="C4" s="22">
        <f>'B-1 2002  PILS Recoveries'!M13+'B-2 2003 PILS Recoveries'!M15+'B-3 2004 PILS Recoveries'!M15</f>
        <v>871779.635331</v>
      </c>
      <c r="D4" s="22">
        <f>'B-3 2004 PILS Recoveries'!O15+'B-4 2005 PILS Recoveries'!O15</f>
        <v>461084.20904</v>
      </c>
      <c r="E4" s="22">
        <f>'B-4 2005 PILS Recoveries'!Q15+'B-5 2006  PILS Recoveries'!Q15</f>
        <v>437068.17176076147</v>
      </c>
      <c r="F4" s="22">
        <f aca="true" t="shared" si="0" ref="F4:F9">SUM(B4:E4)</f>
        <v>2073967.2969977616</v>
      </c>
    </row>
    <row r="5" spans="1:6" ht="15">
      <c r="A5" s="21" t="s">
        <v>124</v>
      </c>
      <c r="B5" s="22">
        <f>'B-1 2002  PILS Recoveries'!J25+'B-2 2003 PILS Recoveries'!J29+'B-3 2004 PILS Recoveries'!J29</f>
        <v>146985.0394232</v>
      </c>
      <c r="C5" s="22">
        <f>'B-1 2002  PILS Recoveries'!M25+'B-2 2003 PILS Recoveries'!M29+'B-3 2004 PILS Recoveries'!M29</f>
        <v>421625.5440947999</v>
      </c>
      <c r="D5" s="22">
        <f>'B-3 2004 PILS Recoveries'!O29+'B-4 2005 PILS Recoveries'!O29</f>
        <v>205957.19766</v>
      </c>
      <c r="E5" s="22">
        <f>'B-4 2005 PILS Recoveries'!Q29+'B-5 2006  PILS Recoveries'!Q29</f>
        <v>182966.69820751282</v>
      </c>
      <c r="F5" s="22">
        <f t="shared" si="0"/>
        <v>957534.4793855128</v>
      </c>
    </row>
    <row r="6" spans="1:6" ht="15">
      <c r="A6" s="21" t="s">
        <v>111</v>
      </c>
      <c r="B6" s="22">
        <f>'B-1 2002  PILS Recoveries'!J38+'B-2 2003 PILS Recoveries'!J44+'B-3 2004 PILS Recoveries'!J44</f>
        <v>181786.06753298</v>
      </c>
      <c r="C6" s="22">
        <f>'B-1 2002  PILS Recoveries'!M38+'B-2 2003 PILS Recoveries'!M44+'B-3 2004 PILS Recoveries'!M44</f>
        <v>521293.44205164</v>
      </c>
      <c r="D6" s="22">
        <f>'B-3 2004 PILS Recoveries'!O44+'B-4 2005 PILS Recoveries'!O44</f>
        <v>377917.48955399997</v>
      </c>
      <c r="E6" s="22">
        <f>'B-4 2005 PILS Recoveries'!Q44+'B-5 2006  PILS Recoveries'!Q44</f>
        <v>219763.81484</v>
      </c>
      <c r="F6" s="22">
        <f t="shared" si="0"/>
        <v>1300760.8139786199</v>
      </c>
    </row>
    <row r="7" spans="1:6" ht="15">
      <c r="A7" s="21" t="s">
        <v>112</v>
      </c>
      <c r="B7" s="22">
        <f>'B-1 2002  PILS Recoveries'!J50+'B-2 2003 PILS Recoveries'!J58+'B-3 2004 PILS Recoveries'!J58</f>
        <v>17987.0547394</v>
      </c>
      <c r="C7" s="22">
        <f>'B-1 2002  PILS Recoveries'!M50+'B-2 2003 PILS Recoveries'!M58+'B-3 2004 PILS Recoveries'!M58</f>
        <v>51580.28069310001</v>
      </c>
      <c r="D7" s="22">
        <f>'B-3 2004 PILS Recoveries'!O58+'B-4 2005 PILS Recoveries'!O58</f>
        <v>28028.008948000002</v>
      </c>
      <c r="E7" s="22">
        <f>'B-4 2005 PILS Recoveries'!Q58+'B-5 2006  PILS Recoveries'!Q58</f>
        <v>32455.24568</v>
      </c>
      <c r="F7" s="22">
        <f t="shared" si="0"/>
        <v>130050.59006050002</v>
      </c>
    </row>
    <row r="8" spans="1:6" ht="15">
      <c r="A8" s="21" t="s">
        <v>2</v>
      </c>
      <c r="B8" s="22">
        <f>'B-1 2002  PILS Recoveries'!J62+'B-2 2003 PILS Recoveries'!J72+'B-3 2004 PILS Recoveries'!J72</f>
        <v>2458.366403</v>
      </c>
      <c r="C8" s="22">
        <f>'B-1 2002  PILS Recoveries'!M62+'B-2 2003 PILS Recoveries'!M72+'B-3 2004 PILS Recoveries'!M72</f>
        <v>7050.8572030000005</v>
      </c>
      <c r="D8" s="22">
        <f>'B-3 2004 PILS Recoveries'!O72+'B-4 2005 PILS Recoveries'!O72</f>
        <v>3033.351608</v>
      </c>
      <c r="E8" s="22">
        <f>'B-4 2005 PILS Recoveries'!Q72+'B-5 2006  PILS Recoveries'!Q72</f>
        <v>2147.7596375000003</v>
      </c>
      <c r="F8" s="22">
        <f t="shared" si="0"/>
        <v>14690.3348515</v>
      </c>
    </row>
    <row r="9" spans="1:6" ht="15.75" thickBot="1">
      <c r="A9" s="21" t="s">
        <v>3</v>
      </c>
      <c r="B9" s="22">
        <f>'B-1 2002  PILS Recoveries'!J74+'B-2 2003 PILS Recoveries'!J86+'B-3 2004 PILS Recoveries'!J86</f>
        <v>6817.533886400001</v>
      </c>
      <c r="C9" s="22">
        <f>'B-1 2002  PILS Recoveries'!M74+'B-2 2003 PILS Recoveries'!M86+'B-3 2004 PILS Recoveries'!M86</f>
        <v>19545.258744799998</v>
      </c>
      <c r="D9" s="22">
        <f>'B-3 2004 PILS Recoveries'!O86+'B-4 2005 PILS Recoveries'!O86</f>
        <v>11801.929094000001</v>
      </c>
      <c r="E9" s="22">
        <f>'B-4 2005 PILS Recoveries'!Q86+'B-5 2006  PILS Recoveries'!Q86</f>
        <v>11264.9313</v>
      </c>
      <c r="F9" s="22">
        <f t="shared" si="0"/>
        <v>49429.653025199994</v>
      </c>
    </row>
    <row r="10" spans="1:6" ht="15.75" thickBot="1">
      <c r="A10" s="126" t="s">
        <v>24</v>
      </c>
      <c r="B10" s="128">
        <f>SUM(B4:B9)</f>
        <v>660069.3428509801</v>
      </c>
      <c r="C10" s="128">
        <f>SUM(C4:C9)</f>
        <v>1892875.0181183398</v>
      </c>
      <c r="D10" s="128">
        <f>SUM(D4:D9)</f>
        <v>1087822.185904</v>
      </c>
      <c r="E10" s="128">
        <f>SUM(E4:E9)</f>
        <v>885666.6214257744</v>
      </c>
      <c r="F10" s="128">
        <f>SUM(F4:F9)</f>
        <v>4526433.168299094</v>
      </c>
    </row>
    <row r="11" ht="15">
      <c r="A11" t="s">
        <v>125</v>
      </c>
    </row>
    <row r="12" ht="15.75" thickBot="1"/>
    <row r="13" spans="2:6" ht="15.75" thickBot="1">
      <c r="B13" s="161" t="s">
        <v>126</v>
      </c>
      <c r="C13" s="162"/>
      <c r="D13" s="162"/>
      <c r="E13" s="162"/>
      <c r="F13" s="164"/>
    </row>
    <row r="14" spans="1:6" ht="15">
      <c r="A14" s="131" t="s">
        <v>26</v>
      </c>
      <c r="B14" s="132">
        <v>2002</v>
      </c>
      <c r="C14" s="132">
        <v>2003</v>
      </c>
      <c r="D14" s="132">
        <v>2004</v>
      </c>
      <c r="E14" s="132">
        <v>2005</v>
      </c>
      <c r="F14" s="133">
        <v>2006</v>
      </c>
    </row>
    <row r="15" spans="1:6" ht="15">
      <c r="A15" s="24" t="s">
        <v>34</v>
      </c>
      <c r="B15" s="129">
        <v>0</v>
      </c>
      <c r="C15" s="129">
        <f>'B-2 2003 PILS Recoveries'!R3+'B-2 2003 PILS Recoveries'!R17+'B-2 2003 PILS Recoveries'!R32+'B-2 2003 PILS Recoveries'!R46+'B-2 2003 PILS Recoveries'!R60+'B-2 2003 PILS Recoveries'!R74</f>
        <v>105318.476412</v>
      </c>
      <c r="D15" s="129">
        <f>'B-3 2004 PILS Recoveries'!R3+'B-3 2004 PILS Recoveries'!R17+'B-3 2004 PILS Recoveries'!R32+'B-3 2004 PILS Recoveries'!R46+'B-3 2004 PILS Recoveries'!R60+'B-3 2004 PILS Recoveries'!R74</f>
        <v>105653.06765299999</v>
      </c>
      <c r="E15" s="129">
        <f>'B-4 2005 PILS Recoveries'!R3+'B-4 2005 PILS Recoveries'!R17+'B-4 2005 PILS Recoveries'!R32+'B-4 2005 PILS Recoveries'!R46+'B-4 2005 PILS Recoveries'!R60+'B-4 2005 PILS Recoveries'!R74</f>
        <v>100885.14504</v>
      </c>
      <c r="F15" s="134">
        <f>'B-5 2006  PILS Recoveries'!R3+'B-5 2006  PILS Recoveries'!R17+'B-5 2006  PILS Recoveries'!R32+'B-5 2006  PILS Recoveries'!R46+'B-5 2006  PILS Recoveries'!R60+'B-5 2006  PILS Recoveries'!R74</f>
        <v>74325.33719416666</v>
      </c>
    </row>
    <row r="16" spans="1:6" ht="15">
      <c r="A16" s="24" t="s">
        <v>35</v>
      </c>
      <c r="B16" s="129">
        <v>0</v>
      </c>
      <c r="C16" s="129">
        <f>'B-2 2003 PILS Recoveries'!R4+'B-2 2003 PILS Recoveries'!R18+'B-2 2003 PILS Recoveries'!R33+'B-2 2003 PILS Recoveries'!R47+'B-2 2003 PILS Recoveries'!R61+'B-2 2003 PILS Recoveries'!R75</f>
        <v>119547.52121699999</v>
      </c>
      <c r="D16" s="129">
        <f>'B-3 2004 PILS Recoveries'!R4+'B-3 2004 PILS Recoveries'!R18+'B-3 2004 PILS Recoveries'!R33+'B-3 2004 PILS Recoveries'!R47+'B-3 2004 PILS Recoveries'!R61+'B-3 2004 PILS Recoveries'!R75</f>
        <v>114519.41829799999</v>
      </c>
      <c r="E16" s="129">
        <f>'B-4 2005 PILS Recoveries'!R4+'B-4 2005 PILS Recoveries'!R18+'B-4 2005 PILS Recoveries'!R33+'B-4 2005 PILS Recoveries'!R47+'B-4 2005 PILS Recoveries'!R61+'B-4 2005 PILS Recoveries'!R75</f>
        <v>114840.956915</v>
      </c>
      <c r="F16" s="134">
        <f>'B-5 2006  PILS Recoveries'!R4+'B-5 2006  PILS Recoveries'!R18+'B-5 2006  PILS Recoveries'!R33+'B-5 2006  PILS Recoveries'!R47+'B-5 2006  PILS Recoveries'!R61+'B-5 2006  PILS Recoveries'!R75</f>
        <v>84209.3793175</v>
      </c>
    </row>
    <row r="17" spans="1:6" ht="15">
      <c r="A17" s="24" t="s">
        <v>36</v>
      </c>
      <c r="B17" s="129">
        <f>'B-1 2002  PILS Recoveries'!R3+'B-1 2002  PILS Recoveries'!R15+'B-1 2002  PILS Recoveries'!R28+'B-1 2002  PILS Recoveries'!R40+'B-1 2002  PILS Recoveries'!R52+'B-1 2002  PILS Recoveries'!R64</f>
        <v>101886.47184462001</v>
      </c>
      <c r="C17" s="129">
        <f>'B-2 2003 PILS Recoveries'!R5+'B-2 2003 PILS Recoveries'!R19+'B-2 2003 PILS Recoveries'!R34+'B-2 2003 PILS Recoveries'!R48+'B-2 2003 PILS Recoveries'!R62+'B-2 2003 PILS Recoveries'!R76</f>
        <v>99794.988854</v>
      </c>
      <c r="D17" s="129">
        <f>'B-3 2004 PILS Recoveries'!R5+'B-3 2004 PILS Recoveries'!R19+'B-3 2004 PILS Recoveries'!R34+'B-3 2004 PILS Recoveries'!R48+'B-3 2004 PILS Recoveries'!R62+'B-3 2004 PILS Recoveries'!R76</f>
        <v>174005.340236</v>
      </c>
      <c r="E17" s="129">
        <f>'B-4 2005 PILS Recoveries'!R5+'B-4 2005 PILS Recoveries'!R19+'B-4 2005 PILS Recoveries'!R34+'B-4 2005 PILS Recoveries'!R48+'B-4 2005 PILS Recoveries'!R62+'B-4 2005 PILS Recoveries'!R76</f>
        <v>240603.044245</v>
      </c>
      <c r="F17" s="134">
        <f>'B-5 2006  PILS Recoveries'!R5+'B-5 2006  PILS Recoveries'!R19+'B-5 2006  PILS Recoveries'!R34+'B-5 2006  PILS Recoveries'!R48+'B-5 2006  PILS Recoveries'!R62+'B-5 2006  PILS Recoveries'!R76</f>
        <v>76951.19025749998</v>
      </c>
    </row>
    <row r="18" spans="1:6" ht="15">
      <c r="A18" s="24" t="s">
        <v>37</v>
      </c>
      <c r="B18" s="129">
        <f>'B-1 2002  PILS Recoveries'!R4+'B-1 2002  PILS Recoveries'!R16+'B-1 2002  PILS Recoveries'!R29+'B-1 2002  PILS Recoveries'!R41+'B-1 2002  PILS Recoveries'!R53+'B-1 2002  PILS Recoveries'!R65</f>
        <v>100843.42716069998</v>
      </c>
      <c r="C18" s="129">
        <f>'B-2 2003 PILS Recoveries'!R6+'B-2 2003 PILS Recoveries'!R20+'B-2 2003 PILS Recoveries'!R35+'B-2 2003 PILS Recoveries'!R49+'B-2 2003 PILS Recoveries'!R63+'B-2 2003 PILS Recoveries'!R77</f>
        <v>109880.87858100001</v>
      </c>
      <c r="D18" s="129">
        <f>'B-3 2004 PILS Recoveries'!R6+'B-3 2004 PILS Recoveries'!R20+'B-3 2004 PILS Recoveries'!R35+'B-3 2004 PILS Recoveries'!R49+'B-3 2004 PILS Recoveries'!R63+'B-3 2004 PILS Recoveries'!R77</f>
        <v>524.907538</v>
      </c>
      <c r="E18" s="129">
        <f>'B-4 2005 PILS Recoveries'!R6+'B-4 2005 PILS Recoveries'!R20+'B-4 2005 PILS Recoveries'!R35+'B-4 2005 PILS Recoveries'!R49+'B-4 2005 PILS Recoveries'!R63+'B-4 2005 PILS Recoveries'!R77</f>
        <v>603.9098</v>
      </c>
      <c r="F18" s="134">
        <f>'B-5 2006  PILS Recoveries'!R6+'B-5 2006  PILS Recoveries'!R20+'B-5 2006  PILS Recoveries'!R35+'B-5 2006  PILS Recoveries'!R49+'B-5 2006  PILS Recoveries'!R63+'B-5 2006  PILS Recoveries'!R77</f>
        <v>75598.7001</v>
      </c>
    </row>
    <row r="19" spans="1:6" ht="15">
      <c r="A19" s="24" t="s">
        <v>134</v>
      </c>
      <c r="B19" s="129">
        <f>'B-1 2002  PILS Recoveries'!R5+'B-1 2002  PILS Recoveries'!R17+'B-1 2002  PILS Recoveries'!R30+'B-1 2002  PILS Recoveries'!R42+'B-1 2002  PILS Recoveries'!R54+'B-1 2002  PILS Recoveries'!R66</f>
        <v>55866.517101</v>
      </c>
      <c r="C19" s="129">
        <f>'B-2 2003 PILS Recoveries'!R7+'B-2 2003 PILS Recoveries'!R21+'B-2 2003 PILS Recoveries'!R36+'B-2 2003 PILS Recoveries'!R50+'B-2 2003 PILS Recoveries'!R64+'B-2 2003 PILS Recoveries'!R78</f>
        <v>106316.956879</v>
      </c>
      <c r="D19" s="129">
        <f>'B-3 2004 PILS Recoveries'!R7+'B-3 2004 PILS Recoveries'!R21+'B-3 2004 PILS Recoveries'!R36+'B-3 2004 PILS Recoveries'!R50+'B-3 2004 PILS Recoveries'!R64+'B-3 2004 PILS Recoveries'!R78</f>
        <v>56957.441127000006</v>
      </c>
      <c r="E19" s="129">
        <f>'B-4 2005 PILS Recoveries'!R7+'B-4 2005 PILS Recoveries'!R21+'B-4 2005 PILS Recoveries'!R36+'B-4 2005 PILS Recoveries'!R50+'B-4 2005 PILS Recoveries'!R64+'B-4 2005 PILS Recoveries'!R78</f>
        <v>41795.898799999995</v>
      </c>
      <c r="F19" s="134">
        <f>'B-5 2006  PILS Recoveries'!R7+'B-5 2006  PILS Recoveries'!R21+'B-5 2006  PILS Recoveries'!R36+'B-5 2006  PILS Recoveries'!R50+'B-5 2006  PILS Recoveries'!R64+'B-5 2006  PILS Recoveries'!R78</f>
        <v>89604.5967</v>
      </c>
    </row>
    <row r="20" spans="1:6" ht="15">
      <c r="A20" s="24" t="s">
        <v>38</v>
      </c>
      <c r="B20" s="129">
        <f>'B-1 2002  PILS Recoveries'!R6+'B-1 2002  PILS Recoveries'!R18+'B-1 2002  PILS Recoveries'!R31+'B-1 2002  PILS Recoveries'!R43+'B-1 2002  PILS Recoveries'!R55+'B-1 2002  PILS Recoveries'!R67</f>
        <v>87629.41372000001</v>
      </c>
      <c r="C20" s="129">
        <f>'B-2 2003 PILS Recoveries'!R8+'B-2 2003 PILS Recoveries'!R22+'B-2 2003 PILS Recoveries'!R37+'B-2 2003 PILS Recoveries'!R51+'B-2 2003 PILS Recoveries'!R65+'B-2 2003 PILS Recoveries'!R79</f>
        <v>102926.41579200001</v>
      </c>
      <c r="D20" s="129">
        <f>'B-3 2004 PILS Recoveries'!R8+'B-3 2004 PILS Recoveries'!R22+'B-3 2004 PILS Recoveries'!R37+'B-3 2004 PILS Recoveries'!R51+'B-3 2004 PILS Recoveries'!R65+'B-3 2004 PILS Recoveries'!R79</f>
        <v>82457.868309</v>
      </c>
      <c r="E20" s="129">
        <f>'B-4 2005 PILS Recoveries'!R8+'B-4 2005 PILS Recoveries'!R22+'B-4 2005 PILS Recoveries'!R37+'B-4 2005 PILS Recoveries'!R51+'B-4 2005 PILS Recoveries'!R65+'B-4 2005 PILS Recoveries'!R79</f>
        <v>58860.186299999994</v>
      </c>
      <c r="F20" s="134">
        <f>'B-5 2006  PILS Recoveries'!R8+'B-5 2006  PILS Recoveries'!R22+'B-5 2006  PILS Recoveries'!R37+'B-5 2006  PILS Recoveries'!R51+'B-5 2006  PILS Recoveries'!R65+'B-5 2006  PILS Recoveries'!R79</f>
        <v>0</v>
      </c>
    </row>
    <row r="21" spans="1:6" ht="15">
      <c r="A21" s="24" t="s">
        <v>39</v>
      </c>
      <c r="B21" s="129">
        <f>'B-1 2002  PILS Recoveries'!R7+'B-1 2002  PILS Recoveries'!R19+'B-1 2002  PILS Recoveries'!R32+'B-1 2002  PILS Recoveries'!R44+'B-1 2002  PILS Recoveries'!R56+'B-1 2002  PILS Recoveries'!R68</f>
        <v>95039.79082</v>
      </c>
      <c r="C21" s="129">
        <f>'B-2 2003 PILS Recoveries'!R9+'B-2 2003 PILS Recoveries'!R23+'B-2 2003 PILS Recoveries'!R38+'B-2 2003 PILS Recoveries'!R52+'B-2 2003 PILS Recoveries'!R66+'B-2 2003 PILS Recoveries'!R80</f>
        <v>96320.583129</v>
      </c>
      <c r="D21" s="129">
        <f>'B-3 2004 PILS Recoveries'!R9+'B-3 2004 PILS Recoveries'!R23+'B-3 2004 PILS Recoveries'!R38+'B-3 2004 PILS Recoveries'!R52+'B-3 2004 PILS Recoveries'!R66+'B-3 2004 PILS Recoveries'!R80</f>
        <v>78656.261577</v>
      </c>
      <c r="E21" s="129">
        <f>'B-4 2005 PILS Recoveries'!R9+'B-4 2005 PILS Recoveries'!R23+'B-4 2005 PILS Recoveries'!R38+'B-4 2005 PILS Recoveries'!R52+'B-4 2005 PILS Recoveries'!R66+'B-4 2005 PILS Recoveries'!R80</f>
        <v>62830.1448</v>
      </c>
      <c r="F21" s="134">
        <f>'B-5 2006  PILS Recoveries'!R9+'B-5 2006  PILS Recoveries'!R23+'B-5 2006  PILS Recoveries'!R38+'B-5 2006  PILS Recoveries'!R52+'B-5 2006  PILS Recoveries'!R66+'B-5 2006  PILS Recoveries'!R80</f>
        <v>0</v>
      </c>
    </row>
    <row r="22" spans="1:6" ht="15">
      <c r="A22" s="24" t="s">
        <v>40</v>
      </c>
      <c r="B22" s="129">
        <f>'B-1 2002  PILS Recoveries'!R8+'B-1 2002  PILS Recoveries'!R20+'B-1 2002  PILS Recoveries'!R33+'B-1 2002  PILS Recoveries'!R45+'B-1 2002  PILS Recoveries'!R57+'B-1 2002  PILS Recoveries'!R69</f>
        <v>102303.78456099998</v>
      </c>
      <c r="C22" s="129">
        <f>'B-2 2003 PILS Recoveries'!R10+'B-2 2003 PILS Recoveries'!R24+'B-2 2003 PILS Recoveries'!R39+'B-2 2003 PILS Recoveries'!R53+'B-2 2003 PILS Recoveries'!R67+'B-2 2003 PILS Recoveries'!R81</f>
        <v>98588.2117</v>
      </c>
      <c r="D22" s="129">
        <f>'B-3 2004 PILS Recoveries'!R10+'B-3 2004 PILS Recoveries'!R24+'B-3 2004 PILS Recoveries'!R39+'B-3 2004 PILS Recoveries'!R53+'B-3 2004 PILS Recoveries'!R67+'B-3 2004 PILS Recoveries'!R81</f>
        <v>81136.75142</v>
      </c>
      <c r="E22" s="129">
        <f>'B-4 2005 PILS Recoveries'!R10+'B-4 2005 PILS Recoveries'!R24+'B-4 2005 PILS Recoveries'!R39+'B-4 2005 PILS Recoveries'!R53+'B-4 2005 PILS Recoveries'!R67+'B-4 2005 PILS Recoveries'!R81</f>
        <v>71090.31809999999</v>
      </c>
      <c r="F22" s="134">
        <f>'B-5 2006  PILS Recoveries'!R10+'B-5 2006  PILS Recoveries'!R24+'B-5 2006  PILS Recoveries'!R39+'B-5 2006  PILS Recoveries'!R53+'B-5 2006  PILS Recoveries'!R67+'B-5 2006  PILS Recoveries'!R81</f>
        <v>0</v>
      </c>
    </row>
    <row r="23" spans="1:6" ht="15">
      <c r="A23" s="24" t="s">
        <v>41</v>
      </c>
      <c r="B23" s="129">
        <f>'B-1 2002  PILS Recoveries'!R9+'B-1 2002  PILS Recoveries'!R21+'B-1 2002  PILS Recoveries'!R34+'B-1 2002  PILS Recoveries'!R46+'B-1 2002  PILS Recoveries'!R58+'B-1 2002  PILS Recoveries'!R70</f>
        <v>98212.49968600001</v>
      </c>
      <c r="C23" s="129">
        <f>'B-2 2003 PILS Recoveries'!R11+'B-2 2003 PILS Recoveries'!R25+'B-2 2003 PILS Recoveries'!R40+'B-2 2003 PILS Recoveries'!R54+'B-2 2003 PILS Recoveries'!R68+'B-2 2003 PILS Recoveries'!R82</f>
        <v>99497.204618</v>
      </c>
      <c r="D23" s="129">
        <f>'B-3 2004 PILS Recoveries'!R11+'B-3 2004 PILS Recoveries'!R25+'B-3 2004 PILS Recoveries'!R40+'B-3 2004 PILS Recoveries'!R54+'B-3 2004 PILS Recoveries'!R68+'B-3 2004 PILS Recoveries'!R82</f>
        <v>82962.00626000001</v>
      </c>
      <c r="E23" s="129">
        <f>'B-4 2005 PILS Recoveries'!R11+'B-4 2005 PILS Recoveries'!R25+'B-4 2005 PILS Recoveries'!R40+'B-4 2005 PILS Recoveries'!R54+'B-4 2005 PILS Recoveries'!R68+'B-4 2005 PILS Recoveries'!R82</f>
        <v>-0.00016961928457021714</v>
      </c>
      <c r="F23" s="134">
        <f>'B-5 2006  PILS Recoveries'!R11+'B-5 2006  PILS Recoveries'!R25+'B-5 2006  PILS Recoveries'!R40+'B-5 2006  PILS Recoveries'!R54+'B-5 2006  PILS Recoveries'!R68+'B-5 2006  PILS Recoveries'!R82</f>
        <v>0</v>
      </c>
    </row>
    <row r="24" spans="1:6" ht="15">
      <c r="A24" s="24" t="s">
        <v>42</v>
      </c>
      <c r="B24" s="129">
        <f>'B-1 2002  PILS Recoveries'!R10+'B-1 2002  PILS Recoveries'!R22+'B-1 2002  PILS Recoveries'!R35+'B-1 2002  PILS Recoveries'!R47+'B-1 2002  PILS Recoveries'!R59+'B-1 2002  PILS Recoveries'!R71</f>
        <v>88344.852426</v>
      </c>
      <c r="C24" s="129">
        <f>'B-2 2003 PILS Recoveries'!R12+'B-2 2003 PILS Recoveries'!R26+'B-2 2003 PILS Recoveries'!R41+'B-2 2003 PILS Recoveries'!R55+'B-2 2003 PILS Recoveries'!R69+'B-2 2003 PILS Recoveries'!R83</f>
        <v>98051.65349999999</v>
      </c>
      <c r="D24" s="129">
        <f>'B-3 2004 PILS Recoveries'!R12+'B-3 2004 PILS Recoveries'!R26+'B-3 2004 PILS Recoveries'!R41+'B-3 2004 PILS Recoveries'!R55+'B-3 2004 PILS Recoveries'!R69+'B-3 2004 PILS Recoveries'!R83</f>
        <v>82594.32903200001</v>
      </c>
      <c r="E24" s="129">
        <f>'B-4 2005 PILS Recoveries'!R12+'B-4 2005 PILS Recoveries'!R26+'B-4 2005 PILS Recoveries'!R41+'B-4 2005 PILS Recoveries'!R55+'B-4 2005 PILS Recoveries'!R69+'B-4 2005 PILS Recoveries'!R83</f>
        <v>42891.01304333333</v>
      </c>
      <c r="F24" s="134">
        <f>'B-5 2006  PILS Recoveries'!R12+'B-5 2006  PILS Recoveries'!R26+'B-5 2006  PILS Recoveries'!R41+'B-5 2006  PILS Recoveries'!R55+'B-5 2006  PILS Recoveries'!R69+'B-5 2006  PILS Recoveries'!R83</f>
        <v>0</v>
      </c>
    </row>
    <row r="25" spans="1:6" ht="15">
      <c r="A25" s="24" t="s">
        <v>43</v>
      </c>
      <c r="B25" s="129">
        <f>'B-1 2002  PILS Recoveries'!R11+'B-1 2002  PILS Recoveries'!R23+'B-1 2002  PILS Recoveries'!R36+'B-1 2002  PILS Recoveries'!R48+'B-1 2002  PILS Recoveries'!R60+'B-1 2002  PILS Recoveries'!R72</f>
        <v>85591.73453</v>
      </c>
      <c r="C25" s="129">
        <f>'B-2 2003 PILS Recoveries'!R13+'B-2 2003 PILS Recoveries'!R27+'B-2 2003 PILS Recoveries'!R42+'B-2 2003 PILS Recoveries'!R56+'B-2 2003 PILS Recoveries'!R70+'B-2 2003 PILS Recoveries'!R84</f>
        <v>94533.997785</v>
      </c>
      <c r="D25" s="129">
        <f>'B-3 2004 PILS Recoveries'!R13+'B-3 2004 PILS Recoveries'!R27+'B-3 2004 PILS Recoveries'!R42+'B-3 2004 PILS Recoveries'!R56+'B-3 2004 PILS Recoveries'!R70+'B-3 2004 PILS Recoveries'!R84</f>
        <v>77604.94851200002</v>
      </c>
      <c r="E25" s="129">
        <f>'B-4 2005 PILS Recoveries'!R13+'B-4 2005 PILS Recoveries'!R27+'B-4 2005 PILS Recoveries'!R42+'B-4 2005 PILS Recoveries'!R56+'B-4 2005 PILS Recoveries'!R70+'B-4 2005 PILS Recoveries'!R84</f>
        <v>107785.66097</v>
      </c>
      <c r="F25" s="134">
        <f>'B-5 2006  PILS Recoveries'!R13+'B-5 2006  PILS Recoveries'!R27+'B-5 2006  PILS Recoveries'!R42+'B-5 2006  PILS Recoveries'!R56+'B-5 2006  PILS Recoveries'!R70+'B-5 2006  PILS Recoveries'!R84</f>
        <v>0</v>
      </c>
    </row>
    <row r="26" spans="1:18" ht="15">
      <c r="A26" s="24" t="s">
        <v>44</v>
      </c>
      <c r="B26" s="129">
        <f>'B-1 2002  PILS Recoveries'!R12+'B-1 2002  PILS Recoveries'!R24+'B-1 2002  PILS Recoveries'!R37+'B-1 2002  PILS Recoveries'!R49+'B-1 2002  PILS Recoveries'!R61+'B-1 2002  PILS Recoveries'!R73</f>
        <v>110171.41120299998</v>
      </c>
      <c r="C26" s="129">
        <f>'B-2 2003 PILS Recoveries'!R14+'B-2 2003 PILS Recoveries'!R28+'B-2 2003 PILS Recoveries'!R43+'B-2 2003 PILS Recoveries'!R57+'B-2 2003 PILS Recoveries'!R71+'B-2 2003 PILS Recoveries'!R85</f>
        <v>102099.74326300003</v>
      </c>
      <c r="D26" s="129">
        <f>'B-3 2004 PILS Recoveries'!R14+'B-3 2004 PILS Recoveries'!R28+'B-3 2004 PILS Recoveries'!R43+'B-3 2004 PILS Recoveries'!R57+'B-3 2004 PILS Recoveries'!R71+'B-3 2004 PILS Recoveries'!R85</f>
        <v>88598.525929</v>
      </c>
      <c r="E26" s="129">
        <f>'B-4 2005 PILS Recoveries'!R14+'B-4 2005 PILS Recoveries'!R28+'B-4 2005 PILS Recoveries'!R43+'B-4 2005 PILS Recoveries'!R57+'B-4 2005 PILS Recoveries'!R71+'B-4 2005 PILS Recoveries'!R85</f>
        <v>99120.28621289355</v>
      </c>
      <c r="F26" s="134">
        <f>'B-5 2006  PILS Recoveries'!R14+'B-5 2006  PILS Recoveries'!R28+'B-5 2006  PILS Recoveries'!R43+'B-5 2006  PILS Recoveries'!R57+'B-5 2006  PILS Recoveries'!R71+'B-5 2006  PILS Recoveries'!R85</f>
        <v>0</v>
      </c>
      <c r="L26" s="148"/>
      <c r="M26" s="149"/>
      <c r="N26" s="149"/>
      <c r="O26" s="149"/>
      <c r="P26" s="149"/>
      <c r="Q26" s="149"/>
      <c r="R26" s="149"/>
    </row>
    <row r="27" spans="1:18" ht="15">
      <c r="A27" s="135" t="s">
        <v>93</v>
      </c>
      <c r="B27" s="130">
        <f>SUM(B15:B26)</f>
        <v>925889.90305232</v>
      </c>
      <c r="C27" s="130">
        <f>SUM(C15:C26)</f>
        <v>1232876.6317299998</v>
      </c>
      <c r="D27" s="130">
        <f>SUM(D15:D26)</f>
        <v>1025670.8658910001</v>
      </c>
      <c r="E27" s="130">
        <f>SUM(E15:E26)</f>
        <v>941306.5640566075</v>
      </c>
      <c r="F27" s="136">
        <f>SUM(F15:F26)</f>
        <v>400689.20356916665</v>
      </c>
      <c r="L27" s="148"/>
      <c r="M27" s="150"/>
      <c r="N27" s="150"/>
      <c r="O27" s="150"/>
      <c r="P27" s="150"/>
      <c r="Q27" s="150"/>
      <c r="R27" s="149"/>
    </row>
    <row r="28" spans="1:18" ht="15.75" thickBot="1">
      <c r="A28" s="137" t="s">
        <v>94</v>
      </c>
      <c r="B28" s="138">
        <f>B27</f>
        <v>925889.90305232</v>
      </c>
      <c r="C28" s="138">
        <f>C27+B28</f>
        <v>2158766.53478232</v>
      </c>
      <c r="D28" s="138">
        <f>D27+C28</f>
        <v>3184437.40067332</v>
      </c>
      <c r="E28" s="138">
        <f>E27+D28</f>
        <v>4125743.9647299275</v>
      </c>
      <c r="F28" s="139">
        <f>F27+E28</f>
        <v>4526433.168299094</v>
      </c>
      <c r="L28" s="149"/>
      <c r="M28" s="150"/>
      <c r="N28" s="149"/>
      <c r="O28" s="150"/>
      <c r="P28" s="150"/>
      <c r="Q28" s="150"/>
      <c r="R28" s="149"/>
    </row>
    <row r="29" spans="1:18" ht="15">
      <c r="A29" s="235" t="s">
        <v>135</v>
      </c>
      <c r="L29" s="149"/>
      <c r="M29" s="149"/>
      <c r="N29" s="149"/>
      <c r="O29" s="150"/>
      <c r="P29" s="149"/>
      <c r="Q29" s="149"/>
      <c r="R29" s="149"/>
    </row>
    <row r="30" spans="12:18" ht="15.75" thickBot="1">
      <c r="L30" s="149"/>
      <c r="M30" s="149"/>
      <c r="N30" s="149"/>
      <c r="O30" s="150"/>
      <c r="P30" s="149"/>
      <c r="Q30" s="149"/>
      <c r="R30" s="149"/>
    </row>
    <row r="31" spans="2:18" ht="15.75" thickBot="1">
      <c r="B31" s="161" t="s">
        <v>128</v>
      </c>
      <c r="C31" s="162"/>
      <c r="D31" s="162"/>
      <c r="E31" s="162"/>
      <c r="F31" s="163"/>
      <c r="G31" s="140"/>
      <c r="L31" s="151"/>
      <c r="M31" s="149"/>
      <c r="N31" s="149"/>
      <c r="O31" s="149"/>
      <c r="P31" s="152"/>
      <c r="Q31" s="152"/>
      <c r="R31" s="152"/>
    </row>
    <row r="32" spans="1:18" ht="15.75" thickBot="1">
      <c r="A32" s="127" t="s">
        <v>96</v>
      </c>
      <c r="B32" s="232" t="s">
        <v>89</v>
      </c>
      <c r="C32" s="232" t="s">
        <v>90</v>
      </c>
      <c r="D32" s="232" t="s">
        <v>95</v>
      </c>
      <c r="E32" s="232" t="s">
        <v>91</v>
      </c>
      <c r="F32" s="232" t="s">
        <v>92</v>
      </c>
      <c r="G32" s="233" t="s">
        <v>6</v>
      </c>
      <c r="L32" s="151"/>
      <c r="M32" s="149"/>
      <c r="N32" s="149"/>
      <c r="O32" s="149"/>
      <c r="P32" s="152"/>
      <c r="Q32" s="152"/>
      <c r="R32" s="152"/>
    </row>
    <row r="33" spans="1:18" ht="15">
      <c r="A33" s="46">
        <v>2002</v>
      </c>
      <c r="B33" s="47">
        <f>'B-1 2002  PILS Recoveries'!J76</f>
        <v>239391.84580897997</v>
      </c>
      <c r="C33" s="47">
        <f>'B-1 2002  PILS Recoveries'!M76</f>
        <v>686498.0572433398</v>
      </c>
      <c r="D33" s="47">
        <f>'B-1 2002  PILS Recoveries'!N76</f>
        <v>0</v>
      </c>
      <c r="E33" s="47"/>
      <c r="F33" s="47"/>
      <c r="G33" s="153">
        <f>SUM(B33:F33)</f>
        <v>925889.9030523198</v>
      </c>
      <c r="L33" s="151"/>
      <c r="M33" s="149"/>
      <c r="N33" s="149"/>
      <c r="O33" s="149"/>
      <c r="P33" s="152"/>
      <c r="Q33" s="152"/>
      <c r="R33" s="152"/>
    </row>
    <row r="34" spans="1:18" ht="15">
      <c r="A34" s="15">
        <v>2003</v>
      </c>
      <c r="B34" s="22">
        <f>'B-2 2003 PILS Recoveries'!J88</f>
        <v>318762.689357</v>
      </c>
      <c r="C34" s="22"/>
      <c r="D34" s="22">
        <f>'B-2 2003 PILS Recoveries'!M88</f>
        <v>914113.9423729999</v>
      </c>
      <c r="E34" s="22"/>
      <c r="F34" s="22"/>
      <c r="G34" s="154">
        <f>SUM(B34:F34)</f>
        <v>1232876.6317299998</v>
      </c>
      <c r="L34" s="151"/>
      <c r="M34" s="149"/>
      <c r="N34" s="149"/>
      <c r="O34" s="149"/>
      <c r="P34" s="152"/>
      <c r="Q34" s="152"/>
      <c r="R34" s="152"/>
    </row>
    <row r="35" spans="1:18" ht="15">
      <c r="A35" s="15">
        <v>2004</v>
      </c>
      <c r="B35" s="22">
        <f>'B-3 2004 PILS Recoveries'!J88</f>
        <v>101914.807685</v>
      </c>
      <c r="C35" s="22"/>
      <c r="D35" s="22">
        <f>'B-3 2004 PILS Recoveries'!M88</f>
        <v>292263.018502</v>
      </c>
      <c r="E35" s="22">
        <f>'B-3 2004 PILS Recoveries'!O88</f>
        <v>631493.039704</v>
      </c>
      <c r="F35" s="22"/>
      <c r="G35" s="154">
        <f>SUM(B35:F35)</f>
        <v>1025670.865891</v>
      </c>
      <c r="L35" s="151"/>
      <c r="M35" s="149"/>
      <c r="N35" s="149"/>
      <c r="O35" s="149"/>
      <c r="P35" s="152"/>
      <c r="Q35" s="152"/>
      <c r="R35" s="152"/>
    </row>
    <row r="36" spans="1:18" ht="15">
      <c r="A36" s="15">
        <v>2005</v>
      </c>
      <c r="B36" s="22"/>
      <c r="C36" s="22"/>
      <c r="D36" s="22"/>
      <c r="E36" s="22">
        <f>'B-4 2005 PILS Recoveries'!O88</f>
        <v>456329.14619999996</v>
      </c>
      <c r="F36" s="22">
        <f>'B-4 2005 PILS Recoveries'!Q88</f>
        <v>484977.4178566076</v>
      </c>
      <c r="G36" s="154">
        <f>SUM(B36:F36)</f>
        <v>941306.5640566075</v>
      </c>
      <c r="L36" s="151"/>
      <c r="M36" s="149"/>
      <c r="N36" s="149"/>
      <c r="O36" s="149"/>
      <c r="P36" s="152"/>
      <c r="Q36" s="152"/>
      <c r="R36" s="152"/>
    </row>
    <row r="37" spans="1:18" ht="15.75" thickBot="1">
      <c r="A37" s="236" t="s">
        <v>129</v>
      </c>
      <c r="B37" s="48"/>
      <c r="C37" s="48"/>
      <c r="D37" s="48"/>
      <c r="E37" s="48"/>
      <c r="F37" s="48">
        <f>'B-5 2006  PILS Recoveries'!Q88</f>
        <v>400689.2035691667</v>
      </c>
      <c r="G37" s="155">
        <f>SUM(B37:F37)</f>
        <v>400689.2035691667</v>
      </c>
      <c r="L37" s="151"/>
      <c r="M37" s="149"/>
      <c r="N37" s="149"/>
      <c r="O37" s="149"/>
      <c r="P37" s="152"/>
      <c r="Q37" s="152"/>
      <c r="R37" s="152"/>
    </row>
    <row r="38" spans="1:18" ht="15.75" thickBot="1">
      <c r="A38" s="124" t="s">
        <v>6</v>
      </c>
      <c r="B38" s="125">
        <f aca="true" t="shared" si="1" ref="B38:G38">SUM(B33:B37)</f>
        <v>660069.34285098</v>
      </c>
      <c r="C38" s="125">
        <f t="shared" si="1"/>
        <v>686498.0572433398</v>
      </c>
      <c r="D38" s="125">
        <f t="shared" si="1"/>
        <v>1206376.9608749999</v>
      </c>
      <c r="E38" s="125">
        <f t="shared" si="1"/>
        <v>1087822.185904</v>
      </c>
      <c r="F38" s="125">
        <f t="shared" si="1"/>
        <v>885666.6214257743</v>
      </c>
      <c r="G38" s="125">
        <f t="shared" si="1"/>
        <v>4526433.168299094</v>
      </c>
      <c r="L38" s="149"/>
      <c r="M38" s="149"/>
      <c r="N38" s="149"/>
      <c r="O38" s="149"/>
      <c r="P38" s="152"/>
      <c r="Q38" s="152"/>
      <c r="R38" s="152"/>
    </row>
    <row r="39" spans="1:18" ht="15">
      <c r="A39" s="235" t="s">
        <v>135</v>
      </c>
      <c r="L39" s="149"/>
      <c r="M39" s="149"/>
      <c r="N39" s="149"/>
      <c r="O39" s="150"/>
      <c r="P39" s="149"/>
      <c r="Q39" s="149"/>
      <c r="R39" s="149"/>
    </row>
    <row r="40" spans="12:18" ht="15">
      <c r="L40" s="149"/>
      <c r="M40" s="149"/>
      <c r="N40" s="149"/>
      <c r="O40" s="150"/>
      <c r="P40" s="149"/>
      <c r="Q40" s="149"/>
      <c r="R40" s="149"/>
    </row>
    <row r="41" spans="12:18" ht="15.75" thickBot="1">
      <c r="L41" s="149"/>
      <c r="M41" s="149"/>
      <c r="N41" s="149"/>
      <c r="O41" s="149"/>
      <c r="P41" s="149"/>
      <c r="Q41" s="149"/>
      <c r="R41" s="149"/>
    </row>
    <row r="42" spans="1:16" ht="30.75" thickBot="1">
      <c r="A42" s="127" t="s">
        <v>73</v>
      </c>
      <c r="B42" s="231" t="s">
        <v>88</v>
      </c>
      <c r="C42" s="231" t="s">
        <v>86</v>
      </c>
      <c r="D42" s="231" t="s">
        <v>101</v>
      </c>
      <c r="E42" s="231" t="s">
        <v>102</v>
      </c>
      <c r="F42" s="231" t="s">
        <v>87</v>
      </c>
      <c r="G42" s="231" t="s">
        <v>6</v>
      </c>
      <c r="J42" s="149"/>
      <c r="K42" s="149"/>
      <c r="L42" s="149"/>
      <c r="M42" s="149"/>
      <c r="N42" s="149"/>
      <c r="O42" s="149"/>
      <c r="P42" s="149"/>
    </row>
    <row r="43" spans="1:16" ht="15">
      <c r="A43" s="15" t="s">
        <v>74</v>
      </c>
      <c r="B43" s="25">
        <v>304090.4</v>
      </c>
      <c r="C43" s="25">
        <v>872014.4</v>
      </c>
      <c r="D43" s="25"/>
      <c r="E43" s="25"/>
      <c r="F43" s="25"/>
      <c r="G43" s="25">
        <f>SUM(B43:F43)</f>
        <v>1176104.8</v>
      </c>
      <c r="J43" s="151"/>
      <c r="K43" s="149"/>
      <c r="L43" s="149"/>
      <c r="M43" s="149"/>
      <c r="N43" s="152"/>
      <c r="O43" s="152"/>
      <c r="P43" s="152"/>
    </row>
    <row r="44" spans="1:16" ht="15">
      <c r="A44" s="15" t="s">
        <v>75</v>
      </c>
      <c r="B44" s="26">
        <v>304090.4</v>
      </c>
      <c r="C44" s="26"/>
      <c r="D44" s="26">
        <v>872014.4</v>
      </c>
      <c r="E44" s="26"/>
      <c r="F44" s="26"/>
      <c r="G44" s="26">
        <f>SUM(B44:F44)</f>
        <v>1176104.8</v>
      </c>
      <c r="J44" s="151"/>
      <c r="K44" s="149"/>
      <c r="L44" s="149"/>
      <c r="M44" s="149"/>
      <c r="N44" s="152"/>
      <c r="O44" s="152"/>
      <c r="P44" s="152"/>
    </row>
    <row r="45" spans="1:16" ht="15">
      <c r="A45" s="15" t="s">
        <v>76</v>
      </c>
      <c r="B45" s="26">
        <f>304090.4/12*3</f>
        <v>76022.6</v>
      </c>
      <c r="C45" s="26"/>
      <c r="D45" s="26"/>
      <c r="E45" s="26">
        <v>872014.4</v>
      </c>
      <c r="F45" s="26"/>
      <c r="G45" s="26">
        <f>SUM(B45:F45)</f>
        <v>948037</v>
      </c>
      <c r="J45" s="151"/>
      <c r="K45" s="149"/>
      <c r="L45" s="149"/>
      <c r="M45" s="149"/>
      <c r="N45" s="152"/>
      <c r="O45" s="152"/>
      <c r="P45" s="152"/>
    </row>
    <row r="46" spans="1:16" ht="15.75" thickBot="1">
      <c r="A46" s="15" t="s">
        <v>77</v>
      </c>
      <c r="B46" s="26"/>
      <c r="C46" s="26"/>
      <c r="D46" s="26"/>
      <c r="E46" s="26">
        <f>872014.4/12*3</f>
        <v>218003.6</v>
      </c>
      <c r="F46" s="26">
        <f>837782.35/12*13</f>
        <v>907597.5458333333</v>
      </c>
      <c r="G46" s="26">
        <f>SUM(B46:F46)</f>
        <v>1125601.1458333333</v>
      </c>
      <c r="J46" s="149"/>
      <c r="K46" s="149"/>
      <c r="L46" s="149"/>
      <c r="M46" s="149"/>
      <c r="N46" s="152"/>
      <c r="O46" s="152"/>
      <c r="P46" s="152"/>
    </row>
    <row r="47" spans="1:16" ht="15.75" thickBot="1">
      <c r="A47" s="124" t="s">
        <v>6</v>
      </c>
      <c r="B47" s="125">
        <f aca="true" t="shared" si="2" ref="B47:G47">SUM(B43:B46)</f>
        <v>684203.4</v>
      </c>
      <c r="C47" s="125">
        <f t="shared" si="2"/>
        <v>872014.4</v>
      </c>
      <c r="D47" s="125">
        <f t="shared" si="2"/>
        <v>872014.4</v>
      </c>
      <c r="E47" s="125">
        <f t="shared" si="2"/>
        <v>1090018</v>
      </c>
      <c r="F47" s="125">
        <f t="shared" si="2"/>
        <v>907597.5458333333</v>
      </c>
      <c r="G47" s="125">
        <f t="shared" si="2"/>
        <v>4425847.745833334</v>
      </c>
      <c r="J47" s="151"/>
      <c r="K47" s="149"/>
      <c r="L47" s="149"/>
      <c r="M47" s="149"/>
      <c r="N47" s="152"/>
      <c r="O47" s="152"/>
      <c r="P47" s="152"/>
    </row>
    <row r="48" spans="2:18" ht="15">
      <c r="B48" s="23"/>
      <c r="C48" s="23"/>
      <c r="D48" s="23"/>
      <c r="E48" s="23"/>
      <c r="F48" s="23"/>
      <c r="L48" s="149"/>
      <c r="M48" s="149"/>
      <c r="N48" s="149"/>
      <c r="O48" s="149"/>
      <c r="P48" s="152"/>
      <c r="Q48" s="152"/>
      <c r="R48" s="152"/>
    </row>
    <row r="49" spans="12:18" ht="15">
      <c r="L49" s="149"/>
      <c r="M49" s="149"/>
      <c r="N49" s="149"/>
      <c r="O49" s="149"/>
      <c r="P49" s="152"/>
      <c r="Q49" s="152"/>
      <c r="R49" s="152"/>
    </row>
    <row r="50" spans="12:18" ht="15.75" thickBot="1">
      <c r="L50" s="149"/>
      <c r="M50" s="149"/>
      <c r="N50" s="149"/>
      <c r="O50" s="149"/>
      <c r="P50" s="152"/>
      <c r="Q50" s="152"/>
      <c r="R50" s="152"/>
    </row>
    <row r="51" spans="1:18" ht="30.75" thickBot="1">
      <c r="A51" s="127" t="s">
        <v>103</v>
      </c>
      <c r="B51" s="230" t="s">
        <v>81</v>
      </c>
      <c r="C51" s="230" t="s">
        <v>82</v>
      </c>
      <c r="D51" s="230" t="s">
        <v>83</v>
      </c>
      <c r="E51" s="230" t="s">
        <v>84</v>
      </c>
      <c r="F51" s="230" t="s">
        <v>85</v>
      </c>
      <c r="G51" s="230" t="s">
        <v>6</v>
      </c>
      <c r="L51" s="151"/>
      <c r="M51" s="149"/>
      <c r="N51" s="149"/>
      <c r="O51" s="149"/>
      <c r="P51" s="152"/>
      <c r="Q51" s="152"/>
      <c r="R51" s="152"/>
    </row>
    <row r="52" spans="1:18" ht="15">
      <c r="A52" s="165" t="s">
        <v>100</v>
      </c>
      <c r="B52" s="166">
        <f>B47</f>
        <v>684203.4</v>
      </c>
      <c r="C52" s="166">
        <f>C47</f>
        <v>872014.4</v>
      </c>
      <c r="D52" s="166">
        <f>D47</f>
        <v>872014.4</v>
      </c>
      <c r="E52" s="166">
        <f>E47</f>
        <v>1090018</v>
      </c>
      <c r="F52" s="166">
        <f>F47</f>
        <v>907597.5458333333</v>
      </c>
      <c r="G52" s="167">
        <f>SUM(B52:F52)</f>
        <v>4425847.745833334</v>
      </c>
      <c r="L52" s="151"/>
      <c r="M52" s="149"/>
      <c r="N52" s="149"/>
      <c r="O52" s="149"/>
      <c r="P52" s="152"/>
      <c r="Q52" s="152"/>
      <c r="R52" s="152"/>
    </row>
    <row r="53" spans="1:18" ht="15">
      <c r="A53" s="156" t="s">
        <v>97</v>
      </c>
      <c r="B53" s="157">
        <f>B38</f>
        <v>660069.34285098</v>
      </c>
      <c r="C53" s="157">
        <f>C38</f>
        <v>686498.0572433398</v>
      </c>
      <c r="D53" s="157">
        <f>D38</f>
        <v>1206376.9608749999</v>
      </c>
      <c r="E53" s="157">
        <f>E38</f>
        <v>1087822.185904</v>
      </c>
      <c r="F53" s="157">
        <f>F38</f>
        <v>885666.6214257743</v>
      </c>
      <c r="G53" s="158">
        <f>SUM(B53:F53)</f>
        <v>4526433.168299094</v>
      </c>
      <c r="L53" s="151"/>
      <c r="M53" s="149"/>
      <c r="N53" s="149"/>
      <c r="O53" s="149"/>
      <c r="P53" s="152"/>
      <c r="Q53" s="152"/>
      <c r="R53" s="152"/>
    </row>
    <row r="54" spans="1:18" ht="30.75" thickBot="1">
      <c r="A54" s="159" t="s">
        <v>107</v>
      </c>
      <c r="B54" s="160">
        <f aca="true" t="shared" si="3" ref="B54:G54">B52-B53</f>
        <v>24134.057149020024</v>
      </c>
      <c r="C54" s="160">
        <f t="shared" si="3"/>
        <v>185516.3427566602</v>
      </c>
      <c r="D54" s="160">
        <f t="shared" si="3"/>
        <v>-334362.56087499985</v>
      </c>
      <c r="E54" s="160">
        <f t="shared" si="3"/>
        <v>2195.8140960000455</v>
      </c>
      <c r="F54" s="160">
        <f t="shared" si="3"/>
        <v>21930.92440755898</v>
      </c>
      <c r="G54" s="160">
        <f t="shared" si="3"/>
        <v>-100585.42246576026</v>
      </c>
      <c r="L54" s="151"/>
      <c r="M54" s="149"/>
      <c r="N54" s="149"/>
      <c r="O54" s="149"/>
      <c r="P54" s="152"/>
      <c r="Q54" s="152"/>
      <c r="R54" s="152"/>
    </row>
    <row r="55" spans="12:18" ht="15">
      <c r="L55" s="151"/>
      <c r="M55" s="149"/>
      <c r="N55" s="149"/>
      <c r="O55" s="149"/>
      <c r="P55" s="152"/>
      <c r="Q55" s="152"/>
      <c r="R55" s="152"/>
    </row>
    <row r="56" spans="1:18" s="1" customFormat="1" ht="30">
      <c r="A56" s="211" t="s">
        <v>131</v>
      </c>
      <c r="B56" s="212"/>
      <c r="C56" s="210"/>
      <c r="D56" s="229" t="s">
        <v>110</v>
      </c>
      <c r="L56" s="207"/>
      <c r="M56" s="207"/>
      <c r="N56" s="207"/>
      <c r="O56" s="207"/>
      <c r="P56" s="208"/>
      <c r="Q56" s="208"/>
      <c r="R56" s="208"/>
    </row>
    <row r="57" spans="1:18" s="16" customFormat="1" ht="15">
      <c r="A57" s="202" t="s">
        <v>130</v>
      </c>
      <c r="B57" s="203"/>
      <c r="C57" s="204"/>
      <c r="D57" s="209">
        <f>'A-2 Principal trueup'!H67</f>
        <v>-335921.6024657609</v>
      </c>
      <c r="L57" s="149"/>
      <c r="M57" s="149"/>
      <c r="N57" s="149"/>
      <c r="O57" s="149"/>
      <c r="P57" s="152"/>
      <c r="Q57" s="152"/>
      <c r="R57" s="152"/>
    </row>
    <row r="58" spans="1:18" ht="15">
      <c r="A58" s="64" t="s">
        <v>139</v>
      </c>
      <c r="B58" s="3"/>
      <c r="C58" s="79"/>
      <c r="D58" s="189">
        <f>'A-3 Interest Trueup'!H150</f>
        <v>-34481.28233691823</v>
      </c>
      <c r="L58" s="251"/>
      <c r="M58" s="252"/>
      <c r="N58" s="252"/>
      <c r="O58" s="252"/>
      <c r="P58" s="252"/>
      <c r="Q58" s="149"/>
      <c r="R58" s="149"/>
    </row>
    <row r="59" spans="1:18" ht="15">
      <c r="A59" s="197" t="s">
        <v>140</v>
      </c>
      <c r="B59" s="198"/>
      <c r="C59" s="200"/>
      <c r="D59" s="206">
        <f>D57+D58</f>
        <v>-370402.8848026791</v>
      </c>
      <c r="L59" s="251"/>
      <c r="M59" s="252"/>
      <c r="N59" s="252"/>
      <c r="O59" s="252"/>
      <c r="P59" s="252"/>
      <c r="Q59" s="252"/>
      <c r="R59" s="149"/>
    </row>
    <row r="60" spans="1:18" ht="15" hidden="1">
      <c r="A60" s="64" t="s">
        <v>108</v>
      </c>
      <c r="B60" s="78"/>
      <c r="C60" s="79">
        <f>'A-3 Interest Trueup'!H162+'A-3 Interest Trueup'!H163</f>
        <v>-52361.77978435048</v>
      </c>
      <c r="L60" s="251"/>
      <c r="M60" s="252"/>
      <c r="N60" s="252"/>
      <c r="O60" s="252"/>
      <c r="P60" s="252"/>
      <c r="Q60" s="252"/>
      <c r="R60" s="149"/>
    </row>
    <row r="61" spans="1:18" ht="15" hidden="1">
      <c r="A61" s="194" t="s">
        <v>109</v>
      </c>
      <c r="B61" s="195"/>
      <c r="C61" s="205">
        <f>C59+C60</f>
        <v>-52361.77978435048</v>
      </c>
      <c r="L61" s="151"/>
      <c r="M61" s="149"/>
      <c r="N61" s="149"/>
      <c r="O61" s="149"/>
      <c r="P61" s="149"/>
      <c r="Q61" s="149"/>
      <c r="R61" s="149"/>
    </row>
    <row r="62" ht="15" hidden="1">
      <c r="B62" s="74"/>
    </row>
    <row r="68" spans="2:6" ht="15">
      <c r="B68" s="23"/>
      <c r="C68" s="23"/>
      <c r="D68" s="23"/>
      <c r="E68" s="23"/>
      <c r="F68" s="23"/>
    </row>
  </sheetData>
  <sheetProtection/>
  <mergeCells count="3">
    <mergeCell ref="L58:P58"/>
    <mergeCell ref="L59:Q59"/>
    <mergeCell ref="L60:Q60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scale="70" r:id="rId1"/>
  <headerFooter>
    <oddHeader>&amp;ROrillia Power Distribution Corporation
EB-2011-0191
Filed: October 28, 2011
Appendix B</oddHeader>
    <oddFooter>&amp;C&amp;F
&amp;A&amp;RPage &amp;P 
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29" sqref="A1:H29"/>
    </sheetView>
  </sheetViews>
  <sheetFormatPr defaultColWidth="9.140625" defaultRowHeight="15"/>
  <cols>
    <col min="1" max="1" width="11.00390625" style="0" bestFit="1" customWidth="1"/>
    <col min="2" max="2" width="11.00390625" style="0" customWidth="1"/>
    <col min="3" max="8" width="12.421875" style="0" customWidth="1"/>
  </cols>
  <sheetData>
    <row r="1" spans="1:2" ht="15">
      <c r="A1" s="3"/>
      <c r="B1" s="3"/>
    </row>
    <row r="2" spans="1:9" ht="15">
      <c r="A2" s="84"/>
      <c r="B2" s="3"/>
      <c r="C2" s="3"/>
      <c r="D2" s="3"/>
      <c r="E2" s="3"/>
      <c r="F2" s="3"/>
      <c r="G2" s="3"/>
      <c r="H2" s="3"/>
      <c r="I2" s="3"/>
    </row>
    <row r="3" spans="1:9" ht="45">
      <c r="A3" s="113" t="s">
        <v>25</v>
      </c>
      <c r="B3" s="243" t="s">
        <v>26</v>
      </c>
      <c r="C3" s="243" t="s">
        <v>0</v>
      </c>
      <c r="D3" s="243" t="s">
        <v>124</v>
      </c>
      <c r="E3" s="243" t="s">
        <v>111</v>
      </c>
      <c r="F3" s="243" t="s">
        <v>112</v>
      </c>
      <c r="G3" s="243" t="s">
        <v>2</v>
      </c>
      <c r="H3" s="243" t="s">
        <v>45</v>
      </c>
      <c r="I3" s="18"/>
    </row>
    <row r="4" spans="1:8" ht="15">
      <c r="A4" s="106">
        <v>2002</v>
      </c>
      <c r="B4" s="106" t="s">
        <v>36</v>
      </c>
      <c r="C4" s="217">
        <v>10459</v>
      </c>
      <c r="D4" s="217">
        <v>1459</v>
      </c>
      <c r="E4" s="217">
        <v>139</v>
      </c>
      <c r="F4" s="219">
        <v>9</v>
      </c>
      <c r="G4" s="244">
        <v>288</v>
      </c>
      <c r="H4" s="217">
        <v>3444</v>
      </c>
    </row>
    <row r="5" spans="1:8" ht="15">
      <c r="A5" s="106">
        <v>2002</v>
      </c>
      <c r="B5" s="106" t="s">
        <v>37</v>
      </c>
      <c r="C5" s="217">
        <v>10461</v>
      </c>
      <c r="D5" s="217">
        <v>1445</v>
      </c>
      <c r="E5" s="217">
        <v>136</v>
      </c>
      <c r="F5" s="219">
        <v>9</v>
      </c>
      <c r="G5" s="244">
        <v>288</v>
      </c>
      <c r="H5" s="217">
        <v>3443</v>
      </c>
    </row>
    <row r="6" spans="1:8" ht="15">
      <c r="A6" s="106">
        <v>2002</v>
      </c>
      <c r="B6" s="106" t="s">
        <v>30</v>
      </c>
      <c r="C6" s="217">
        <v>10458</v>
      </c>
      <c r="D6" s="217">
        <v>1459</v>
      </c>
      <c r="E6" s="217">
        <v>135</v>
      </c>
      <c r="F6" s="219">
        <v>0</v>
      </c>
      <c r="G6" s="244">
        <v>288</v>
      </c>
      <c r="H6" s="217">
        <v>3440</v>
      </c>
    </row>
    <row r="7" spans="1:8" ht="15">
      <c r="A7" s="106">
        <v>2002</v>
      </c>
      <c r="B7" s="106" t="s">
        <v>38</v>
      </c>
      <c r="C7" s="217">
        <v>10466</v>
      </c>
      <c r="D7" s="217">
        <v>1457</v>
      </c>
      <c r="E7" s="217">
        <v>138</v>
      </c>
      <c r="F7" s="219">
        <v>9</v>
      </c>
      <c r="G7" s="244">
        <v>288</v>
      </c>
      <c r="H7" s="217">
        <v>3440</v>
      </c>
    </row>
    <row r="8" spans="1:8" ht="15">
      <c r="A8" s="106">
        <v>2002</v>
      </c>
      <c r="B8" s="106" t="s">
        <v>39</v>
      </c>
      <c r="C8" s="217">
        <v>10473</v>
      </c>
      <c r="D8" s="217">
        <v>1456</v>
      </c>
      <c r="E8" s="217">
        <v>137</v>
      </c>
      <c r="F8" s="219">
        <v>9</v>
      </c>
      <c r="G8" s="244">
        <v>288</v>
      </c>
      <c r="H8" s="217">
        <v>3440</v>
      </c>
    </row>
    <row r="9" spans="1:8" ht="15">
      <c r="A9" s="106">
        <v>2002</v>
      </c>
      <c r="B9" s="106" t="s">
        <v>40</v>
      </c>
      <c r="C9" s="217">
        <v>10478</v>
      </c>
      <c r="D9" s="217">
        <v>1456</v>
      </c>
      <c r="E9" s="217">
        <v>144</v>
      </c>
      <c r="F9" s="219">
        <v>9</v>
      </c>
      <c r="G9" s="244">
        <v>288</v>
      </c>
      <c r="H9" s="217">
        <v>3440</v>
      </c>
    </row>
    <row r="10" spans="1:8" ht="15">
      <c r="A10" s="106">
        <v>2002</v>
      </c>
      <c r="B10" s="106" t="s">
        <v>41</v>
      </c>
      <c r="C10" s="217">
        <v>10492</v>
      </c>
      <c r="D10" s="217">
        <v>1459</v>
      </c>
      <c r="E10" s="217">
        <v>147</v>
      </c>
      <c r="F10" s="219">
        <v>9</v>
      </c>
      <c r="G10" s="244">
        <v>288</v>
      </c>
      <c r="H10" s="217">
        <v>3440</v>
      </c>
    </row>
    <row r="11" spans="1:8" ht="15">
      <c r="A11" s="106">
        <v>2002</v>
      </c>
      <c r="B11" s="106" t="s">
        <v>42</v>
      </c>
      <c r="C11" s="217">
        <v>10510</v>
      </c>
      <c r="D11" s="217">
        <v>1465</v>
      </c>
      <c r="E11" s="217">
        <v>147</v>
      </c>
      <c r="F11" s="219">
        <v>9</v>
      </c>
      <c r="G11" s="244">
        <v>289</v>
      </c>
      <c r="H11" s="217">
        <v>3440</v>
      </c>
    </row>
    <row r="12" spans="1:8" ht="15">
      <c r="A12" s="106">
        <v>2002</v>
      </c>
      <c r="B12" s="106" t="s">
        <v>43</v>
      </c>
      <c r="C12" s="217">
        <v>10515</v>
      </c>
      <c r="D12" s="217">
        <v>1462</v>
      </c>
      <c r="E12" s="217">
        <v>147</v>
      </c>
      <c r="F12" s="219">
        <v>9</v>
      </c>
      <c r="G12" s="244">
        <v>287</v>
      </c>
      <c r="H12" s="217">
        <v>3440</v>
      </c>
    </row>
    <row r="13" spans="1:8" ht="15">
      <c r="A13" s="106">
        <v>2002</v>
      </c>
      <c r="B13" s="106" t="s">
        <v>44</v>
      </c>
      <c r="C13" s="217">
        <v>10538</v>
      </c>
      <c r="D13" s="217">
        <v>1458</v>
      </c>
      <c r="E13" s="217">
        <v>147</v>
      </c>
      <c r="F13" s="219">
        <v>9</v>
      </c>
      <c r="G13" s="244">
        <v>287</v>
      </c>
      <c r="H13" s="217">
        <v>3459</v>
      </c>
    </row>
    <row r="14" spans="1:8" ht="15">
      <c r="A14" s="106">
        <v>2003</v>
      </c>
      <c r="B14" s="106" t="s">
        <v>34</v>
      </c>
      <c r="C14" s="217">
        <v>10539</v>
      </c>
      <c r="D14" s="217">
        <v>1458</v>
      </c>
      <c r="E14" s="217">
        <v>147</v>
      </c>
      <c r="F14" s="219">
        <v>9</v>
      </c>
      <c r="G14" s="244">
        <v>287</v>
      </c>
      <c r="H14" s="217">
        <v>3459</v>
      </c>
    </row>
    <row r="15" spans="1:8" ht="15">
      <c r="A15" s="106">
        <v>2003</v>
      </c>
      <c r="B15" s="106" t="s">
        <v>35</v>
      </c>
      <c r="C15" s="217">
        <v>10545</v>
      </c>
      <c r="D15" s="217">
        <v>1455</v>
      </c>
      <c r="E15" s="217">
        <v>147</v>
      </c>
      <c r="F15" s="219">
        <v>9</v>
      </c>
      <c r="G15" s="244">
        <v>287</v>
      </c>
      <c r="H15" s="217">
        <v>3460</v>
      </c>
    </row>
    <row r="16" spans="1:8" ht="15">
      <c r="A16" s="106">
        <v>2003</v>
      </c>
      <c r="B16" s="106" t="s">
        <v>36</v>
      </c>
      <c r="C16" s="217">
        <v>10551</v>
      </c>
      <c r="D16" s="217">
        <v>1455</v>
      </c>
      <c r="E16" s="217">
        <v>147</v>
      </c>
      <c r="F16" s="219">
        <v>9</v>
      </c>
      <c r="G16" s="244">
        <v>277</v>
      </c>
      <c r="H16" s="217">
        <v>3460</v>
      </c>
    </row>
    <row r="17" spans="1:8" ht="15">
      <c r="A17" s="106">
        <v>2003</v>
      </c>
      <c r="B17" s="106" t="s">
        <v>37</v>
      </c>
      <c r="C17" s="217">
        <v>10561</v>
      </c>
      <c r="D17" s="217">
        <v>1471</v>
      </c>
      <c r="E17" s="217">
        <v>148</v>
      </c>
      <c r="F17" s="219">
        <v>9</v>
      </c>
      <c r="G17" s="244">
        <v>277</v>
      </c>
      <c r="H17" s="217">
        <v>3460</v>
      </c>
    </row>
    <row r="18" spans="1:8" ht="15">
      <c r="A18" s="106">
        <v>2003</v>
      </c>
      <c r="B18" s="106" t="s">
        <v>30</v>
      </c>
      <c r="C18" s="217">
        <v>10579</v>
      </c>
      <c r="D18" s="217">
        <v>1472</v>
      </c>
      <c r="E18" s="217">
        <v>147</v>
      </c>
      <c r="F18" s="219">
        <v>9</v>
      </c>
      <c r="G18" s="244">
        <v>277</v>
      </c>
      <c r="H18" s="217">
        <v>3460</v>
      </c>
    </row>
    <row r="19" spans="1:8" ht="15">
      <c r="A19" s="106">
        <v>2003</v>
      </c>
      <c r="B19" s="106" t="s">
        <v>38</v>
      </c>
      <c r="C19" s="217">
        <v>10591</v>
      </c>
      <c r="D19" s="217">
        <v>1469</v>
      </c>
      <c r="E19" s="217">
        <v>149</v>
      </c>
      <c r="F19" s="219">
        <v>9</v>
      </c>
      <c r="G19" s="244">
        <v>276</v>
      </c>
      <c r="H19" s="217">
        <v>3460</v>
      </c>
    </row>
    <row r="20" spans="1:8" ht="15">
      <c r="A20" s="106">
        <v>2003</v>
      </c>
      <c r="B20" s="106" t="s">
        <v>39</v>
      </c>
      <c r="C20" s="217">
        <v>10600</v>
      </c>
      <c r="D20" s="217">
        <v>1472</v>
      </c>
      <c r="E20" s="217">
        <v>147</v>
      </c>
      <c r="F20" s="219">
        <v>9</v>
      </c>
      <c r="G20" s="244">
        <v>276</v>
      </c>
      <c r="H20" s="217">
        <v>3460</v>
      </c>
    </row>
    <row r="21" spans="1:8" ht="15">
      <c r="A21" s="106">
        <v>2003</v>
      </c>
      <c r="B21" s="106" t="s">
        <v>40</v>
      </c>
      <c r="C21" s="217">
        <v>10602</v>
      </c>
      <c r="D21" s="217">
        <v>1474</v>
      </c>
      <c r="E21" s="217">
        <v>145</v>
      </c>
      <c r="F21" s="219">
        <v>9</v>
      </c>
      <c r="G21" s="244">
        <v>276</v>
      </c>
      <c r="H21" s="217">
        <v>3460</v>
      </c>
    </row>
    <row r="22" spans="1:8" ht="15">
      <c r="A22" s="106">
        <v>2003</v>
      </c>
      <c r="B22" s="106" t="s">
        <v>41</v>
      </c>
      <c r="C22" s="217">
        <v>10634</v>
      </c>
      <c r="D22" s="217">
        <v>1476</v>
      </c>
      <c r="E22" s="217">
        <v>146</v>
      </c>
      <c r="F22" s="219">
        <v>9</v>
      </c>
      <c r="G22" s="244">
        <v>276</v>
      </c>
      <c r="H22" s="217">
        <v>3460</v>
      </c>
    </row>
    <row r="23" spans="1:8" ht="15">
      <c r="A23" s="106">
        <v>2003</v>
      </c>
      <c r="B23" s="106" t="s">
        <v>42</v>
      </c>
      <c r="C23" s="217">
        <v>10646</v>
      </c>
      <c r="D23" s="217">
        <v>1472</v>
      </c>
      <c r="E23" s="217">
        <v>149</v>
      </c>
      <c r="F23" s="219">
        <v>9</v>
      </c>
      <c r="G23" s="244">
        <v>274</v>
      </c>
      <c r="H23" s="217">
        <v>3460</v>
      </c>
    </row>
    <row r="24" spans="1:8" ht="15">
      <c r="A24" s="106">
        <v>2003</v>
      </c>
      <c r="B24" s="106" t="s">
        <v>43</v>
      </c>
      <c r="C24" s="217">
        <v>10644</v>
      </c>
      <c r="D24" s="217">
        <v>1470</v>
      </c>
      <c r="E24" s="217">
        <v>149</v>
      </c>
      <c r="F24" s="219">
        <v>9</v>
      </c>
      <c r="G24" s="244">
        <v>274</v>
      </c>
      <c r="H24" s="217">
        <v>3462</v>
      </c>
    </row>
    <row r="25" spans="1:8" ht="15">
      <c r="A25" s="218">
        <v>2003</v>
      </c>
      <c r="B25" s="218" t="s">
        <v>44</v>
      </c>
      <c r="C25" s="217">
        <v>10651</v>
      </c>
      <c r="D25" s="217">
        <v>1476</v>
      </c>
      <c r="E25" s="217">
        <v>150</v>
      </c>
      <c r="F25" s="219">
        <v>9</v>
      </c>
      <c r="G25" s="244">
        <v>274</v>
      </c>
      <c r="H25" s="217">
        <v>3462</v>
      </c>
    </row>
    <row r="26" spans="1:8" ht="15">
      <c r="A26" s="106">
        <v>2004</v>
      </c>
      <c r="B26" s="106" t="s">
        <v>34</v>
      </c>
      <c r="C26" s="217">
        <v>10665</v>
      </c>
      <c r="D26" s="217">
        <v>1483</v>
      </c>
      <c r="E26" s="217">
        <v>151</v>
      </c>
      <c r="F26" s="219">
        <v>9</v>
      </c>
      <c r="G26" s="244">
        <v>274</v>
      </c>
      <c r="H26" s="217">
        <v>3481</v>
      </c>
    </row>
    <row r="27" spans="1:8" ht="15">
      <c r="A27" s="106">
        <v>2004</v>
      </c>
      <c r="B27" s="106" t="s">
        <v>35</v>
      </c>
      <c r="C27" s="217">
        <v>10674</v>
      </c>
      <c r="D27" s="217">
        <v>1485</v>
      </c>
      <c r="E27" s="217">
        <v>151</v>
      </c>
      <c r="F27" s="219">
        <v>9</v>
      </c>
      <c r="G27" s="244">
        <v>274</v>
      </c>
      <c r="H27" s="217">
        <v>3481</v>
      </c>
    </row>
    <row r="28" spans="1:8" ht="15.75" thickBot="1">
      <c r="A28" s="107">
        <v>2004</v>
      </c>
      <c r="B28" s="107" t="s">
        <v>36</v>
      </c>
      <c r="C28" s="242">
        <v>10671</v>
      </c>
      <c r="D28" s="242">
        <v>1485</v>
      </c>
      <c r="E28" s="242">
        <v>150</v>
      </c>
      <c r="F28" s="242">
        <v>9</v>
      </c>
      <c r="G28" s="242">
        <v>274</v>
      </c>
      <c r="H28" s="242">
        <v>3481</v>
      </c>
    </row>
    <row r="29" spans="1:8" ht="15">
      <c r="A29" s="237" t="s">
        <v>125</v>
      </c>
      <c r="B29" s="108"/>
      <c r="C29" s="108"/>
      <c r="D29" s="108"/>
      <c r="E29" s="108"/>
      <c r="F29" s="108"/>
      <c r="G29" s="108"/>
      <c r="H29" s="108"/>
    </row>
  </sheetData>
  <sheetProtection/>
  <printOptions horizontalCentered="1"/>
  <pageMargins left="0.5118110236220472" right="0.5118110236220472" top="1.220472440944882" bottom="0.9055118110236221" header="0.5118110236220472" footer="0.5118110236220472"/>
  <pageSetup horizontalDpi="600" verticalDpi="600" orientation="portrait" scale="85" r:id="rId1"/>
  <headerFooter>
    <oddHeader>&amp;ROrillia Power Distribution Corporation
EB-2011-0191
Filed: October 28, 2011
Appendix B</oddHeader>
    <oddFooter>&amp;C&amp;F
&amp;A&amp;RPage &amp;P
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showGridLines="0" zoomScalePageLayoutView="0" workbookViewId="0" topLeftCell="A51">
      <selection activeCell="H29" sqref="A1:H29"/>
    </sheetView>
  </sheetViews>
  <sheetFormatPr defaultColWidth="9.140625" defaultRowHeight="15"/>
  <cols>
    <col min="1" max="1" width="5.00390625" style="120" bestFit="1" customWidth="1"/>
    <col min="2" max="2" width="14.7109375" style="120" hidden="1" customWidth="1"/>
    <col min="3" max="3" width="21.8515625" style="120" bestFit="1" customWidth="1"/>
    <col min="4" max="4" width="13.57421875" style="121" bestFit="1" customWidth="1"/>
    <col min="5" max="5" width="14.28125" style="121" bestFit="1" customWidth="1"/>
    <col min="6" max="6" width="12.57421875" style="120" bestFit="1" customWidth="1"/>
    <col min="7" max="7" width="17.421875" style="120" bestFit="1" customWidth="1"/>
    <col min="8" max="8" width="15.57421875" style="120" customWidth="1"/>
    <col min="9" max="16384" width="9.140625" style="120" customWidth="1"/>
  </cols>
  <sheetData>
    <row r="1" spans="4:8" ht="15">
      <c r="D1" s="201" t="s">
        <v>117</v>
      </c>
      <c r="E1" s="201"/>
      <c r="F1" s="201"/>
      <c r="G1" s="201"/>
      <c r="H1" s="201"/>
    </row>
    <row r="2" spans="1:9" s="141" customFormat="1" ht="45">
      <c r="A2" s="220" t="s">
        <v>25</v>
      </c>
      <c r="B2" s="221" t="s">
        <v>56</v>
      </c>
      <c r="C2" s="222" t="s">
        <v>26</v>
      </c>
      <c r="D2" s="223" t="s">
        <v>57</v>
      </c>
      <c r="E2" s="223" t="s">
        <v>118</v>
      </c>
      <c r="F2" s="223" t="s">
        <v>60</v>
      </c>
      <c r="G2" s="223" t="s">
        <v>58</v>
      </c>
      <c r="H2" s="223" t="s">
        <v>119</v>
      </c>
      <c r="I2" s="1"/>
    </row>
    <row r="3" spans="1:9" s="141" customFormat="1" ht="15">
      <c r="A3" s="213"/>
      <c r="B3" s="214"/>
      <c r="C3" s="215"/>
      <c r="D3" s="224"/>
      <c r="E3" s="224"/>
      <c r="F3" s="224"/>
      <c r="G3" s="224"/>
      <c r="H3" s="224"/>
      <c r="I3" s="1"/>
    </row>
    <row r="4" spans="1:8" ht="15">
      <c r="A4" s="142">
        <v>2002</v>
      </c>
      <c r="B4" s="143">
        <v>3</v>
      </c>
      <c r="C4" s="144" t="s">
        <v>36</v>
      </c>
      <c r="D4" s="216">
        <f>(304090.4+872014.4)/10</f>
        <v>117610.48000000001</v>
      </c>
      <c r="E4" s="178">
        <f>-'A-1 Summary'!B17</f>
        <v>-101886.47184462001</v>
      </c>
      <c r="F4" s="182"/>
      <c r="G4" s="178">
        <f>SUM(D4:F4)</f>
        <v>15724.008155379997</v>
      </c>
      <c r="H4" s="178">
        <f>G4</f>
        <v>15724.008155379997</v>
      </c>
    </row>
    <row r="5" spans="1:8" ht="15">
      <c r="A5" s="142">
        <v>2002</v>
      </c>
      <c r="B5" s="143">
        <v>4</v>
      </c>
      <c r="C5" s="144" t="s">
        <v>37</v>
      </c>
      <c r="D5" s="216">
        <f aca="true" t="shared" si="0" ref="D5:D13">(304090.4+872014.4)/10</f>
        <v>117610.48000000001</v>
      </c>
      <c r="E5" s="178">
        <f>-'A-1 Summary'!B18</f>
        <v>-100843.42716069998</v>
      </c>
      <c r="F5" s="182"/>
      <c r="G5" s="178">
        <f aca="true" t="shared" si="1" ref="G5:G13">SUM(D5:F5)</f>
        <v>16767.052839300028</v>
      </c>
      <c r="H5" s="178">
        <f>H4+G5</f>
        <v>32491.060994680025</v>
      </c>
    </row>
    <row r="6" spans="1:8" ht="15">
      <c r="A6" s="142">
        <v>2002</v>
      </c>
      <c r="B6" s="143">
        <v>5</v>
      </c>
      <c r="C6" s="144" t="s">
        <v>30</v>
      </c>
      <c r="D6" s="216">
        <f t="shared" si="0"/>
        <v>117610.48000000001</v>
      </c>
      <c r="E6" s="178">
        <f>-'A-1 Summary'!B19</f>
        <v>-55866.517101</v>
      </c>
      <c r="F6" s="182"/>
      <c r="G6" s="178">
        <f t="shared" si="1"/>
        <v>61743.96289900001</v>
      </c>
      <c r="H6" s="178">
        <f aca="true" t="shared" si="2" ref="H6:H12">H5+G6</f>
        <v>94235.02389368005</v>
      </c>
    </row>
    <row r="7" spans="1:8" ht="15">
      <c r="A7" s="142">
        <v>2002</v>
      </c>
      <c r="B7" s="143">
        <v>6</v>
      </c>
      <c r="C7" s="144" t="s">
        <v>31</v>
      </c>
      <c r="D7" s="216">
        <f t="shared" si="0"/>
        <v>117610.48000000001</v>
      </c>
      <c r="E7" s="178">
        <f>-'A-1 Summary'!B20</f>
        <v>-87629.41372000001</v>
      </c>
      <c r="F7" s="182"/>
      <c r="G7" s="178">
        <f t="shared" si="1"/>
        <v>29981.06628</v>
      </c>
      <c r="H7" s="178">
        <f t="shared" si="2"/>
        <v>124216.09017368004</v>
      </c>
    </row>
    <row r="8" spans="1:8" ht="15">
      <c r="A8" s="142">
        <v>2002</v>
      </c>
      <c r="B8" s="143">
        <v>7</v>
      </c>
      <c r="C8" s="144" t="s">
        <v>39</v>
      </c>
      <c r="D8" s="216">
        <f t="shared" si="0"/>
        <v>117610.48000000001</v>
      </c>
      <c r="E8" s="178">
        <f>-'A-1 Summary'!B21</f>
        <v>-95039.79082</v>
      </c>
      <c r="F8" s="180">
        <v>139.81</v>
      </c>
      <c r="G8" s="178">
        <f>SUM(D8:F8)</f>
        <v>22710.499180000017</v>
      </c>
      <c r="H8" s="178">
        <f>H7+G8</f>
        <v>146926.58935368006</v>
      </c>
    </row>
    <row r="9" spans="1:8" ht="15">
      <c r="A9" s="142">
        <v>2002</v>
      </c>
      <c r="B9" s="143">
        <v>8</v>
      </c>
      <c r="C9" s="144" t="s">
        <v>40</v>
      </c>
      <c r="D9" s="216">
        <f t="shared" si="0"/>
        <v>117610.48000000001</v>
      </c>
      <c r="E9" s="178">
        <f>-'A-1 Summary'!B22</f>
        <v>-102303.78456099998</v>
      </c>
      <c r="F9" s="182"/>
      <c r="G9" s="178">
        <f t="shared" si="1"/>
        <v>15306.695439000032</v>
      </c>
      <c r="H9" s="178">
        <f t="shared" si="2"/>
        <v>162233.2847926801</v>
      </c>
    </row>
    <row r="10" spans="1:8" ht="15">
      <c r="A10" s="142">
        <v>2002</v>
      </c>
      <c r="B10" s="143">
        <v>9</v>
      </c>
      <c r="C10" s="144" t="s">
        <v>59</v>
      </c>
      <c r="D10" s="216">
        <f t="shared" si="0"/>
        <v>117610.48000000001</v>
      </c>
      <c r="E10" s="178">
        <f>-'A-1 Summary'!B23</f>
        <v>-98212.49968600001</v>
      </c>
      <c r="F10" s="182"/>
      <c r="G10" s="178">
        <f t="shared" si="1"/>
        <v>19397.980314</v>
      </c>
      <c r="H10" s="178">
        <f t="shared" si="2"/>
        <v>181631.2651066801</v>
      </c>
    </row>
    <row r="11" spans="1:8" ht="15">
      <c r="A11" s="142">
        <v>2002</v>
      </c>
      <c r="B11" s="143">
        <v>10</v>
      </c>
      <c r="C11" s="144" t="s">
        <v>42</v>
      </c>
      <c r="D11" s="216">
        <f t="shared" si="0"/>
        <v>117610.48000000001</v>
      </c>
      <c r="E11" s="178">
        <f>-'A-1 Summary'!B24</f>
        <v>-88344.852426</v>
      </c>
      <c r="F11" s="182"/>
      <c r="G11" s="178">
        <f t="shared" si="1"/>
        <v>29265.627574000013</v>
      </c>
      <c r="H11" s="178">
        <f t="shared" si="2"/>
        <v>210896.89268068012</v>
      </c>
    </row>
    <row r="12" spans="1:8" ht="15">
      <c r="A12" s="142">
        <v>2002</v>
      </c>
      <c r="B12" s="143">
        <v>11</v>
      </c>
      <c r="C12" s="144" t="s">
        <v>43</v>
      </c>
      <c r="D12" s="216">
        <f t="shared" si="0"/>
        <v>117610.48000000001</v>
      </c>
      <c r="E12" s="178">
        <f>-'A-1 Summary'!B25</f>
        <v>-85591.73453</v>
      </c>
      <c r="F12" s="182"/>
      <c r="G12" s="178">
        <f t="shared" si="1"/>
        <v>32018.74547000001</v>
      </c>
      <c r="H12" s="178">
        <f t="shared" si="2"/>
        <v>242915.6381506801</v>
      </c>
    </row>
    <row r="13" spans="1:8" ht="15">
      <c r="A13" s="142">
        <v>2002</v>
      </c>
      <c r="B13" s="143">
        <v>12</v>
      </c>
      <c r="C13" s="144" t="s">
        <v>44</v>
      </c>
      <c r="D13" s="216">
        <f t="shared" si="0"/>
        <v>117610.48000000001</v>
      </c>
      <c r="E13" s="178">
        <f>-'A-1 Summary'!B26</f>
        <v>-110171.41120299998</v>
      </c>
      <c r="F13" s="182"/>
      <c r="G13" s="178">
        <f t="shared" si="1"/>
        <v>7439.068797000029</v>
      </c>
      <c r="H13" s="178">
        <f>H12+G13</f>
        <v>250354.70694768016</v>
      </c>
    </row>
    <row r="14" spans="1:8" s="16" customFormat="1" ht="15">
      <c r="A14" s="118" t="s">
        <v>68</v>
      </c>
      <c r="B14" s="122"/>
      <c r="C14" s="123"/>
      <c r="D14" s="179">
        <f>SUM(D4:D13)</f>
        <v>1176104.8</v>
      </c>
      <c r="E14" s="179">
        <f>SUM(E4:E13)</f>
        <v>-925889.90305232</v>
      </c>
      <c r="F14" s="179">
        <f>SUM(F4:F13)</f>
        <v>139.81</v>
      </c>
      <c r="G14" s="179">
        <f>SUM(G4:G13)</f>
        <v>250354.70694768016</v>
      </c>
      <c r="H14" s="179"/>
    </row>
    <row r="15" spans="1:8" ht="15">
      <c r="A15" s="142"/>
      <c r="B15" s="143"/>
      <c r="C15" s="144"/>
      <c r="D15" s="178"/>
      <c r="E15" s="178"/>
      <c r="F15" s="182"/>
      <c r="G15" s="178"/>
      <c r="H15" s="178"/>
    </row>
    <row r="16" spans="1:8" ht="15">
      <c r="A16" s="142">
        <v>2003</v>
      </c>
      <c r="B16" s="145">
        <v>1</v>
      </c>
      <c r="C16" s="144" t="s">
        <v>34</v>
      </c>
      <c r="D16" s="216">
        <f>(304090.4+872014.4)/12</f>
        <v>98008.73333333334</v>
      </c>
      <c r="E16" s="178">
        <f>-'A-1 Summary'!C15</f>
        <v>-105318.476412</v>
      </c>
      <c r="F16" s="182"/>
      <c r="G16" s="178">
        <f aca="true" t="shared" si="3" ref="G16:G27">SUM(D16:F16)</f>
        <v>-7309.743078666666</v>
      </c>
      <c r="H16" s="178">
        <f>H13+G16</f>
        <v>243044.96386901347</v>
      </c>
    </row>
    <row r="17" spans="1:8" ht="15">
      <c r="A17" s="142">
        <v>2003</v>
      </c>
      <c r="B17" s="145">
        <v>2</v>
      </c>
      <c r="C17" s="144" t="s">
        <v>35</v>
      </c>
      <c r="D17" s="216">
        <f aca="true" t="shared" si="4" ref="D17:D27">(304090.4+872014.4)/12</f>
        <v>98008.73333333334</v>
      </c>
      <c r="E17" s="178">
        <f>-'A-1 Summary'!C16</f>
        <v>-119547.52121699999</v>
      </c>
      <c r="F17" s="182"/>
      <c r="G17" s="178">
        <f t="shared" si="3"/>
        <v>-21538.78788366665</v>
      </c>
      <c r="H17" s="178">
        <f>H16+G17</f>
        <v>221506.17598534684</v>
      </c>
    </row>
    <row r="18" spans="1:8" ht="15">
      <c r="A18" s="142">
        <v>2003</v>
      </c>
      <c r="B18" s="145">
        <v>3</v>
      </c>
      <c r="C18" s="144" t="s">
        <v>36</v>
      </c>
      <c r="D18" s="216">
        <f t="shared" si="4"/>
        <v>98008.73333333334</v>
      </c>
      <c r="E18" s="178">
        <f>-'A-1 Summary'!C17</f>
        <v>-99794.988854</v>
      </c>
      <c r="F18" s="182"/>
      <c r="G18" s="178">
        <f t="shared" si="3"/>
        <v>-1786.2555206666584</v>
      </c>
      <c r="H18" s="178">
        <f aca="true" t="shared" si="5" ref="H18:H26">H17+G18</f>
        <v>219719.92046468018</v>
      </c>
    </row>
    <row r="19" spans="1:8" ht="15">
      <c r="A19" s="142">
        <v>2003</v>
      </c>
      <c r="B19" s="145">
        <v>4</v>
      </c>
      <c r="C19" s="144" t="s">
        <v>37</v>
      </c>
      <c r="D19" s="216">
        <f t="shared" si="4"/>
        <v>98008.73333333334</v>
      </c>
      <c r="E19" s="178">
        <f>-'A-1 Summary'!C18</f>
        <v>-109880.87858100001</v>
      </c>
      <c r="F19" s="182"/>
      <c r="G19" s="178">
        <f t="shared" si="3"/>
        <v>-11872.145247666675</v>
      </c>
      <c r="H19" s="178">
        <f t="shared" si="5"/>
        <v>207847.7752170135</v>
      </c>
    </row>
    <row r="20" spans="1:8" ht="15">
      <c r="A20" s="142">
        <v>2003</v>
      </c>
      <c r="B20" s="145">
        <v>5</v>
      </c>
      <c r="C20" s="144" t="s">
        <v>30</v>
      </c>
      <c r="D20" s="216">
        <f t="shared" si="4"/>
        <v>98008.73333333334</v>
      </c>
      <c r="E20" s="178">
        <f>-'A-1 Summary'!C19</f>
        <v>-106316.956879</v>
      </c>
      <c r="F20" s="182"/>
      <c r="G20" s="178">
        <f t="shared" si="3"/>
        <v>-8308.223545666668</v>
      </c>
      <c r="H20" s="178">
        <f t="shared" si="5"/>
        <v>199539.55167134682</v>
      </c>
    </row>
    <row r="21" spans="1:8" ht="15">
      <c r="A21" s="142">
        <v>2003</v>
      </c>
      <c r="B21" s="145">
        <v>6</v>
      </c>
      <c r="C21" s="144" t="s">
        <v>31</v>
      </c>
      <c r="D21" s="216">
        <f t="shared" si="4"/>
        <v>98008.73333333334</v>
      </c>
      <c r="E21" s="178">
        <f>-'A-1 Summary'!C20</f>
        <v>-102926.41579200001</v>
      </c>
      <c r="F21" s="182"/>
      <c r="G21" s="178">
        <f t="shared" si="3"/>
        <v>-4917.682458666677</v>
      </c>
      <c r="H21" s="178">
        <f t="shared" si="5"/>
        <v>194621.86921268015</v>
      </c>
    </row>
    <row r="22" spans="1:8" ht="15">
      <c r="A22" s="142">
        <v>2003</v>
      </c>
      <c r="B22" s="145">
        <v>7</v>
      </c>
      <c r="C22" s="144" t="s">
        <v>39</v>
      </c>
      <c r="D22" s="216">
        <f t="shared" si="4"/>
        <v>98008.73333333334</v>
      </c>
      <c r="E22" s="178">
        <f>-'A-1 Summary'!C21</f>
        <v>-96320.583129</v>
      </c>
      <c r="F22" s="180">
        <v>-48288.46</v>
      </c>
      <c r="G22" s="178">
        <f t="shared" si="3"/>
        <v>-46600.30979566667</v>
      </c>
      <c r="H22" s="178">
        <f t="shared" si="5"/>
        <v>148021.5594170135</v>
      </c>
    </row>
    <row r="23" spans="1:8" ht="15">
      <c r="A23" s="142">
        <v>2003</v>
      </c>
      <c r="B23" s="145">
        <v>8</v>
      </c>
      <c r="C23" s="144" t="s">
        <v>40</v>
      </c>
      <c r="D23" s="216">
        <f t="shared" si="4"/>
        <v>98008.73333333334</v>
      </c>
      <c r="E23" s="178">
        <f>-'A-1 Summary'!C22</f>
        <v>-98588.2117</v>
      </c>
      <c r="F23" s="182"/>
      <c r="G23" s="178">
        <f t="shared" si="3"/>
        <v>-579.4783666666626</v>
      </c>
      <c r="H23" s="178">
        <f t="shared" si="5"/>
        <v>147442.08105034684</v>
      </c>
    </row>
    <row r="24" spans="1:8" ht="15">
      <c r="A24" s="142">
        <v>2003</v>
      </c>
      <c r="B24" s="145">
        <v>9</v>
      </c>
      <c r="C24" s="144" t="s">
        <v>59</v>
      </c>
      <c r="D24" s="216">
        <f t="shared" si="4"/>
        <v>98008.73333333334</v>
      </c>
      <c r="E24" s="178">
        <f>-'A-1 Summary'!C23</f>
        <v>-99497.204618</v>
      </c>
      <c r="F24" s="182"/>
      <c r="G24" s="178">
        <f t="shared" si="3"/>
        <v>-1488.4712846666662</v>
      </c>
      <c r="H24" s="178">
        <f t="shared" si="5"/>
        <v>145953.60976568016</v>
      </c>
    </row>
    <row r="25" spans="1:8" ht="15">
      <c r="A25" s="142">
        <v>2003</v>
      </c>
      <c r="B25" s="145">
        <v>10</v>
      </c>
      <c r="C25" s="144" t="s">
        <v>42</v>
      </c>
      <c r="D25" s="216">
        <f t="shared" si="4"/>
        <v>98008.73333333334</v>
      </c>
      <c r="E25" s="178">
        <f>-'A-1 Summary'!C24</f>
        <v>-98051.65349999999</v>
      </c>
      <c r="F25" s="182"/>
      <c r="G25" s="178">
        <f t="shared" si="3"/>
        <v>-42.92016666664858</v>
      </c>
      <c r="H25" s="178">
        <f t="shared" si="5"/>
        <v>145910.6895990135</v>
      </c>
    </row>
    <row r="26" spans="1:8" ht="15">
      <c r="A26" s="142">
        <v>2003</v>
      </c>
      <c r="B26" s="145">
        <v>11</v>
      </c>
      <c r="C26" s="144" t="s">
        <v>43</v>
      </c>
      <c r="D26" s="216">
        <f t="shared" si="4"/>
        <v>98008.73333333334</v>
      </c>
      <c r="E26" s="178">
        <f>-'A-1 Summary'!C25</f>
        <v>-94533.997785</v>
      </c>
      <c r="F26" s="182"/>
      <c r="G26" s="178">
        <f t="shared" si="3"/>
        <v>3474.7355483333376</v>
      </c>
      <c r="H26" s="178">
        <f t="shared" si="5"/>
        <v>149385.42514734686</v>
      </c>
    </row>
    <row r="27" spans="1:8" ht="15">
      <c r="A27" s="142">
        <v>2003</v>
      </c>
      <c r="B27" s="145">
        <v>12</v>
      </c>
      <c r="C27" s="144" t="s">
        <v>138</v>
      </c>
      <c r="D27" s="216">
        <f t="shared" si="4"/>
        <v>98008.73333333334</v>
      </c>
      <c r="E27" s="178">
        <f>-'A-1 Summary'!C26</f>
        <v>-102099.74326300003</v>
      </c>
      <c r="F27" s="182"/>
      <c r="G27" s="178">
        <f t="shared" si="3"/>
        <v>-4091.0099296666885</v>
      </c>
      <c r="H27" s="178">
        <f>H26+G27</f>
        <v>145294.41521768016</v>
      </c>
    </row>
    <row r="28" spans="1:8" s="16" customFormat="1" ht="15">
      <c r="A28" s="118" t="s">
        <v>69</v>
      </c>
      <c r="B28" s="122"/>
      <c r="C28" s="123"/>
      <c r="D28" s="179">
        <f>SUM(D16:D27)</f>
        <v>1176104.8000000003</v>
      </c>
      <c r="E28" s="179">
        <f>SUM(E16:E27)</f>
        <v>-1232876.6317299998</v>
      </c>
      <c r="F28" s="179">
        <f>SUM(F16:F27)</f>
        <v>-48288.46</v>
      </c>
      <c r="G28" s="179">
        <f>SUM(G16:G27)</f>
        <v>-105060.29173</v>
      </c>
      <c r="H28" s="179"/>
    </row>
    <row r="29" spans="1:8" ht="15">
      <c r="A29" s="142"/>
      <c r="B29" s="145"/>
      <c r="C29" s="144"/>
      <c r="D29" s="178"/>
      <c r="E29" s="178"/>
      <c r="F29" s="182"/>
      <c r="G29" s="182"/>
      <c r="H29" s="182"/>
    </row>
    <row r="30" spans="1:8" ht="15">
      <c r="A30" s="142">
        <v>2004</v>
      </c>
      <c r="B30" s="145">
        <v>1</v>
      </c>
      <c r="C30" s="144" t="s">
        <v>34</v>
      </c>
      <c r="D30" s="216">
        <f>(304090.4+872014.4)/12</f>
        <v>98008.73333333334</v>
      </c>
      <c r="E30" s="178">
        <f>-'A-1 Summary'!D15</f>
        <v>-105653.06765299999</v>
      </c>
      <c r="F30" s="182"/>
      <c r="G30" s="178">
        <f aca="true" t="shared" si="6" ref="G30:G41">SUM(D30:F30)</f>
        <v>-7644.334319666654</v>
      </c>
      <c r="H30" s="178">
        <f>G30+H27</f>
        <v>137650.0808980135</v>
      </c>
    </row>
    <row r="31" spans="1:8" ht="15">
      <c r="A31" s="142">
        <v>2004</v>
      </c>
      <c r="B31" s="145">
        <v>2</v>
      </c>
      <c r="C31" s="144" t="s">
        <v>35</v>
      </c>
      <c r="D31" s="216">
        <f>(304090.4+872014.4)/12</f>
        <v>98008.73333333334</v>
      </c>
      <c r="E31" s="178">
        <f>-'A-1 Summary'!D16</f>
        <v>-114519.41829799999</v>
      </c>
      <c r="F31" s="182"/>
      <c r="G31" s="178">
        <f t="shared" si="6"/>
        <v>-16510.684964666652</v>
      </c>
      <c r="H31" s="178">
        <f>H30+G31</f>
        <v>121139.39593334684</v>
      </c>
    </row>
    <row r="32" spans="1:8" ht="15">
      <c r="A32" s="142">
        <v>2004</v>
      </c>
      <c r="B32" s="145">
        <v>3</v>
      </c>
      <c r="C32" s="144" t="s">
        <v>36</v>
      </c>
      <c r="D32" s="216">
        <f>(304090.4+872014.4)/12</f>
        <v>98008.73333333334</v>
      </c>
      <c r="E32" s="178">
        <f>-'A-1 Summary'!D17</f>
        <v>-174005.340236</v>
      </c>
      <c r="F32" s="182"/>
      <c r="G32" s="178">
        <f t="shared" si="6"/>
        <v>-75996.60690266665</v>
      </c>
      <c r="H32" s="178">
        <f>H31+G32</f>
        <v>45142.789030680186</v>
      </c>
    </row>
    <row r="33" spans="1:8" ht="15">
      <c r="A33" s="142">
        <v>2004</v>
      </c>
      <c r="B33" s="145">
        <v>4</v>
      </c>
      <c r="C33" s="144" t="s">
        <v>37</v>
      </c>
      <c r="D33" s="178">
        <v>72667.87</v>
      </c>
      <c r="E33" s="178">
        <f>-'A-1 Summary'!D18</f>
        <v>-524.907538</v>
      </c>
      <c r="F33" s="182"/>
      <c r="G33" s="178">
        <f t="shared" si="6"/>
        <v>72142.962462</v>
      </c>
      <c r="H33" s="178">
        <f>H32+G33</f>
        <v>117285.75149268018</v>
      </c>
    </row>
    <row r="34" spans="1:8" ht="15">
      <c r="A34" s="142">
        <v>2004</v>
      </c>
      <c r="B34" s="145">
        <v>5</v>
      </c>
      <c r="C34" s="144" t="s">
        <v>30</v>
      </c>
      <c r="D34" s="178">
        <v>72667.87</v>
      </c>
      <c r="E34" s="178">
        <f>-'A-1 Summary'!D19</f>
        <v>-56957.441127000006</v>
      </c>
      <c r="F34" s="182"/>
      <c r="G34" s="178">
        <f t="shared" si="6"/>
        <v>15710.42887299999</v>
      </c>
      <c r="H34" s="178">
        <f aca="true" t="shared" si="7" ref="H34:H41">H33+G34</f>
        <v>132996.18036568016</v>
      </c>
    </row>
    <row r="35" spans="1:8" ht="15">
      <c r="A35" s="142">
        <v>2004</v>
      </c>
      <c r="B35" s="145">
        <v>6</v>
      </c>
      <c r="C35" s="144" t="s">
        <v>31</v>
      </c>
      <c r="D35" s="178">
        <v>72667.87</v>
      </c>
      <c r="E35" s="178">
        <f>-'A-1 Summary'!D20</f>
        <v>-82457.868309</v>
      </c>
      <c r="F35" s="182"/>
      <c r="G35" s="178">
        <f t="shared" si="6"/>
        <v>-9789.998309000002</v>
      </c>
      <c r="H35" s="178">
        <f t="shared" si="7"/>
        <v>123206.18205668016</v>
      </c>
    </row>
    <row r="36" spans="1:8" ht="15">
      <c r="A36" s="142">
        <v>2004</v>
      </c>
      <c r="B36" s="145">
        <v>7</v>
      </c>
      <c r="C36" s="144" t="s">
        <v>39</v>
      </c>
      <c r="D36" s="178">
        <v>72667.87</v>
      </c>
      <c r="E36" s="178">
        <f>-'A-1 Summary'!D21</f>
        <v>-78656.261577</v>
      </c>
      <c r="F36" s="180">
        <f>27626.37-41597.61</f>
        <v>-13971.240000000002</v>
      </c>
      <c r="G36" s="178">
        <f t="shared" si="6"/>
        <v>-19959.631577000004</v>
      </c>
      <c r="H36" s="178">
        <f t="shared" si="7"/>
        <v>103246.55047968015</v>
      </c>
    </row>
    <row r="37" spans="1:8" ht="15">
      <c r="A37" s="142">
        <v>2004</v>
      </c>
      <c r="B37" s="145">
        <v>8</v>
      </c>
      <c r="C37" s="144" t="s">
        <v>40</v>
      </c>
      <c r="D37" s="178">
        <v>72667.87</v>
      </c>
      <c r="E37" s="178">
        <f>-'A-1 Summary'!D22</f>
        <v>-81136.75142</v>
      </c>
      <c r="F37" s="182"/>
      <c r="G37" s="178">
        <f t="shared" si="6"/>
        <v>-8468.881420000005</v>
      </c>
      <c r="H37" s="178">
        <f t="shared" si="7"/>
        <v>94777.66905968015</v>
      </c>
    </row>
    <row r="38" spans="1:8" ht="15">
      <c r="A38" s="142">
        <v>2004</v>
      </c>
      <c r="B38" s="145">
        <v>9</v>
      </c>
      <c r="C38" s="144" t="s">
        <v>59</v>
      </c>
      <c r="D38" s="178">
        <v>72667.87</v>
      </c>
      <c r="E38" s="178">
        <f>-'A-1 Summary'!D23</f>
        <v>-82962.00626000001</v>
      </c>
      <c r="F38" s="182"/>
      <c r="G38" s="178">
        <f t="shared" si="6"/>
        <v>-10294.136260000014</v>
      </c>
      <c r="H38" s="178">
        <f t="shared" si="7"/>
        <v>84483.53279968014</v>
      </c>
    </row>
    <row r="39" spans="1:8" ht="15">
      <c r="A39" s="142">
        <v>2004</v>
      </c>
      <c r="B39" s="145">
        <v>10</v>
      </c>
      <c r="C39" s="144" t="s">
        <v>42</v>
      </c>
      <c r="D39" s="178">
        <v>72667.87</v>
      </c>
      <c r="E39" s="178">
        <f>-'A-1 Summary'!D24</f>
        <v>-82594.32903200001</v>
      </c>
      <c r="F39" s="182"/>
      <c r="G39" s="178">
        <f t="shared" si="6"/>
        <v>-9926.459032000013</v>
      </c>
      <c r="H39" s="178">
        <f t="shared" si="7"/>
        <v>74557.07376768012</v>
      </c>
    </row>
    <row r="40" spans="1:8" ht="15">
      <c r="A40" s="142">
        <v>2004</v>
      </c>
      <c r="B40" s="145">
        <v>11</v>
      </c>
      <c r="C40" s="144" t="s">
        <v>43</v>
      </c>
      <c r="D40" s="178">
        <v>72667.87</v>
      </c>
      <c r="E40" s="178">
        <f>-'A-1 Summary'!D25</f>
        <v>-77604.94851200002</v>
      </c>
      <c r="F40" s="182"/>
      <c r="G40" s="178">
        <f t="shared" si="6"/>
        <v>-4937.078512000022</v>
      </c>
      <c r="H40" s="178">
        <f t="shared" si="7"/>
        <v>69619.9952556801</v>
      </c>
    </row>
    <row r="41" spans="1:8" ht="15">
      <c r="A41" s="142">
        <v>2004</v>
      </c>
      <c r="B41" s="145">
        <v>12</v>
      </c>
      <c r="C41" s="144" t="s">
        <v>138</v>
      </c>
      <c r="D41" s="178">
        <v>72667.87</v>
      </c>
      <c r="E41" s="178">
        <f>-'A-1 Summary'!D26</f>
        <v>-88598.525929</v>
      </c>
      <c r="F41" s="182"/>
      <c r="G41" s="178">
        <f t="shared" si="6"/>
        <v>-15930.655929</v>
      </c>
      <c r="H41" s="178">
        <f t="shared" si="7"/>
        <v>53689.3393266801</v>
      </c>
    </row>
    <row r="42" spans="1:8" s="16" customFormat="1" ht="15">
      <c r="A42" s="118" t="s">
        <v>70</v>
      </c>
      <c r="B42" s="122"/>
      <c r="C42" s="123"/>
      <c r="D42" s="179">
        <f>SUM(D30:D41)</f>
        <v>948037.0299999999</v>
      </c>
      <c r="E42" s="179">
        <f>SUM(E30:E41)</f>
        <v>-1025670.8658910001</v>
      </c>
      <c r="F42" s="179">
        <f>SUM(F30:F41)</f>
        <v>-13971.240000000002</v>
      </c>
      <c r="G42" s="179">
        <f>SUM(G30:G41)</f>
        <v>-91605.07589100003</v>
      </c>
      <c r="H42" s="179"/>
    </row>
    <row r="43" spans="1:8" ht="15">
      <c r="A43" s="142"/>
      <c r="B43" s="145"/>
      <c r="C43" s="144"/>
      <c r="D43" s="178"/>
      <c r="E43" s="178"/>
      <c r="F43" s="182"/>
      <c r="G43" s="182"/>
      <c r="H43" s="182"/>
    </row>
    <row r="44" spans="1:8" ht="15">
      <c r="A44" s="142">
        <v>2005</v>
      </c>
      <c r="B44" s="145">
        <v>1</v>
      </c>
      <c r="C44" s="144" t="s">
        <v>34</v>
      </c>
      <c r="D44" s="178">
        <v>72667.87</v>
      </c>
      <c r="E44" s="178">
        <f>-'A-1 Summary'!E15</f>
        <v>-100885.14504</v>
      </c>
      <c r="F44" s="182"/>
      <c r="G44" s="178">
        <f aca="true" t="shared" si="8" ref="G44:G55">SUM(D44:F44)</f>
        <v>-28217.275040000008</v>
      </c>
      <c r="H44" s="178">
        <f>H41+G44</f>
        <v>25472.06428668009</v>
      </c>
    </row>
    <row r="45" spans="1:8" ht="15">
      <c r="A45" s="142">
        <v>2005</v>
      </c>
      <c r="B45" s="145">
        <v>2</v>
      </c>
      <c r="C45" s="144" t="s">
        <v>35</v>
      </c>
      <c r="D45" s="178">
        <v>72667.87</v>
      </c>
      <c r="E45" s="178">
        <f>-'A-1 Summary'!E16</f>
        <v>-114840.956915</v>
      </c>
      <c r="F45" s="182"/>
      <c r="G45" s="178">
        <f t="shared" si="8"/>
        <v>-42173.08691500001</v>
      </c>
      <c r="H45" s="178">
        <f>H44+G45</f>
        <v>-16701.022628319915</v>
      </c>
    </row>
    <row r="46" spans="1:8" ht="15">
      <c r="A46" s="142">
        <v>2005</v>
      </c>
      <c r="B46" s="145">
        <v>3</v>
      </c>
      <c r="C46" s="144" t="s">
        <v>36</v>
      </c>
      <c r="D46" s="178">
        <v>72667.87</v>
      </c>
      <c r="E46" s="178">
        <f>-'A-1 Summary'!E17</f>
        <v>-240603.044245</v>
      </c>
      <c r="F46" s="182"/>
      <c r="G46" s="178">
        <f t="shared" si="8"/>
        <v>-167935.174245</v>
      </c>
      <c r="H46" s="178">
        <f aca="true" t="shared" si="9" ref="H46:H55">H45+G46</f>
        <v>-184636.19687331992</v>
      </c>
    </row>
    <row r="47" spans="1:8" ht="15">
      <c r="A47" s="142">
        <v>2005</v>
      </c>
      <c r="B47" s="145">
        <v>4</v>
      </c>
      <c r="C47" s="144" t="s">
        <v>37</v>
      </c>
      <c r="D47" s="178">
        <f>837782.35/12</f>
        <v>69815.19583333333</v>
      </c>
      <c r="E47" s="178">
        <f>-'A-1 Summary'!E18</f>
        <v>-603.9098</v>
      </c>
      <c r="F47" s="182"/>
      <c r="G47" s="178">
        <f t="shared" si="8"/>
        <v>69211.28603333334</v>
      </c>
      <c r="H47" s="178">
        <f t="shared" si="9"/>
        <v>-115424.91083998658</v>
      </c>
    </row>
    <row r="48" spans="1:8" ht="15">
      <c r="A48" s="142">
        <v>2005</v>
      </c>
      <c r="B48" s="145">
        <v>5</v>
      </c>
      <c r="C48" s="144" t="s">
        <v>30</v>
      </c>
      <c r="D48" s="178">
        <f aca="true" t="shared" si="10" ref="D48:D55">837782.35/12</f>
        <v>69815.19583333333</v>
      </c>
      <c r="E48" s="178">
        <f>-'A-1 Summary'!E19</f>
        <v>-41795.898799999995</v>
      </c>
      <c r="F48" s="182"/>
      <c r="G48" s="178">
        <f t="shared" si="8"/>
        <v>28019.297033333336</v>
      </c>
      <c r="H48" s="178">
        <f t="shared" si="9"/>
        <v>-87405.61380665324</v>
      </c>
    </row>
    <row r="49" spans="1:8" ht="15">
      <c r="A49" s="142">
        <v>2005</v>
      </c>
      <c r="B49" s="145">
        <v>6</v>
      </c>
      <c r="C49" s="144" t="s">
        <v>31</v>
      </c>
      <c r="D49" s="178">
        <f t="shared" si="10"/>
        <v>69815.19583333333</v>
      </c>
      <c r="E49" s="178">
        <f>-'A-1 Summary'!E20</f>
        <v>-58860.186299999994</v>
      </c>
      <c r="F49" s="182"/>
      <c r="G49" s="178">
        <f t="shared" si="8"/>
        <v>10955.009533333337</v>
      </c>
      <c r="H49" s="178">
        <f t="shared" si="9"/>
        <v>-76450.60427331991</v>
      </c>
    </row>
    <row r="50" spans="1:8" ht="15">
      <c r="A50" s="142">
        <v>2005</v>
      </c>
      <c r="B50" s="145">
        <v>7</v>
      </c>
      <c r="C50" s="144" t="s">
        <v>39</v>
      </c>
      <c r="D50" s="178">
        <f t="shared" si="10"/>
        <v>69815.19583333333</v>
      </c>
      <c r="E50" s="178">
        <f>-'A-1 Summary'!E21</f>
        <v>-62830.1448</v>
      </c>
      <c r="F50" s="180">
        <f>-58620.41-55975.51</f>
        <v>-114595.92000000001</v>
      </c>
      <c r="G50" s="178">
        <f t="shared" si="8"/>
        <v>-107610.86896666669</v>
      </c>
      <c r="H50" s="178">
        <f t="shared" si="9"/>
        <v>-184061.4732399866</v>
      </c>
    </row>
    <row r="51" spans="1:8" ht="15">
      <c r="A51" s="142">
        <v>2005</v>
      </c>
      <c r="B51" s="145">
        <v>8</v>
      </c>
      <c r="C51" s="144" t="s">
        <v>40</v>
      </c>
      <c r="D51" s="178">
        <f t="shared" si="10"/>
        <v>69815.19583333333</v>
      </c>
      <c r="E51" s="178">
        <f>-'A-1 Summary'!E22</f>
        <v>-71090.31809999999</v>
      </c>
      <c r="F51" s="182"/>
      <c r="G51" s="178">
        <f t="shared" si="8"/>
        <v>-1275.122266666658</v>
      </c>
      <c r="H51" s="178">
        <f t="shared" si="9"/>
        <v>-185336.59550665325</v>
      </c>
    </row>
    <row r="52" spans="1:8" ht="15">
      <c r="A52" s="142">
        <v>2005</v>
      </c>
      <c r="B52" s="145">
        <v>9</v>
      </c>
      <c r="C52" s="144" t="s">
        <v>59</v>
      </c>
      <c r="D52" s="178">
        <f t="shared" si="10"/>
        <v>69815.19583333333</v>
      </c>
      <c r="E52" s="178">
        <f>-'A-1 Summary'!E23</f>
        <v>0.00016961928457021714</v>
      </c>
      <c r="F52" s="182"/>
      <c r="G52" s="178">
        <f t="shared" si="8"/>
        <v>69815.19600295261</v>
      </c>
      <c r="H52" s="178">
        <f t="shared" si="9"/>
        <v>-115521.39950370064</v>
      </c>
    </row>
    <row r="53" spans="1:8" ht="15">
      <c r="A53" s="142">
        <v>2005</v>
      </c>
      <c r="B53" s="145">
        <v>10</v>
      </c>
      <c r="C53" s="144" t="s">
        <v>42</v>
      </c>
      <c r="D53" s="178">
        <f t="shared" si="10"/>
        <v>69815.19583333333</v>
      </c>
      <c r="E53" s="178">
        <f>-'A-1 Summary'!E24</f>
        <v>-42891.01304333333</v>
      </c>
      <c r="F53" s="182"/>
      <c r="G53" s="178">
        <f t="shared" si="8"/>
        <v>26924.18279</v>
      </c>
      <c r="H53" s="178">
        <f t="shared" si="9"/>
        <v>-88597.21671370065</v>
      </c>
    </row>
    <row r="54" spans="1:8" ht="15">
      <c r="A54" s="142">
        <v>2005</v>
      </c>
      <c r="B54" s="145">
        <v>11</v>
      </c>
      <c r="C54" s="144" t="s">
        <v>43</v>
      </c>
      <c r="D54" s="178">
        <f t="shared" si="10"/>
        <v>69815.19583333333</v>
      </c>
      <c r="E54" s="178">
        <f>-'A-1 Summary'!E25</f>
        <v>-107785.66097</v>
      </c>
      <c r="F54" s="182"/>
      <c r="G54" s="178">
        <f t="shared" si="8"/>
        <v>-37970.465136666666</v>
      </c>
      <c r="H54" s="178">
        <f t="shared" si="9"/>
        <v>-126567.68185036731</v>
      </c>
    </row>
    <row r="55" spans="1:8" ht="15">
      <c r="A55" s="142">
        <v>2005</v>
      </c>
      <c r="B55" s="145">
        <v>12</v>
      </c>
      <c r="C55" s="144" t="s">
        <v>138</v>
      </c>
      <c r="D55" s="178">
        <f t="shared" si="10"/>
        <v>69815.19583333333</v>
      </c>
      <c r="E55" s="178">
        <f>-'A-1 Summary'!E26</f>
        <v>-99120.28621289355</v>
      </c>
      <c r="F55" s="182"/>
      <c r="G55" s="178">
        <f t="shared" si="8"/>
        <v>-29305.09037956022</v>
      </c>
      <c r="H55" s="178">
        <f t="shared" si="9"/>
        <v>-155872.77222992753</v>
      </c>
    </row>
    <row r="56" spans="1:8" s="16" customFormat="1" ht="15">
      <c r="A56" s="118" t="s">
        <v>71</v>
      </c>
      <c r="B56" s="122"/>
      <c r="C56" s="123"/>
      <c r="D56" s="179">
        <f>SUM(D44:D55)</f>
        <v>846340.3724999997</v>
      </c>
      <c r="E56" s="179">
        <f>SUM(E44:E55)</f>
        <v>-941306.5640566075</v>
      </c>
      <c r="F56" s="179">
        <f>SUM(F44:F55)</f>
        <v>-114595.92000000001</v>
      </c>
      <c r="G56" s="179">
        <f>SUM(G44:G55)</f>
        <v>-209562.11155660765</v>
      </c>
      <c r="H56" s="179"/>
    </row>
    <row r="57" spans="1:8" ht="15">
      <c r="A57" s="142"/>
      <c r="B57" s="145"/>
      <c r="C57" s="144"/>
      <c r="D57" s="178"/>
      <c r="E57" s="178"/>
      <c r="F57" s="182"/>
      <c r="G57" s="182"/>
      <c r="H57" s="182"/>
    </row>
    <row r="58" spans="1:8" ht="15" hidden="1">
      <c r="A58" s="146" t="s">
        <v>61</v>
      </c>
      <c r="B58" s="143"/>
      <c r="C58" s="144"/>
      <c r="D58" s="178"/>
      <c r="E58" s="178"/>
      <c r="F58" s="182"/>
      <c r="G58" s="182"/>
      <c r="H58" s="182"/>
    </row>
    <row r="59" spans="1:8" ht="15" hidden="1">
      <c r="A59" s="146"/>
      <c r="B59" s="143"/>
      <c r="C59" s="144"/>
      <c r="D59" s="178"/>
      <c r="E59" s="178"/>
      <c r="F59" s="182"/>
      <c r="G59" s="182"/>
      <c r="H59" s="182"/>
    </row>
    <row r="60" spans="1:8" ht="15" hidden="1">
      <c r="A60" s="146"/>
      <c r="B60" s="143"/>
      <c r="C60" s="144"/>
      <c r="D60" s="178"/>
      <c r="E60" s="178"/>
      <c r="F60" s="182"/>
      <c r="G60" s="182"/>
      <c r="H60" s="182"/>
    </row>
    <row r="61" spans="1:8" ht="15" hidden="1">
      <c r="A61" s="146"/>
      <c r="B61" s="143"/>
      <c r="C61" s="144"/>
      <c r="D61" s="178"/>
      <c r="E61" s="178"/>
      <c r="F61" s="182"/>
      <c r="G61" s="182"/>
      <c r="H61" s="182"/>
    </row>
    <row r="62" spans="1:8" ht="15" hidden="1">
      <c r="A62" s="142"/>
      <c r="B62" s="145"/>
      <c r="C62" s="144"/>
      <c r="D62" s="178"/>
      <c r="E62" s="178"/>
      <c r="F62" s="182"/>
      <c r="G62" s="182"/>
      <c r="H62" s="182"/>
    </row>
    <row r="63" spans="1:8" ht="15">
      <c r="A63" s="142"/>
      <c r="B63" s="145"/>
      <c r="C63" s="144"/>
      <c r="D63" s="178"/>
      <c r="E63" s="178"/>
      <c r="F63" s="182"/>
      <c r="G63" s="182"/>
      <c r="H63" s="182"/>
    </row>
    <row r="64" spans="1:8" ht="15">
      <c r="A64" s="142">
        <v>2006</v>
      </c>
      <c r="B64" s="145">
        <v>1</v>
      </c>
      <c r="C64" s="144" t="s">
        <v>34</v>
      </c>
      <c r="D64" s="178">
        <f>837782.35/12</f>
        <v>69815.19583333333</v>
      </c>
      <c r="E64" s="178">
        <f>-'A-1 Summary'!F15</f>
        <v>-74325.33719416666</v>
      </c>
      <c r="F64" s="182"/>
      <c r="G64" s="178">
        <f>SUM(D64:F64)</f>
        <v>-4510.141360833324</v>
      </c>
      <c r="H64" s="178">
        <f>H55+G64</f>
        <v>-160382.91359076084</v>
      </c>
    </row>
    <row r="65" spans="1:8" ht="15">
      <c r="A65" s="142">
        <v>2006</v>
      </c>
      <c r="B65" s="145">
        <v>2</v>
      </c>
      <c r="C65" s="144" t="s">
        <v>35</v>
      </c>
      <c r="D65" s="178">
        <f>837782.35/12</f>
        <v>69815.19583333333</v>
      </c>
      <c r="E65" s="178">
        <f>-'A-1 Summary'!F16</f>
        <v>-84209.3793175</v>
      </c>
      <c r="F65" s="182"/>
      <c r="G65" s="178">
        <f>SUM(D65:F65)</f>
        <v>-14394.183484166671</v>
      </c>
      <c r="H65" s="178">
        <f>H64+G65</f>
        <v>-174777.09707492753</v>
      </c>
    </row>
    <row r="66" spans="1:8" ht="15">
      <c r="A66" s="142">
        <v>2006</v>
      </c>
      <c r="B66" s="145">
        <v>3</v>
      </c>
      <c r="C66" s="144" t="s">
        <v>36</v>
      </c>
      <c r="D66" s="178">
        <f>837782.35/12</f>
        <v>69815.19583333333</v>
      </c>
      <c r="E66" s="178">
        <f>-'A-1 Summary'!F17</f>
        <v>-76951.19025749998</v>
      </c>
      <c r="F66" s="182"/>
      <c r="G66" s="178">
        <f>SUM(D66:F66)</f>
        <v>-7135.994424166653</v>
      </c>
      <c r="H66" s="178">
        <f>H65+G66</f>
        <v>-181913.09149909418</v>
      </c>
    </row>
    <row r="67" spans="1:8" ht="15.75" customHeight="1">
      <c r="A67" s="142">
        <v>2006</v>
      </c>
      <c r="B67" s="145">
        <v>4</v>
      </c>
      <c r="C67" s="51" t="s">
        <v>104</v>
      </c>
      <c r="D67" s="178">
        <f>837782.35/12</f>
        <v>69815.19583333333</v>
      </c>
      <c r="E67" s="178">
        <f>-'A-1 Summary'!F18-'A-1 Summary'!F19</f>
        <v>-165203.2968</v>
      </c>
      <c r="F67" s="180">
        <v>-58620.41</v>
      </c>
      <c r="G67" s="178">
        <f>SUM(D67:F67)</f>
        <v>-154008.51096666668</v>
      </c>
      <c r="H67" s="178">
        <f>H66+G67</f>
        <v>-335921.6024657609</v>
      </c>
    </row>
    <row r="68" spans="1:8" s="16" customFormat="1" ht="15">
      <c r="A68" s="184" t="s">
        <v>72</v>
      </c>
      <c r="B68" s="185"/>
      <c r="C68" s="186"/>
      <c r="D68" s="187">
        <f>SUM(D64:D67)</f>
        <v>279260.7833333333</v>
      </c>
      <c r="E68" s="187">
        <f>SUM(E64:E67)</f>
        <v>-400689.20356916665</v>
      </c>
      <c r="F68" s="187">
        <f>SUM(F64:F67)</f>
        <v>-58620.41</v>
      </c>
      <c r="G68" s="187">
        <f>SUM(G64:G67)</f>
        <v>-180048.83023583333</v>
      </c>
      <c r="H68" s="187"/>
    </row>
    <row r="69" spans="1:8" ht="15">
      <c r="A69" s="169"/>
      <c r="B69" s="188"/>
      <c r="C69" s="122"/>
      <c r="D69" s="181"/>
      <c r="E69" s="168"/>
      <c r="F69" s="171"/>
      <c r="G69" s="171"/>
      <c r="H69" s="170"/>
    </row>
    <row r="70" spans="1:8" s="16" customFormat="1" ht="15" hidden="1">
      <c r="A70" s="85"/>
      <c r="B70" s="86"/>
      <c r="C70" s="83"/>
      <c r="D70" s="178"/>
      <c r="E70" s="178"/>
      <c r="F70" s="183"/>
      <c r="G70" s="183"/>
      <c r="H70" s="183"/>
    </row>
    <row r="71" spans="1:8" ht="15" hidden="1">
      <c r="A71" s="142"/>
      <c r="B71" s="87"/>
      <c r="C71" s="88"/>
      <c r="D71" s="178"/>
      <c r="E71" s="178"/>
      <c r="F71" s="182"/>
      <c r="G71" s="182"/>
      <c r="H71" s="182"/>
    </row>
    <row r="72" spans="1:8" ht="15" hidden="1">
      <c r="A72" s="146" t="s">
        <v>62</v>
      </c>
      <c r="B72" s="143"/>
      <c r="C72" s="144"/>
      <c r="D72" s="178"/>
      <c r="E72" s="178"/>
      <c r="F72" s="182"/>
      <c r="G72" s="182"/>
      <c r="H72" s="182"/>
    </row>
    <row r="73" spans="1:8" ht="15" hidden="1">
      <c r="A73" s="142"/>
      <c r="B73" s="143"/>
      <c r="C73" s="144"/>
      <c r="D73" s="178"/>
      <c r="E73" s="178"/>
      <c r="F73" s="182"/>
      <c r="G73" s="182"/>
      <c r="H73" s="182"/>
    </row>
    <row r="74" spans="1:8" s="82" customFormat="1" ht="15">
      <c r="A74" s="194" t="s">
        <v>6</v>
      </c>
      <c r="B74" s="195"/>
      <c r="C74" s="195"/>
      <c r="D74" s="196">
        <f>D68+D56+D42+D28+D14</f>
        <v>4425847.785833334</v>
      </c>
      <c r="E74" s="196">
        <f>E68+E56+E42+E28+E14</f>
        <v>-4526433.168299094</v>
      </c>
      <c r="F74" s="196">
        <f>F68+F56+F42+F28+F14</f>
        <v>-235336.22</v>
      </c>
      <c r="G74" s="196">
        <f>G68+G56+G42+G28+G14</f>
        <v>-335921.60246576084</v>
      </c>
      <c r="H74" s="196"/>
    </row>
    <row r="75" spans="4:5" s="143" customFormat="1" ht="15" hidden="1">
      <c r="D75" s="119">
        <f>'A-1 Summary'!G52</f>
        <v>4425847.745833334</v>
      </c>
      <c r="E75" s="119">
        <f>'A-1 Summary'!G53</f>
        <v>4526433.168299094</v>
      </c>
    </row>
    <row r="76" spans="4:5" s="143" customFormat="1" ht="15" hidden="1">
      <c r="D76" s="119">
        <f>D74-D75</f>
        <v>0.0400000000372529</v>
      </c>
      <c r="E76" s="78" t="s">
        <v>98</v>
      </c>
    </row>
    <row r="77" spans="4:5" s="143" customFormat="1" ht="15">
      <c r="D77" s="119"/>
      <c r="E77" s="119"/>
    </row>
    <row r="78" spans="1:7" s="143" customFormat="1" ht="15">
      <c r="A78" s="143" t="s">
        <v>120</v>
      </c>
      <c r="C78" s="3"/>
      <c r="D78" s="119"/>
      <c r="E78" s="119"/>
      <c r="G78" s="4">
        <f>'A-3 Interest Trueup'!H164</f>
        <v>-34481.28233691823</v>
      </c>
    </row>
    <row r="79" spans="4:5" s="143" customFormat="1" ht="15">
      <c r="D79" s="119"/>
      <c r="E79" s="119"/>
    </row>
    <row r="80" spans="1:7" ht="15">
      <c r="A80" s="120" t="s">
        <v>123</v>
      </c>
      <c r="G80" s="2">
        <f>G74+G78</f>
        <v>-370402.88480267907</v>
      </c>
    </row>
  </sheetData>
  <sheetProtection/>
  <printOptions horizontalCentered="1"/>
  <pageMargins left="0.5118110236220472" right="0.5118110236220472" top="0.7874015748031497" bottom="0.7874015748031497" header="0.31496062992125984" footer="0.31496062992125984"/>
  <pageSetup fitToHeight="2" horizontalDpi="600" verticalDpi="600" orientation="portrait" scale="65" r:id="rId1"/>
  <headerFooter>
    <oddHeader>&amp;ROrillia Power Distribution Corporation
EB-2011-0191
Filed: October 28, 2011
Appendix B</oddHeader>
    <oddFooter>&amp;C&amp;F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4"/>
  <sheetViews>
    <sheetView zoomScalePageLayoutView="0" workbookViewId="0" topLeftCell="A133">
      <selection activeCell="H29" sqref="A1:H29"/>
    </sheetView>
  </sheetViews>
  <sheetFormatPr defaultColWidth="9.140625" defaultRowHeight="15"/>
  <cols>
    <col min="1" max="1" width="5.421875" style="0" bestFit="1" customWidth="1"/>
    <col min="2" max="2" width="14.7109375" style="0" hidden="1" customWidth="1"/>
    <col min="3" max="3" width="9.00390625" style="0" customWidth="1"/>
    <col min="4" max="4" width="12.57421875" style="74" bestFit="1" customWidth="1"/>
    <col min="5" max="5" width="13.57421875" style="74" bestFit="1" customWidth="1"/>
    <col min="6" max="6" width="11.57421875" style="0" bestFit="1" customWidth="1"/>
    <col min="7" max="7" width="11.8515625" style="0" customWidth="1"/>
    <col min="8" max="8" width="14.00390625" style="0" customWidth="1"/>
    <col min="9" max="9" width="2.140625" style="0" customWidth="1"/>
  </cols>
  <sheetData>
    <row r="1" spans="1:8" ht="15">
      <c r="A1" s="84"/>
      <c r="B1" s="84"/>
      <c r="C1" s="193"/>
      <c r="D1" s="147" t="s">
        <v>117</v>
      </c>
      <c r="E1" s="174"/>
      <c r="F1" s="175"/>
      <c r="G1" s="175"/>
      <c r="H1" s="176"/>
    </row>
    <row r="2" spans="1:8" s="1" customFormat="1" ht="30">
      <c r="A2" s="172" t="s">
        <v>25</v>
      </c>
      <c r="B2" s="173" t="s">
        <v>56</v>
      </c>
      <c r="C2" s="173" t="s">
        <v>26</v>
      </c>
      <c r="D2" s="226" t="s">
        <v>63</v>
      </c>
      <c r="E2" s="227" t="s">
        <v>64</v>
      </c>
      <c r="F2" s="227" t="s">
        <v>65</v>
      </c>
      <c r="G2" s="227" t="s">
        <v>121</v>
      </c>
      <c r="H2" s="228" t="s">
        <v>122</v>
      </c>
    </row>
    <row r="3" spans="1:8" s="1" customFormat="1" ht="15">
      <c r="A3" s="89"/>
      <c r="B3" s="19"/>
      <c r="C3" s="19" t="s">
        <v>35</v>
      </c>
      <c r="D3" s="90"/>
      <c r="E3" s="91"/>
      <c r="F3" s="91"/>
      <c r="G3" s="91"/>
      <c r="H3" s="92"/>
    </row>
    <row r="4" spans="1:8" ht="15">
      <c r="A4" s="64">
        <v>2002</v>
      </c>
      <c r="B4" s="3">
        <v>3</v>
      </c>
      <c r="C4" s="3" t="s">
        <v>36</v>
      </c>
      <c r="D4" s="77">
        <f>E3</f>
        <v>0</v>
      </c>
      <c r="E4" s="78">
        <f>'A-2 Principal trueup'!H4</f>
        <v>15724.008155379997</v>
      </c>
      <c r="F4" s="93">
        <v>0.0725</v>
      </c>
      <c r="G4" s="78">
        <f>D4*F4/12</f>
        <v>0</v>
      </c>
      <c r="H4" s="79">
        <f>G4</f>
        <v>0</v>
      </c>
    </row>
    <row r="5" spans="1:8" ht="15">
      <c r="A5" s="64">
        <v>2002</v>
      </c>
      <c r="B5" s="3">
        <v>4</v>
      </c>
      <c r="C5" s="3" t="s">
        <v>37</v>
      </c>
      <c r="D5" s="77">
        <f>E4</f>
        <v>15724.008155379997</v>
      </c>
      <c r="E5" s="78">
        <f>'A-2 Principal trueup'!H5</f>
        <v>32491.060994680025</v>
      </c>
      <c r="F5" s="93">
        <v>0.0725</v>
      </c>
      <c r="G5" s="78">
        <f>D5*F5/12</f>
        <v>94.99921593875415</v>
      </c>
      <c r="H5" s="79">
        <f>H4+G5</f>
        <v>94.99921593875415</v>
      </c>
    </row>
    <row r="6" spans="1:8" ht="15">
      <c r="A6" s="64">
        <v>2002</v>
      </c>
      <c r="B6" s="3">
        <v>5</v>
      </c>
      <c r="C6" s="3" t="s">
        <v>30</v>
      </c>
      <c r="D6" s="77">
        <f aca="true" t="shared" si="0" ref="D6:D13">E5</f>
        <v>32491.060994680025</v>
      </c>
      <c r="E6" s="78">
        <f>'A-2 Principal trueup'!H6</f>
        <v>94235.02389368005</v>
      </c>
      <c r="F6" s="93">
        <v>0.0725</v>
      </c>
      <c r="G6" s="78">
        <f aca="true" t="shared" si="1" ref="G6:G12">D6*F6/12</f>
        <v>196.30016017619178</v>
      </c>
      <c r="H6" s="79">
        <f>H5+G6</f>
        <v>291.2993761149459</v>
      </c>
    </row>
    <row r="7" spans="1:8" ht="15">
      <c r="A7" s="64">
        <v>2002</v>
      </c>
      <c r="B7" s="3">
        <v>6</v>
      </c>
      <c r="C7" s="3" t="s">
        <v>31</v>
      </c>
      <c r="D7" s="77">
        <f t="shared" si="0"/>
        <v>94235.02389368005</v>
      </c>
      <c r="E7" s="78">
        <f>'A-2 Principal trueup'!H7</f>
        <v>124216.09017368004</v>
      </c>
      <c r="F7" s="93">
        <v>0.0725</v>
      </c>
      <c r="G7" s="78">
        <f t="shared" si="1"/>
        <v>569.3366026909836</v>
      </c>
      <c r="H7" s="79">
        <f aca="true" t="shared" si="2" ref="H7:H13">H6+G7</f>
        <v>860.6359788059294</v>
      </c>
    </row>
    <row r="8" spans="1:8" ht="15">
      <c r="A8" s="64">
        <v>2002</v>
      </c>
      <c r="B8" s="3">
        <v>7</v>
      </c>
      <c r="C8" s="3" t="s">
        <v>39</v>
      </c>
      <c r="D8" s="77">
        <f t="shared" si="0"/>
        <v>124216.09017368004</v>
      </c>
      <c r="E8" s="78">
        <f>'A-2 Principal trueup'!H8</f>
        <v>146926.58935368006</v>
      </c>
      <c r="F8" s="93">
        <v>0.0725</v>
      </c>
      <c r="G8" s="78">
        <f t="shared" si="1"/>
        <v>750.4722114659835</v>
      </c>
      <c r="H8" s="79">
        <f t="shared" si="2"/>
        <v>1611.108190271913</v>
      </c>
    </row>
    <row r="9" spans="1:8" ht="15">
      <c r="A9" s="64">
        <v>2002</v>
      </c>
      <c r="B9" s="3">
        <v>8</v>
      </c>
      <c r="C9" s="3" t="s">
        <v>40</v>
      </c>
      <c r="D9" s="77">
        <f t="shared" si="0"/>
        <v>146926.58935368006</v>
      </c>
      <c r="E9" s="78">
        <f>'A-2 Principal trueup'!H9</f>
        <v>162233.2847926801</v>
      </c>
      <c r="F9" s="93">
        <v>0.0725</v>
      </c>
      <c r="G9" s="78">
        <f t="shared" si="1"/>
        <v>887.6814773451503</v>
      </c>
      <c r="H9" s="79">
        <f t="shared" si="2"/>
        <v>2498.789667617063</v>
      </c>
    </row>
    <row r="10" spans="1:8" ht="15">
      <c r="A10" s="64">
        <v>2002</v>
      </c>
      <c r="B10" s="3">
        <v>9</v>
      </c>
      <c r="C10" s="3" t="s">
        <v>59</v>
      </c>
      <c r="D10" s="77">
        <f t="shared" si="0"/>
        <v>162233.2847926801</v>
      </c>
      <c r="E10" s="78">
        <f>'A-2 Principal trueup'!H10</f>
        <v>181631.2651066801</v>
      </c>
      <c r="F10" s="93">
        <v>0.0725</v>
      </c>
      <c r="G10" s="78">
        <f t="shared" si="1"/>
        <v>980.1594289557755</v>
      </c>
      <c r="H10" s="79">
        <f t="shared" si="2"/>
        <v>3478.9490965728387</v>
      </c>
    </row>
    <row r="11" spans="1:8" ht="15">
      <c r="A11" s="64">
        <v>2002</v>
      </c>
      <c r="B11" s="3">
        <v>10</v>
      </c>
      <c r="C11" s="3" t="s">
        <v>42</v>
      </c>
      <c r="D11" s="77">
        <f t="shared" si="0"/>
        <v>181631.2651066801</v>
      </c>
      <c r="E11" s="78">
        <f>'A-2 Principal trueup'!H11</f>
        <v>210896.89268068012</v>
      </c>
      <c r="F11" s="93">
        <v>0.0725</v>
      </c>
      <c r="G11" s="78">
        <f t="shared" si="1"/>
        <v>1097.3555600195257</v>
      </c>
      <c r="H11" s="79">
        <f t="shared" si="2"/>
        <v>4576.304656592364</v>
      </c>
    </row>
    <row r="12" spans="1:8" ht="15">
      <c r="A12" s="64">
        <v>2002</v>
      </c>
      <c r="B12" s="3">
        <v>11</v>
      </c>
      <c r="C12" s="3" t="s">
        <v>43</v>
      </c>
      <c r="D12" s="77">
        <f t="shared" si="0"/>
        <v>210896.89268068012</v>
      </c>
      <c r="E12" s="78">
        <f>'A-2 Principal trueup'!H12</f>
        <v>242915.6381506801</v>
      </c>
      <c r="F12" s="93">
        <v>0.0725</v>
      </c>
      <c r="G12" s="78">
        <f t="shared" si="1"/>
        <v>1274.1687266124422</v>
      </c>
      <c r="H12" s="79">
        <f t="shared" si="2"/>
        <v>5850.473383204806</v>
      </c>
    </row>
    <row r="13" spans="1:8" ht="15">
      <c r="A13" s="64">
        <v>2002</v>
      </c>
      <c r="B13" s="3">
        <v>12</v>
      </c>
      <c r="C13" s="3" t="s">
        <v>44</v>
      </c>
      <c r="D13" s="77">
        <f t="shared" si="0"/>
        <v>242915.6381506801</v>
      </c>
      <c r="E13" s="78">
        <f>'A-2 Principal trueup'!H13</f>
        <v>250354.70694768016</v>
      </c>
      <c r="F13" s="93">
        <v>0.0725</v>
      </c>
      <c r="G13" s="78">
        <f>D13*F13/12</f>
        <v>1467.6153138270256</v>
      </c>
      <c r="H13" s="79">
        <f t="shared" si="2"/>
        <v>7318.0886970318315</v>
      </c>
    </row>
    <row r="14" spans="1:8" ht="15">
      <c r="A14" s="49"/>
      <c r="B14" s="75"/>
      <c r="C14" s="75"/>
      <c r="D14" s="80"/>
      <c r="E14" s="76"/>
      <c r="F14" s="76"/>
      <c r="G14" s="76">
        <f>SUM(G4:G13)</f>
        <v>7318.0886970318315</v>
      </c>
      <c r="H14" s="81"/>
    </row>
    <row r="15" spans="1:8" ht="15">
      <c r="A15" s="64"/>
      <c r="B15" s="3"/>
      <c r="C15" s="3"/>
      <c r="D15" s="77" t="s">
        <v>106</v>
      </c>
      <c r="E15" s="78"/>
      <c r="F15" s="78"/>
      <c r="G15" s="78"/>
      <c r="H15" s="79"/>
    </row>
    <row r="16" spans="1:8" ht="15">
      <c r="A16" s="64"/>
      <c r="B16" s="3"/>
      <c r="C16" s="3"/>
      <c r="D16" s="77"/>
      <c r="E16" s="78"/>
      <c r="F16" s="3"/>
      <c r="G16" s="78"/>
      <c r="H16" s="79"/>
    </row>
    <row r="17" spans="1:8" ht="15">
      <c r="A17" s="64">
        <v>2003</v>
      </c>
      <c r="B17" s="68">
        <v>1</v>
      </c>
      <c r="C17" s="3" t="s">
        <v>34</v>
      </c>
      <c r="D17" s="77">
        <f>E13</f>
        <v>250354.70694768016</v>
      </c>
      <c r="E17" s="78">
        <f>'A-2 Principal trueup'!H16</f>
        <v>243044.96386901347</v>
      </c>
      <c r="F17" s="93">
        <v>0.0725</v>
      </c>
      <c r="G17" s="78">
        <f aca="true" t="shared" si="3" ref="G17:G28">D17*F17/12</f>
        <v>1512.559687808901</v>
      </c>
      <c r="H17" s="79">
        <f>H13+G17</f>
        <v>8830.648384840733</v>
      </c>
    </row>
    <row r="18" spans="1:8" ht="15">
      <c r="A18" s="64">
        <v>2003</v>
      </c>
      <c r="B18" s="68">
        <v>2</v>
      </c>
      <c r="C18" s="3" t="s">
        <v>35</v>
      </c>
      <c r="D18" s="77">
        <f>E17</f>
        <v>243044.96386901347</v>
      </c>
      <c r="E18" s="78">
        <f>'A-2 Principal trueup'!H17</f>
        <v>221506.17598534684</v>
      </c>
      <c r="F18" s="93">
        <v>0.0725</v>
      </c>
      <c r="G18" s="78">
        <f t="shared" si="3"/>
        <v>1468.396656708623</v>
      </c>
      <c r="H18" s="79">
        <f>H17+G18</f>
        <v>10299.045041549356</v>
      </c>
    </row>
    <row r="19" spans="1:8" ht="15">
      <c r="A19" s="64">
        <v>2003</v>
      </c>
      <c r="B19" s="68">
        <v>3</v>
      </c>
      <c r="C19" s="3" t="s">
        <v>36</v>
      </c>
      <c r="D19" s="77">
        <f aca="true" t="shared" si="4" ref="D19:D28">E18</f>
        <v>221506.17598534684</v>
      </c>
      <c r="E19" s="78">
        <f>'A-2 Principal trueup'!H18</f>
        <v>219719.92046468018</v>
      </c>
      <c r="F19" s="93">
        <v>0.0725</v>
      </c>
      <c r="G19" s="78">
        <f t="shared" si="3"/>
        <v>1338.2664799114705</v>
      </c>
      <c r="H19" s="79">
        <f aca="true" t="shared" si="5" ref="H19:H27">H18+G19</f>
        <v>11637.311521460826</v>
      </c>
    </row>
    <row r="20" spans="1:8" ht="15">
      <c r="A20" s="64">
        <v>2003</v>
      </c>
      <c r="B20" s="68">
        <v>4</v>
      </c>
      <c r="C20" s="3" t="s">
        <v>37</v>
      </c>
      <c r="D20" s="77">
        <f t="shared" si="4"/>
        <v>219719.92046468018</v>
      </c>
      <c r="E20" s="78">
        <f>'A-2 Principal trueup'!H19</f>
        <v>207847.7752170135</v>
      </c>
      <c r="F20" s="93">
        <v>0.0725</v>
      </c>
      <c r="G20" s="78">
        <f t="shared" si="3"/>
        <v>1327.4745194741092</v>
      </c>
      <c r="H20" s="79">
        <f t="shared" si="5"/>
        <v>12964.786040934936</v>
      </c>
    </row>
    <row r="21" spans="1:8" ht="15">
      <c r="A21" s="64">
        <v>2003</v>
      </c>
      <c r="B21" s="68">
        <v>5</v>
      </c>
      <c r="C21" s="3" t="s">
        <v>30</v>
      </c>
      <c r="D21" s="77">
        <f t="shared" si="4"/>
        <v>207847.7752170135</v>
      </c>
      <c r="E21" s="78">
        <f>'A-2 Principal trueup'!H20</f>
        <v>199539.55167134682</v>
      </c>
      <c r="F21" s="93">
        <v>0.0725</v>
      </c>
      <c r="G21" s="78">
        <f t="shared" si="3"/>
        <v>1255.7469752694565</v>
      </c>
      <c r="H21" s="79">
        <f t="shared" si="5"/>
        <v>14220.533016204392</v>
      </c>
    </row>
    <row r="22" spans="1:8" ht="15">
      <c r="A22" s="64">
        <v>2003</v>
      </c>
      <c r="B22" s="68">
        <v>6</v>
      </c>
      <c r="C22" s="3" t="s">
        <v>31</v>
      </c>
      <c r="D22" s="77">
        <f t="shared" si="4"/>
        <v>199539.55167134682</v>
      </c>
      <c r="E22" s="78">
        <f>'A-2 Principal trueup'!H21</f>
        <v>194621.86921268015</v>
      </c>
      <c r="F22" s="93">
        <v>0.0725</v>
      </c>
      <c r="G22" s="78">
        <f t="shared" si="3"/>
        <v>1205.551458014387</v>
      </c>
      <c r="H22" s="79">
        <f t="shared" si="5"/>
        <v>15426.084474218778</v>
      </c>
    </row>
    <row r="23" spans="1:8" ht="15">
      <c r="A23" s="64">
        <v>2003</v>
      </c>
      <c r="B23" s="68">
        <v>7</v>
      </c>
      <c r="C23" s="3" t="s">
        <v>39</v>
      </c>
      <c r="D23" s="77">
        <f t="shared" si="4"/>
        <v>194621.86921268015</v>
      </c>
      <c r="E23" s="78">
        <f>'A-2 Principal trueup'!H22</f>
        <v>148021.5594170135</v>
      </c>
      <c r="F23" s="93">
        <v>0.0725</v>
      </c>
      <c r="G23" s="78">
        <f t="shared" si="3"/>
        <v>1175.840459826609</v>
      </c>
      <c r="H23" s="79">
        <f t="shared" si="5"/>
        <v>16601.924934045386</v>
      </c>
    </row>
    <row r="24" spans="1:8" ht="15">
      <c r="A24" s="64">
        <v>2003</v>
      </c>
      <c r="B24" s="68">
        <v>8</v>
      </c>
      <c r="C24" s="3" t="s">
        <v>40</v>
      </c>
      <c r="D24" s="77">
        <f t="shared" si="4"/>
        <v>148021.5594170135</v>
      </c>
      <c r="E24" s="78">
        <f>'A-2 Principal trueup'!H23</f>
        <v>147442.08105034684</v>
      </c>
      <c r="F24" s="93">
        <v>0.0725</v>
      </c>
      <c r="G24" s="78">
        <f t="shared" si="3"/>
        <v>894.2969214777899</v>
      </c>
      <c r="H24" s="79">
        <f t="shared" si="5"/>
        <v>17496.221855523178</v>
      </c>
    </row>
    <row r="25" spans="1:8" ht="15">
      <c r="A25" s="64">
        <v>2003</v>
      </c>
      <c r="B25" s="68">
        <v>9</v>
      </c>
      <c r="C25" s="3" t="s">
        <v>59</v>
      </c>
      <c r="D25" s="77">
        <f t="shared" si="4"/>
        <v>147442.08105034684</v>
      </c>
      <c r="E25" s="78">
        <f>'A-2 Principal trueup'!H24</f>
        <v>145953.60976568016</v>
      </c>
      <c r="F25" s="93">
        <v>0.0725</v>
      </c>
      <c r="G25" s="78">
        <f t="shared" si="3"/>
        <v>890.7959063458453</v>
      </c>
      <c r="H25" s="79">
        <f t="shared" si="5"/>
        <v>18387.01776186902</v>
      </c>
    </row>
    <row r="26" spans="1:8" ht="15">
      <c r="A26" s="64">
        <v>2003</v>
      </c>
      <c r="B26" s="68">
        <v>10</v>
      </c>
      <c r="C26" s="3" t="s">
        <v>42</v>
      </c>
      <c r="D26" s="77">
        <f t="shared" si="4"/>
        <v>145953.60976568016</v>
      </c>
      <c r="E26" s="78">
        <f>'A-2 Principal trueup'!H25</f>
        <v>145910.6895990135</v>
      </c>
      <c r="F26" s="93">
        <v>0.0725</v>
      </c>
      <c r="G26" s="78">
        <f t="shared" si="3"/>
        <v>881.8030590009843</v>
      </c>
      <c r="H26" s="79">
        <f t="shared" si="5"/>
        <v>19268.820820870005</v>
      </c>
    </row>
    <row r="27" spans="1:8" ht="15">
      <c r="A27" s="64">
        <v>2003</v>
      </c>
      <c r="B27" s="68">
        <v>11</v>
      </c>
      <c r="C27" s="3" t="s">
        <v>43</v>
      </c>
      <c r="D27" s="77">
        <f t="shared" si="4"/>
        <v>145910.6895990135</v>
      </c>
      <c r="E27" s="78">
        <f>'A-2 Principal trueup'!H26</f>
        <v>149385.42514734686</v>
      </c>
      <c r="F27" s="93">
        <v>0.0725</v>
      </c>
      <c r="G27" s="78">
        <f t="shared" si="3"/>
        <v>881.5437496607066</v>
      </c>
      <c r="H27" s="79">
        <f t="shared" si="5"/>
        <v>20150.364570530714</v>
      </c>
    </row>
    <row r="28" spans="1:8" ht="15">
      <c r="A28" s="64">
        <v>2003</v>
      </c>
      <c r="B28" s="68">
        <v>12</v>
      </c>
      <c r="C28" s="3" t="s">
        <v>44</v>
      </c>
      <c r="D28" s="77">
        <f t="shared" si="4"/>
        <v>149385.42514734686</v>
      </c>
      <c r="E28" s="78">
        <f>'A-2 Principal trueup'!H27</f>
        <v>145294.41521768016</v>
      </c>
      <c r="F28" s="93">
        <v>0.0725</v>
      </c>
      <c r="G28" s="78">
        <f t="shared" si="3"/>
        <v>902.5369435985539</v>
      </c>
      <c r="H28" s="79">
        <f>H27+G28</f>
        <v>21052.901514129266</v>
      </c>
    </row>
    <row r="29" spans="1:8" ht="15">
      <c r="A29" s="49"/>
      <c r="B29" s="75"/>
      <c r="C29" s="75"/>
      <c r="D29" s="80"/>
      <c r="E29" s="76"/>
      <c r="F29" s="75"/>
      <c r="G29" s="76">
        <f>SUM(G17:G28)</f>
        <v>13734.812817097436</v>
      </c>
      <c r="H29" s="81"/>
    </row>
    <row r="30" spans="1:8" ht="15">
      <c r="A30" s="64"/>
      <c r="B30" s="68"/>
      <c r="C30" s="3"/>
      <c r="D30" s="77"/>
      <c r="E30" s="78"/>
      <c r="F30" s="3"/>
      <c r="G30" s="3"/>
      <c r="H30" s="51"/>
    </row>
    <row r="31" spans="1:8" ht="15">
      <c r="A31" s="64"/>
      <c r="B31" s="68"/>
      <c r="C31" s="3"/>
      <c r="D31" s="77"/>
      <c r="E31" s="78"/>
      <c r="F31" s="3"/>
      <c r="G31" s="3"/>
      <c r="H31" s="51"/>
    </row>
    <row r="32" spans="1:8" ht="15">
      <c r="A32" s="64">
        <v>2004</v>
      </c>
      <c r="B32" s="68">
        <v>1</v>
      </c>
      <c r="C32" s="3" t="s">
        <v>34</v>
      </c>
      <c r="D32" s="77">
        <f>E28</f>
        <v>145294.41521768016</v>
      </c>
      <c r="E32" s="78">
        <f>'A-2 Principal trueup'!H30</f>
        <v>137650.0808980135</v>
      </c>
      <c r="F32" s="93">
        <v>0.0725</v>
      </c>
      <c r="G32" s="78">
        <f>D32*F32/12</f>
        <v>877.8204252734841</v>
      </c>
      <c r="H32" s="79">
        <f>H28+G32</f>
        <v>21930.72193940275</v>
      </c>
    </row>
    <row r="33" spans="1:8" ht="15">
      <c r="A33" s="64">
        <v>2004</v>
      </c>
      <c r="B33" s="68">
        <v>2</v>
      </c>
      <c r="C33" s="3" t="s">
        <v>35</v>
      </c>
      <c r="D33" s="77">
        <f>E32</f>
        <v>137650.0808980135</v>
      </c>
      <c r="E33" s="78">
        <f>'A-2 Principal trueup'!H31</f>
        <v>121139.39593334684</v>
      </c>
      <c r="F33" s="93">
        <v>0.0725</v>
      </c>
      <c r="G33" s="78">
        <f aca="true" t="shared" si="6" ref="G33:G43">D33*F33/12</f>
        <v>831.6359054254981</v>
      </c>
      <c r="H33" s="79">
        <f>H32+G33</f>
        <v>22762.357844828246</v>
      </c>
    </row>
    <row r="34" spans="1:8" ht="15">
      <c r="A34" s="64">
        <v>2004</v>
      </c>
      <c r="B34" s="68">
        <v>3</v>
      </c>
      <c r="C34" s="3" t="s">
        <v>36</v>
      </c>
      <c r="D34" s="77">
        <f aca="true" t="shared" si="7" ref="D34:D43">E33</f>
        <v>121139.39593334684</v>
      </c>
      <c r="E34" s="78">
        <f>'A-2 Principal trueup'!H32</f>
        <v>45142.789030680186</v>
      </c>
      <c r="F34" s="93">
        <v>0.0725</v>
      </c>
      <c r="G34" s="78">
        <f t="shared" si="6"/>
        <v>731.8838504306372</v>
      </c>
      <c r="H34" s="79">
        <f aca="true" t="shared" si="8" ref="H34:H42">H33+G34</f>
        <v>23494.241695258883</v>
      </c>
    </row>
    <row r="35" spans="1:8" ht="15">
      <c r="A35" s="64">
        <v>2004</v>
      </c>
      <c r="B35" s="68">
        <v>4</v>
      </c>
      <c r="C35" s="3" t="s">
        <v>37</v>
      </c>
      <c r="D35" s="77">
        <f t="shared" si="7"/>
        <v>45142.789030680186</v>
      </c>
      <c r="E35" s="78">
        <f>'A-2 Principal trueup'!H33</f>
        <v>117285.75149268018</v>
      </c>
      <c r="F35" s="93">
        <v>0.0725</v>
      </c>
      <c r="G35" s="78">
        <f t="shared" si="6"/>
        <v>272.7376837270261</v>
      </c>
      <c r="H35" s="79">
        <f t="shared" si="8"/>
        <v>23766.97937898591</v>
      </c>
    </row>
    <row r="36" spans="1:8" ht="15">
      <c r="A36" s="64">
        <v>2004</v>
      </c>
      <c r="B36" s="68">
        <v>5</v>
      </c>
      <c r="C36" s="3" t="s">
        <v>30</v>
      </c>
      <c r="D36" s="77">
        <f t="shared" si="7"/>
        <v>117285.75149268018</v>
      </c>
      <c r="E36" s="78">
        <f>'A-2 Principal trueup'!H34</f>
        <v>132996.18036568016</v>
      </c>
      <c r="F36" s="93">
        <v>0.0725</v>
      </c>
      <c r="G36" s="78">
        <f t="shared" si="6"/>
        <v>708.601415268276</v>
      </c>
      <c r="H36" s="79">
        <f t="shared" si="8"/>
        <v>24475.580794254187</v>
      </c>
    </row>
    <row r="37" spans="1:8" ht="15">
      <c r="A37" s="64">
        <v>2004</v>
      </c>
      <c r="B37" s="68">
        <v>6</v>
      </c>
      <c r="C37" s="3" t="s">
        <v>31</v>
      </c>
      <c r="D37" s="77">
        <f t="shared" si="7"/>
        <v>132996.18036568016</v>
      </c>
      <c r="E37" s="78">
        <f>'A-2 Principal trueup'!H35</f>
        <v>123206.18205668016</v>
      </c>
      <c r="F37" s="93">
        <v>0.0725</v>
      </c>
      <c r="G37" s="78">
        <f t="shared" si="6"/>
        <v>803.5185897093176</v>
      </c>
      <c r="H37" s="79">
        <f t="shared" si="8"/>
        <v>25279.099383963505</v>
      </c>
    </row>
    <row r="38" spans="1:8" ht="15">
      <c r="A38" s="64">
        <v>2004</v>
      </c>
      <c r="B38" s="68">
        <v>7</v>
      </c>
      <c r="C38" s="3" t="s">
        <v>39</v>
      </c>
      <c r="D38" s="77">
        <f t="shared" si="7"/>
        <v>123206.18205668016</v>
      </c>
      <c r="E38" s="78">
        <f>'A-2 Principal trueup'!H36</f>
        <v>103246.55047968015</v>
      </c>
      <c r="F38" s="93">
        <v>0.0725</v>
      </c>
      <c r="G38" s="78">
        <f t="shared" si="6"/>
        <v>744.3706832591092</v>
      </c>
      <c r="H38" s="79">
        <f t="shared" si="8"/>
        <v>26023.470067222614</v>
      </c>
    </row>
    <row r="39" spans="1:8" ht="15">
      <c r="A39" s="64">
        <v>2004</v>
      </c>
      <c r="B39" s="68">
        <v>8</v>
      </c>
      <c r="C39" s="3" t="s">
        <v>40</v>
      </c>
      <c r="D39" s="77">
        <f t="shared" si="7"/>
        <v>103246.55047968015</v>
      </c>
      <c r="E39" s="78">
        <f>'A-2 Principal trueup'!H37</f>
        <v>94777.66905968015</v>
      </c>
      <c r="F39" s="93">
        <v>0.0725</v>
      </c>
      <c r="G39" s="78">
        <f t="shared" si="6"/>
        <v>623.7812424814009</v>
      </c>
      <c r="H39" s="79">
        <f t="shared" si="8"/>
        <v>26647.251309704014</v>
      </c>
    </row>
    <row r="40" spans="1:8" ht="15">
      <c r="A40" s="64">
        <v>2004</v>
      </c>
      <c r="B40" s="68">
        <v>9</v>
      </c>
      <c r="C40" s="3" t="s">
        <v>59</v>
      </c>
      <c r="D40" s="77">
        <f t="shared" si="7"/>
        <v>94777.66905968015</v>
      </c>
      <c r="E40" s="78">
        <f>'A-2 Principal trueup'!H38</f>
        <v>84483.53279968014</v>
      </c>
      <c r="F40" s="93">
        <v>0.0725</v>
      </c>
      <c r="G40" s="78">
        <f t="shared" si="6"/>
        <v>572.6150839022342</v>
      </c>
      <c r="H40" s="79">
        <f t="shared" si="8"/>
        <v>27219.866393606248</v>
      </c>
    </row>
    <row r="41" spans="1:8" ht="15">
      <c r="A41" s="64">
        <v>2004</v>
      </c>
      <c r="B41" s="68">
        <v>10</v>
      </c>
      <c r="C41" s="3" t="s">
        <v>42</v>
      </c>
      <c r="D41" s="77">
        <f t="shared" si="7"/>
        <v>84483.53279968014</v>
      </c>
      <c r="E41" s="78">
        <f>'A-2 Principal trueup'!H39</f>
        <v>74557.07376768012</v>
      </c>
      <c r="F41" s="93">
        <v>0.0725</v>
      </c>
      <c r="G41" s="78">
        <f t="shared" si="6"/>
        <v>510.4213439980674</v>
      </c>
      <c r="H41" s="79">
        <f t="shared" si="8"/>
        <v>27730.287737604314</v>
      </c>
    </row>
    <row r="42" spans="1:8" ht="15">
      <c r="A42" s="64">
        <v>2004</v>
      </c>
      <c r="B42" s="68">
        <v>11</v>
      </c>
      <c r="C42" s="3" t="s">
        <v>43</v>
      </c>
      <c r="D42" s="77">
        <f t="shared" si="7"/>
        <v>74557.07376768012</v>
      </c>
      <c r="E42" s="78">
        <f>'A-2 Principal trueup'!H40</f>
        <v>69619.9952556801</v>
      </c>
      <c r="F42" s="93">
        <v>0.0725</v>
      </c>
      <c r="G42" s="78">
        <f t="shared" si="6"/>
        <v>450.44898734640066</v>
      </c>
      <c r="H42" s="79">
        <f t="shared" si="8"/>
        <v>28180.736724950715</v>
      </c>
    </row>
    <row r="43" spans="1:8" ht="15">
      <c r="A43" s="64">
        <v>2004</v>
      </c>
      <c r="B43" s="68">
        <v>12</v>
      </c>
      <c r="C43" s="3" t="s">
        <v>44</v>
      </c>
      <c r="D43" s="77">
        <f t="shared" si="7"/>
        <v>69619.9952556801</v>
      </c>
      <c r="E43" s="78">
        <f>'A-2 Principal trueup'!H41</f>
        <v>53689.3393266801</v>
      </c>
      <c r="F43" s="93">
        <v>0.0725</v>
      </c>
      <c r="G43" s="78">
        <f t="shared" si="6"/>
        <v>420.6208046697339</v>
      </c>
      <c r="H43" s="79">
        <f>H42+G43</f>
        <v>28601.35752962045</v>
      </c>
    </row>
    <row r="44" spans="1:8" ht="15">
      <c r="A44" s="49"/>
      <c r="B44" s="75"/>
      <c r="C44" s="75"/>
      <c r="D44" s="80"/>
      <c r="E44" s="76"/>
      <c r="F44" s="76">
        <f>SUM(F32:F43)</f>
        <v>0.87</v>
      </c>
      <c r="G44" s="76">
        <f>SUM(G32:G43)</f>
        <v>7548.456015491185</v>
      </c>
      <c r="H44" s="81"/>
    </row>
    <row r="45" spans="1:8" ht="15">
      <c r="A45" s="64"/>
      <c r="B45" s="68"/>
      <c r="C45" s="3"/>
      <c r="D45" s="77"/>
      <c r="E45" s="78"/>
      <c r="F45" s="3"/>
      <c r="G45" s="3"/>
      <c r="H45" s="51"/>
    </row>
    <row r="46" spans="1:8" ht="15">
      <c r="A46" s="64"/>
      <c r="B46" s="68"/>
      <c r="C46" s="3"/>
      <c r="D46" s="77"/>
      <c r="E46" s="78"/>
      <c r="F46" s="3"/>
      <c r="G46" s="3"/>
      <c r="H46" s="51"/>
    </row>
    <row r="47" spans="1:8" ht="15">
      <c r="A47" s="64">
        <v>2005</v>
      </c>
      <c r="B47" s="68">
        <v>1</v>
      </c>
      <c r="C47" s="3" t="s">
        <v>34</v>
      </c>
      <c r="D47" s="77">
        <f>E43</f>
        <v>53689.3393266801</v>
      </c>
      <c r="E47" s="78">
        <f>'A-2 Principal trueup'!H44</f>
        <v>25472.06428668009</v>
      </c>
      <c r="F47" s="93">
        <v>0.0725</v>
      </c>
      <c r="G47" s="78">
        <f aca="true" t="shared" si="9" ref="G47:G58">D47*F47/12</f>
        <v>324.3730917653589</v>
      </c>
      <c r="H47" s="79">
        <f>H43+G47</f>
        <v>28925.73062138581</v>
      </c>
    </row>
    <row r="48" spans="1:8" ht="15">
      <c r="A48" s="64">
        <v>2005</v>
      </c>
      <c r="B48" s="68">
        <v>2</v>
      </c>
      <c r="C48" s="3" t="s">
        <v>35</v>
      </c>
      <c r="D48" s="77">
        <f>E47</f>
        <v>25472.06428668009</v>
      </c>
      <c r="E48" s="78">
        <f>'A-2 Principal trueup'!H45</f>
        <v>-16701.022628319915</v>
      </c>
      <c r="F48" s="93">
        <v>0.0725</v>
      </c>
      <c r="G48" s="78">
        <f t="shared" si="9"/>
        <v>153.89372173202554</v>
      </c>
      <c r="H48" s="79">
        <f aca="true" t="shared" si="10" ref="H48:H58">H47+G48</f>
        <v>29079.624343117837</v>
      </c>
    </row>
    <row r="49" spans="1:8" ht="15">
      <c r="A49" s="64">
        <v>2005</v>
      </c>
      <c r="B49" s="68">
        <v>3</v>
      </c>
      <c r="C49" s="3" t="s">
        <v>36</v>
      </c>
      <c r="D49" s="77">
        <f aca="true" t="shared" si="11" ref="D49:D58">E48</f>
        <v>-16701.022628319915</v>
      </c>
      <c r="E49" s="78">
        <f>'A-2 Principal trueup'!H46</f>
        <v>-184636.19687331992</v>
      </c>
      <c r="F49" s="93">
        <v>0.0725</v>
      </c>
      <c r="G49" s="78">
        <f t="shared" si="9"/>
        <v>-100.90201171276614</v>
      </c>
      <c r="H49" s="79">
        <f t="shared" si="10"/>
        <v>28978.72233140507</v>
      </c>
    </row>
    <row r="50" spans="1:8" ht="15">
      <c r="A50" s="64">
        <v>2005</v>
      </c>
      <c r="B50" s="68">
        <v>4</v>
      </c>
      <c r="C50" s="3" t="s">
        <v>37</v>
      </c>
      <c r="D50" s="77">
        <f t="shared" si="11"/>
        <v>-184636.19687331992</v>
      </c>
      <c r="E50" s="78">
        <f>'A-2 Principal trueup'!H47</f>
        <v>-115424.91083998658</v>
      </c>
      <c r="F50" s="93">
        <v>0.0725</v>
      </c>
      <c r="G50" s="78">
        <f t="shared" si="9"/>
        <v>-1115.510356109641</v>
      </c>
      <c r="H50" s="79">
        <f t="shared" si="10"/>
        <v>27863.21197529543</v>
      </c>
    </row>
    <row r="51" spans="1:8" ht="15">
      <c r="A51" s="64">
        <v>2005</v>
      </c>
      <c r="B51" s="68">
        <v>5</v>
      </c>
      <c r="C51" s="3" t="s">
        <v>30</v>
      </c>
      <c r="D51" s="77">
        <f t="shared" si="11"/>
        <v>-115424.91083998658</v>
      </c>
      <c r="E51" s="78">
        <f>'A-2 Principal trueup'!H48</f>
        <v>-87405.61380665324</v>
      </c>
      <c r="F51" s="93">
        <v>0.0725</v>
      </c>
      <c r="G51" s="78">
        <f t="shared" si="9"/>
        <v>-697.3588363249188</v>
      </c>
      <c r="H51" s="79">
        <f t="shared" si="10"/>
        <v>27165.853138970513</v>
      </c>
    </row>
    <row r="52" spans="1:8" ht="15">
      <c r="A52" s="64">
        <v>2005</v>
      </c>
      <c r="B52" s="68">
        <v>6</v>
      </c>
      <c r="C52" s="3" t="s">
        <v>31</v>
      </c>
      <c r="D52" s="77">
        <f t="shared" si="11"/>
        <v>-87405.61380665324</v>
      </c>
      <c r="E52" s="78">
        <f>'A-2 Principal trueup'!H49</f>
        <v>-76450.60427331991</v>
      </c>
      <c r="F52" s="93">
        <v>0.0725</v>
      </c>
      <c r="G52" s="78">
        <f t="shared" si="9"/>
        <v>-528.0755834151967</v>
      </c>
      <c r="H52" s="79">
        <f t="shared" si="10"/>
        <v>26637.777555555316</v>
      </c>
    </row>
    <row r="53" spans="1:8" ht="15">
      <c r="A53" s="64">
        <v>2005</v>
      </c>
      <c r="B53" s="68">
        <v>7</v>
      </c>
      <c r="C53" s="3" t="s">
        <v>39</v>
      </c>
      <c r="D53" s="77">
        <f t="shared" si="11"/>
        <v>-76450.60427331991</v>
      </c>
      <c r="E53" s="78">
        <f>'A-2 Principal trueup'!H50</f>
        <v>-184061.4732399866</v>
      </c>
      <c r="F53" s="93">
        <v>0.0725</v>
      </c>
      <c r="G53" s="78">
        <f t="shared" si="9"/>
        <v>-461.88906748464115</v>
      </c>
      <c r="H53" s="79">
        <f t="shared" si="10"/>
        <v>26175.888488070676</v>
      </c>
    </row>
    <row r="54" spans="1:8" ht="15">
      <c r="A54" s="64">
        <v>2005</v>
      </c>
      <c r="B54" s="68">
        <v>8</v>
      </c>
      <c r="C54" s="3" t="s">
        <v>40</v>
      </c>
      <c r="D54" s="77">
        <f t="shared" si="11"/>
        <v>-184061.4732399866</v>
      </c>
      <c r="E54" s="78">
        <f>'A-2 Principal trueup'!H51</f>
        <v>-185336.59550665325</v>
      </c>
      <c r="F54" s="93">
        <v>0.0725</v>
      </c>
      <c r="G54" s="78">
        <f t="shared" si="9"/>
        <v>-1112.0380674915857</v>
      </c>
      <c r="H54" s="79">
        <f t="shared" si="10"/>
        <v>25063.85042057909</v>
      </c>
    </row>
    <row r="55" spans="1:8" ht="15">
      <c r="A55" s="64">
        <v>2005</v>
      </c>
      <c r="B55" s="68">
        <v>9</v>
      </c>
      <c r="C55" s="3" t="s">
        <v>59</v>
      </c>
      <c r="D55" s="77">
        <f t="shared" si="11"/>
        <v>-185336.59550665325</v>
      </c>
      <c r="E55" s="78">
        <f>'A-2 Principal trueup'!H52</f>
        <v>-115521.39950370064</v>
      </c>
      <c r="F55" s="93">
        <v>0.0725</v>
      </c>
      <c r="G55" s="78">
        <f t="shared" si="9"/>
        <v>-1119.74193118603</v>
      </c>
      <c r="H55" s="79">
        <f t="shared" si="10"/>
        <v>23944.10848939306</v>
      </c>
    </row>
    <row r="56" spans="1:8" ht="15">
      <c r="A56" s="64">
        <v>2005</v>
      </c>
      <c r="B56" s="68">
        <v>10</v>
      </c>
      <c r="C56" s="3" t="s">
        <v>42</v>
      </c>
      <c r="D56" s="77">
        <f t="shared" si="11"/>
        <v>-115521.39950370064</v>
      </c>
      <c r="E56" s="78">
        <f>'A-2 Principal trueup'!H53</f>
        <v>-88597.21671370065</v>
      </c>
      <c r="F56" s="93">
        <v>0.0725</v>
      </c>
      <c r="G56" s="78">
        <f>D56*F56/12</f>
        <v>-697.9417886681913</v>
      </c>
      <c r="H56" s="79">
        <f t="shared" si="10"/>
        <v>23246.16670072487</v>
      </c>
    </row>
    <row r="57" spans="1:8" ht="15">
      <c r="A57" s="64">
        <v>2005</v>
      </c>
      <c r="B57" s="68">
        <v>11</v>
      </c>
      <c r="C57" s="3" t="s">
        <v>43</v>
      </c>
      <c r="D57" s="77">
        <f t="shared" si="11"/>
        <v>-88597.21671370065</v>
      </c>
      <c r="E57" s="78">
        <f>'A-2 Principal trueup'!H54</f>
        <v>-126567.68185036731</v>
      </c>
      <c r="F57" s="93">
        <v>0.0725</v>
      </c>
      <c r="G57" s="78">
        <f t="shared" si="9"/>
        <v>-535.274850978608</v>
      </c>
      <c r="H57" s="79">
        <f t="shared" si="10"/>
        <v>22710.891849746262</v>
      </c>
    </row>
    <row r="58" spans="1:8" ht="15">
      <c r="A58" s="64">
        <v>2005</v>
      </c>
      <c r="B58" s="68">
        <v>12</v>
      </c>
      <c r="C58" s="3" t="s">
        <v>44</v>
      </c>
      <c r="D58" s="77">
        <f t="shared" si="11"/>
        <v>-126567.68185036731</v>
      </c>
      <c r="E58" s="78">
        <f>'A-2 Principal trueup'!H55</f>
        <v>-155872.77222992753</v>
      </c>
      <c r="F58" s="93">
        <v>0.0725</v>
      </c>
      <c r="G58" s="78">
        <f t="shared" si="9"/>
        <v>-764.6797445126358</v>
      </c>
      <c r="H58" s="79">
        <f t="shared" si="10"/>
        <v>21946.212105233626</v>
      </c>
    </row>
    <row r="59" spans="1:8" ht="15">
      <c r="A59" s="49"/>
      <c r="B59" s="75"/>
      <c r="C59" s="75"/>
      <c r="D59" s="80"/>
      <c r="E59" s="76"/>
      <c r="F59" s="76">
        <f>SUM(F47:F58)</f>
        <v>0.87</v>
      </c>
      <c r="G59" s="76">
        <f>SUM(G47:G58)</f>
        <v>-6655.145424386829</v>
      </c>
      <c r="H59" s="81"/>
    </row>
    <row r="60" spans="1:8" ht="15">
      <c r="A60" s="64"/>
      <c r="B60" s="68"/>
      <c r="C60" s="3"/>
      <c r="D60" s="77"/>
      <c r="E60" s="78"/>
      <c r="F60" s="3"/>
      <c r="G60" s="3"/>
      <c r="H60" s="51"/>
    </row>
    <row r="61" spans="1:8" ht="15">
      <c r="A61" s="64"/>
      <c r="B61" s="68"/>
      <c r="C61" s="3"/>
      <c r="D61" s="77"/>
      <c r="E61" s="78"/>
      <c r="F61" s="3"/>
      <c r="G61" s="3"/>
      <c r="H61" s="51"/>
    </row>
    <row r="62" spans="1:8" ht="15">
      <c r="A62" s="64">
        <v>2006</v>
      </c>
      <c r="B62" s="68">
        <v>1</v>
      </c>
      <c r="C62" s="3" t="s">
        <v>34</v>
      </c>
      <c r="D62" s="77">
        <f>E58</f>
        <v>-155872.77222992753</v>
      </c>
      <c r="E62" s="78">
        <f>'A-2 Principal trueup'!H64</f>
        <v>-160382.91359076084</v>
      </c>
      <c r="F62" s="93">
        <v>0.0725</v>
      </c>
      <c r="G62" s="78">
        <f aca="true" t="shared" si="12" ref="G62:G73">D62*F62/12</f>
        <v>-941.7313322224787</v>
      </c>
      <c r="H62" s="79">
        <f>H58+G62</f>
        <v>21004.480773011146</v>
      </c>
    </row>
    <row r="63" spans="1:8" ht="15">
      <c r="A63" s="64">
        <v>2006</v>
      </c>
      <c r="B63" s="68">
        <v>2</v>
      </c>
      <c r="C63" s="3" t="s">
        <v>35</v>
      </c>
      <c r="D63" s="77">
        <f>E62</f>
        <v>-160382.91359076084</v>
      </c>
      <c r="E63" s="78">
        <f>'A-2 Principal trueup'!H65</f>
        <v>-174777.09707492753</v>
      </c>
      <c r="F63" s="93">
        <v>0.0725</v>
      </c>
      <c r="G63" s="78">
        <f t="shared" si="12"/>
        <v>-968.9801029441801</v>
      </c>
      <c r="H63" s="79">
        <f aca="true" t="shared" si="13" ref="H63:H73">H62+G63</f>
        <v>20035.500670066966</v>
      </c>
    </row>
    <row r="64" spans="1:8" ht="15">
      <c r="A64" s="64">
        <v>2006</v>
      </c>
      <c r="B64" s="68">
        <v>3</v>
      </c>
      <c r="C64" s="3" t="s">
        <v>36</v>
      </c>
      <c r="D64" s="77">
        <f aca="true" t="shared" si="14" ref="D64:D73">E63</f>
        <v>-174777.09707492753</v>
      </c>
      <c r="E64" s="78">
        <f>'A-2 Principal trueup'!H66</f>
        <v>-181913.09149909418</v>
      </c>
      <c r="F64" s="93">
        <v>0.0725</v>
      </c>
      <c r="G64" s="78">
        <f t="shared" si="12"/>
        <v>-1055.9449614943537</v>
      </c>
      <c r="H64" s="79">
        <f t="shared" si="13"/>
        <v>18979.55570857261</v>
      </c>
    </row>
    <row r="65" spans="1:8" ht="15">
      <c r="A65" s="64">
        <v>2006</v>
      </c>
      <c r="B65" s="68">
        <v>4</v>
      </c>
      <c r="C65" s="3" t="s">
        <v>37</v>
      </c>
      <c r="D65" s="77">
        <f t="shared" si="14"/>
        <v>-181913.09149909418</v>
      </c>
      <c r="E65" s="78">
        <f>'A-2 Principal trueup'!H67</f>
        <v>-335921.6024657609</v>
      </c>
      <c r="F65" s="93">
        <v>0.0725</v>
      </c>
      <c r="G65" s="78">
        <f>D65*F65/12</f>
        <v>-1099.0582611403606</v>
      </c>
      <c r="H65" s="79">
        <f t="shared" si="13"/>
        <v>17880.49744743225</v>
      </c>
    </row>
    <row r="66" spans="1:8" ht="15">
      <c r="A66" s="64">
        <v>2006</v>
      </c>
      <c r="B66" s="68">
        <v>5</v>
      </c>
      <c r="C66" s="3" t="s">
        <v>30</v>
      </c>
      <c r="D66" s="77">
        <f t="shared" si="14"/>
        <v>-335921.6024657609</v>
      </c>
      <c r="E66" s="78">
        <f>E65</f>
        <v>-335921.6024657609</v>
      </c>
      <c r="F66" s="93">
        <v>0.0414</v>
      </c>
      <c r="G66" s="78">
        <f t="shared" si="12"/>
        <v>-1158.929528506875</v>
      </c>
      <c r="H66" s="79">
        <f t="shared" si="13"/>
        <v>16721.567918925375</v>
      </c>
    </row>
    <row r="67" spans="1:8" ht="15">
      <c r="A67" s="64">
        <v>2006</v>
      </c>
      <c r="B67" s="68">
        <v>6</v>
      </c>
      <c r="C67" s="3" t="s">
        <v>31</v>
      </c>
      <c r="D67" s="77">
        <f t="shared" si="14"/>
        <v>-335921.6024657609</v>
      </c>
      <c r="E67" s="78">
        <f aca="true" t="shared" si="15" ref="E67:E73">E66</f>
        <v>-335921.6024657609</v>
      </c>
      <c r="F67" s="93">
        <v>0.0414</v>
      </c>
      <c r="G67" s="78">
        <f t="shared" si="12"/>
        <v>-1158.929528506875</v>
      </c>
      <c r="H67" s="79">
        <f t="shared" si="13"/>
        <v>15562.6383904185</v>
      </c>
    </row>
    <row r="68" spans="1:8" ht="15">
      <c r="A68" s="64">
        <v>2006</v>
      </c>
      <c r="B68" s="68">
        <v>7</v>
      </c>
      <c r="C68" s="3" t="s">
        <v>39</v>
      </c>
      <c r="D68" s="77">
        <f t="shared" si="14"/>
        <v>-335921.6024657609</v>
      </c>
      <c r="E68" s="78">
        <f t="shared" si="15"/>
        <v>-335921.6024657609</v>
      </c>
      <c r="F68" s="93">
        <v>0.0459</v>
      </c>
      <c r="G68" s="78">
        <f t="shared" si="12"/>
        <v>-1284.9001294315356</v>
      </c>
      <c r="H68" s="79">
        <f t="shared" si="13"/>
        <v>14277.738260986966</v>
      </c>
    </row>
    <row r="69" spans="1:8" ht="15">
      <c r="A69" s="64">
        <v>2006</v>
      </c>
      <c r="B69" s="68">
        <v>8</v>
      </c>
      <c r="C69" s="3" t="s">
        <v>40</v>
      </c>
      <c r="D69" s="77">
        <f t="shared" si="14"/>
        <v>-335921.6024657609</v>
      </c>
      <c r="E69" s="78">
        <f t="shared" si="15"/>
        <v>-335921.6024657609</v>
      </c>
      <c r="F69" s="93">
        <v>0.0459</v>
      </c>
      <c r="G69" s="78">
        <f t="shared" si="12"/>
        <v>-1284.9001294315356</v>
      </c>
      <c r="H69" s="79">
        <f t="shared" si="13"/>
        <v>12992.83813155543</v>
      </c>
    </row>
    <row r="70" spans="1:8" ht="15">
      <c r="A70" s="64">
        <v>2006</v>
      </c>
      <c r="B70" s="68">
        <v>9</v>
      </c>
      <c r="C70" s="3" t="s">
        <v>59</v>
      </c>
      <c r="D70" s="77">
        <f t="shared" si="14"/>
        <v>-335921.6024657609</v>
      </c>
      <c r="E70" s="78">
        <f t="shared" si="15"/>
        <v>-335921.6024657609</v>
      </c>
      <c r="F70" s="93">
        <v>0.0459</v>
      </c>
      <c r="G70" s="78">
        <f t="shared" si="12"/>
        <v>-1284.9001294315356</v>
      </c>
      <c r="H70" s="79">
        <f t="shared" si="13"/>
        <v>11707.938002123896</v>
      </c>
    </row>
    <row r="71" spans="1:8" ht="15">
      <c r="A71" s="64">
        <v>2006</v>
      </c>
      <c r="B71" s="68">
        <v>10</v>
      </c>
      <c r="C71" s="3" t="s">
        <v>42</v>
      </c>
      <c r="D71" s="77">
        <f t="shared" si="14"/>
        <v>-335921.6024657609</v>
      </c>
      <c r="E71" s="78">
        <f t="shared" si="15"/>
        <v>-335921.6024657609</v>
      </c>
      <c r="F71" s="93">
        <v>0.0459</v>
      </c>
      <c r="G71" s="78">
        <f t="shared" si="12"/>
        <v>-1284.9001294315356</v>
      </c>
      <c r="H71" s="79">
        <f t="shared" si="13"/>
        <v>10423.03787269236</v>
      </c>
    </row>
    <row r="72" spans="1:8" ht="15">
      <c r="A72" s="64">
        <v>2006</v>
      </c>
      <c r="B72" s="68">
        <v>11</v>
      </c>
      <c r="C72" s="3" t="s">
        <v>43</v>
      </c>
      <c r="D72" s="77">
        <f t="shared" si="14"/>
        <v>-335921.6024657609</v>
      </c>
      <c r="E72" s="78">
        <f t="shared" si="15"/>
        <v>-335921.6024657609</v>
      </c>
      <c r="F72" s="93">
        <v>0.0459</v>
      </c>
      <c r="G72" s="78">
        <f t="shared" si="12"/>
        <v>-1284.9001294315356</v>
      </c>
      <c r="H72" s="79">
        <f t="shared" si="13"/>
        <v>9138.137743260826</v>
      </c>
    </row>
    <row r="73" spans="1:8" ht="15">
      <c r="A73" s="64">
        <v>2006</v>
      </c>
      <c r="B73" s="68">
        <v>12</v>
      </c>
      <c r="C73" s="3" t="s">
        <v>44</v>
      </c>
      <c r="D73" s="77">
        <f t="shared" si="14"/>
        <v>-335921.6024657609</v>
      </c>
      <c r="E73" s="78">
        <f t="shared" si="15"/>
        <v>-335921.6024657609</v>
      </c>
      <c r="F73" s="93">
        <v>0.0459</v>
      </c>
      <c r="G73" s="78">
        <f t="shared" si="12"/>
        <v>-1284.9001294315356</v>
      </c>
      <c r="H73" s="79">
        <f t="shared" si="13"/>
        <v>7853.23761382929</v>
      </c>
    </row>
    <row r="74" spans="1:8" ht="15">
      <c r="A74" s="49"/>
      <c r="B74" s="75"/>
      <c r="C74" s="75"/>
      <c r="D74" s="80"/>
      <c r="E74" s="76"/>
      <c r="F74" s="76"/>
      <c r="G74" s="76">
        <f>SUM(G62:G73)</f>
        <v>-14092.974491404333</v>
      </c>
      <c r="H74" s="81"/>
    </row>
    <row r="75" spans="1:8" ht="15">
      <c r="A75" s="64"/>
      <c r="B75" s="68"/>
      <c r="C75" s="82"/>
      <c r="D75" s="77"/>
      <c r="E75" s="78"/>
      <c r="F75" s="3"/>
      <c r="G75" s="3"/>
      <c r="H75" s="51"/>
    </row>
    <row r="76" spans="1:8" ht="15">
      <c r="A76" s="64"/>
      <c r="B76" s="68"/>
      <c r="C76" s="3"/>
      <c r="D76" s="77"/>
      <c r="E76" s="78"/>
      <c r="F76" s="3"/>
      <c r="G76" s="3"/>
      <c r="H76" s="51"/>
    </row>
    <row r="77" spans="1:8" ht="15">
      <c r="A77" s="64">
        <v>2007</v>
      </c>
      <c r="B77" s="68">
        <v>1</v>
      </c>
      <c r="C77" s="3" t="s">
        <v>34</v>
      </c>
      <c r="D77" s="77">
        <f>E73</f>
        <v>-335921.6024657609</v>
      </c>
      <c r="E77" s="78">
        <f>D77</f>
        <v>-335921.6024657609</v>
      </c>
      <c r="F77" s="93">
        <v>0.0459</v>
      </c>
      <c r="G77" s="78">
        <f aca="true" t="shared" si="16" ref="G77:G88">D77*F77/12</f>
        <v>-1284.9001294315356</v>
      </c>
      <c r="H77" s="79">
        <f>H73+G77</f>
        <v>6568.337484397754</v>
      </c>
    </row>
    <row r="78" spans="1:8" ht="15">
      <c r="A78" s="64">
        <v>2007</v>
      </c>
      <c r="B78" s="68">
        <v>2</v>
      </c>
      <c r="C78" s="3" t="s">
        <v>35</v>
      </c>
      <c r="D78" s="77">
        <f>E77</f>
        <v>-335921.6024657609</v>
      </c>
      <c r="E78" s="78">
        <f>D78</f>
        <v>-335921.6024657609</v>
      </c>
      <c r="F78" s="93">
        <v>0.0459</v>
      </c>
      <c r="G78" s="78">
        <f t="shared" si="16"/>
        <v>-1284.9001294315356</v>
      </c>
      <c r="H78" s="79">
        <f>H77+G78</f>
        <v>5283.437354966219</v>
      </c>
    </row>
    <row r="79" spans="1:8" ht="15">
      <c r="A79" s="64">
        <v>2007</v>
      </c>
      <c r="B79" s="68">
        <v>3</v>
      </c>
      <c r="C79" s="3" t="s">
        <v>36</v>
      </c>
      <c r="D79" s="77">
        <f aca="true" t="shared" si="17" ref="D79:D88">E78</f>
        <v>-335921.6024657609</v>
      </c>
      <c r="E79" s="78">
        <f aca="true" t="shared" si="18" ref="E79:E88">D79</f>
        <v>-335921.6024657609</v>
      </c>
      <c r="F79" s="93">
        <v>0.0459</v>
      </c>
      <c r="G79" s="78">
        <f t="shared" si="16"/>
        <v>-1284.9001294315356</v>
      </c>
      <c r="H79" s="79">
        <f aca="true" t="shared" si="19" ref="H79:H88">H78+G79</f>
        <v>3998.537225534683</v>
      </c>
    </row>
    <row r="80" spans="1:8" ht="15">
      <c r="A80" s="64">
        <v>2007</v>
      </c>
      <c r="B80" s="68">
        <v>4</v>
      </c>
      <c r="C80" s="3" t="s">
        <v>37</v>
      </c>
      <c r="D80" s="77">
        <f t="shared" si="17"/>
        <v>-335921.6024657609</v>
      </c>
      <c r="E80" s="78">
        <f t="shared" si="18"/>
        <v>-335921.6024657609</v>
      </c>
      <c r="F80" s="93">
        <v>0.0459</v>
      </c>
      <c r="G80" s="78">
        <f t="shared" si="16"/>
        <v>-1284.9001294315356</v>
      </c>
      <c r="H80" s="79">
        <f t="shared" si="19"/>
        <v>2713.637096103147</v>
      </c>
    </row>
    <row r="81" spans="1:8" ht="15">
      <c r="A81" s="64">
        <v>2007</v>
      </c>
      <c r="B81" s="68">
        <v>5</v>
      </c>
      <c r="C81" s="3" t="s">
        <v>30</v>
      </c>
      <c r="D81" s="77">
        <f t="shared" si="17"/>
        <v>-335921.6024657609</v>
      </c>
      <c r="E81" s="78">
        <f t="shared" si="18"/>
        <v>-335921.6024657609</v>
      </c>
      <c r="F81" s="93">
        <v>0.0459</v>
      </c>
      <c r="G81" s="78">
        <f t="shared" si="16"/>
        <v>-1284.9001294315356</v>
      </c>
      <c r="H81" s="79">
        <f t="shared" si="19"/>
        <v>1428.7369666716115</v>
      </c>
    </row>
    <row r="82" spans="1:8" ht="15">
      <c r="A82" s="64">
        <v>2007</v>
      </c>
      <c r="B82" s="68">
        <v>6</v>
      </c>
      <c r="C82" s="3" t="s">
        <v>31</v>
      </c>
      <c r="D82" s="77">
        <f t="shared" si="17"/>
        <v>-335921.6024657609</v>
      </c>
      <c r="E82" s="78">
        <f t="shared" si="18"/>
        <v>-335921.6024657609</v>
      </c>
      <c r="F82" s="93">
        <v>0.0459</v>
      </c>
      <c r="G82" s="78">
        <f t="shared" si="16"/>
        <v>-1284.9001294315356</v>
      </c>
      <c r="H82" s="79">
        <f t="shared" si="19"/>
        <v>143.83683724007597</v>
      </c>
    </row>
    <row r="83" spans="1:8" ht="15">
      <c r="A83" s="64">
        <v>2007</v>
      </c>
      <c r="B83" s="68">
        <v>7</v>
      </c>
      <c r="C83" s="3" t="s">
        <v>39</v>
      </c>
      <c r="D83" s="77">
        <f t="shared" si="17"/>
        <v>-335921.6024657609</v>
      </c>
      <c r="E83" s="78">
        <f t="shared" si="18"/>
        <v>-335921.6024657609</v>
      </c>
      <c r="F83" s="93">
        <v>0.0459</v>
      </c>
      <c r="G83" s="78">
        <f t="shared" si="16"/>
        <v>-1284.9001294315356</v>
      </c>
      <c r="H83" s="79">
        <f t="shared" si="19"/>
        <v>-1141.0632921914596</v>
      </c>
    </row>
    <row r="84" spans="1:8" ht="15">
      <c r="A84" s="64">
        <v>2007</v>
      </c>
      <c r="B84" s="68">
        <v>8</v>
      </c>
      <c r="C84" s="3" t="s">
        <v>40</v>
      </c>
      <c r="D84" s="77">
        <f t="shared" si="17"/>
        <v>-335921.6024657609</v>
      </c>
      <c r="E84" s="78">
        <f t="shared" si="18"/>
        <v>-335921.6024657609</v>
      </c>
      <c r="F84" s="93">
        <v>0.0459</v>
      </c>
      <c r="G84" s="78">
        <f t="shared" si="16"/>
        <v>-1284.9001294315356</v>
      </c>
      <c r="H84" s="79">
        <f t="shared" si="19"/>
        <v>-2425.963421622995</v>
      </c>
    </row>
    <row r="85" spans="1:8" ht="15">
      <c r="A85" s="64">
        <v>2007</v>
      </c>
      <c r="B85" s="68">
        <v>9</v>
      </c>
      <c r="C85" s="3" t="s">
        <v>59</v>
      </c>
      <c r="D85" s="77">
        <f t="shared" si="17"/>
        <v>-335921.6024657609</v>
      </c>
      <c r="E85" s="78">
        <f t="shared" si="18"/>
        <v>-335921.6024657609</v>
      </c>
      <c r="F85" s="93">
        <v>0.0459</v>
      </c>
      <c r="G85" s="78">
        <f t="shared" si="16"/>
        <v>-1284.9001294315356</v>
      </c>
      <c r="H85" s="79">
        <f t="shared" si="19"/>
        <v>-3710.863551054531</v>
      </c>
    </row>
    <row r="86" spans="1:8" ht="15">
      <c r="A86" s="64">
        <v>2007</v>
      </c>
      <c r="B86" s="68">
        <v>10</v>
      </c>
      <c r="C86" s="3" t="s">
        <v>42</v>
      </c>
      <c r="D86" s="77">
        <f t="shared" si="17"/>
        <v>-335921.6024657609</v>
      </c>
      <c r="E86" s="78">
        <f t="shared" si="18"/>
        <v>-335921.6024657609</v>
      </c>
      <c r="F86" s="93">
        <v>0.0514</v>
      </c>
      <c r="G86" s="78">
        <f t="shared" si="16"/>
        <v>-1438.8641972283424</v>
      </c>
      <c r="H86" s="79">
        <f t="shared" si="19"/>
        <v>-5149.727748282873</v>
      </c>
    </row>
    <row r="87" spans="1:8" ht="15">
      <c r="A87" s="64">
        <v>2007</v>
      </c>
      <c r="B87" s="68">
        <v>11</v>
      </c>
      <c r="C87" s="3" t="s">
        <v>43</v>
      </c>
      <c r="D87" s="77">
        <f t="shared" si="17"/>
        <v>-335921.6024657609</v>
      </c>
      <c r="E87" s="78">
        <f t="shared" si="18"/>
        <v>-335921.6024657609</v>
      </c>
      <c r="F87" s="93">
        <v>0.0514</v>
      </c>
      <c r="G87" s="78">
        <f t="shared" si="16"/>
        <v>-1438.8641972283424</v>
      </c>
      <c r="H87" s="79">
        <f t="shared" si="19"/>
        <v>-6588.591945511215</v>
      </c>
    </row>
    <row r="88" spans="1:8" ht="15">
      <c r="A88" s="64">
        <v>2007</v>
      </c>
      <c r="B88" s="68">
        <v>12</v>
      </c>
      <c r="C88" s="3" t="s">
        <v>44</v>
      </c>
      <c r="D88" s="77">
        <f t="shared" si="17"/>
        <v>-335921.6024657609</v>
      </c>
      <c r="E88" s="78">
        <f t="shared" si="18"/>
        <v>-335921.6024657609</v>
      </c>
      <c r="F88" s="94">
        <v>0.051399999999999994</v>
      </c>
      <c r="G88" s="78">
        <f t="shared" si="16"/>
        <v>-1438.8641972283424</v>
      </c>
      <c r="H88" s="79">
        <f t="shared" si="19"/>
        <v>-8027.456142739557</v>
      </c>
    </row>
    <row r="89" spans="1:8" ht="15">
      <c r="A89" s="49"/>
      <c r="B89" s="75"/>
      <c r="C89" s="75"/>
      <c r="D89" s="80"/>
      <c r="E89" s="76"/>
      <c r="F89" s="76"/>
      <c r="G89" s="76">
        <f>SUM(G77:G88)</f>
        <v>-15880.693756568846</v>
      </c>
      <c r="H89" s="81"/>
    </row>
    <row r="90" spans="4:8" ht="15">
      <c r="D90" s="77"/>
      <c r="E90" s="78"/>
      <c r="F90" s="3"/>
      <c r="G90" s="3"/>
      <c r="H90" s="51"/>
    </row>
    <row r="91" spans="1:8" ht="15">
      <c r="A91" s="64">
        <v>2008</v>
      </c>
      <c r="B91" s="68">
        <v>1</v>
      </c>
      <c r="C91" s="3" t="s">
        <v>34</v>
      </c>
      <c r="D91" s="77">
        <f>E88</f>
        <v>-335921.6024657609</v>
      </c>
      <c r="E91" s="78">
        <f>D91</f>
        <v>-335921.6024657609</v>
      </c>
      <c r="F91" s="93">
        <v>0.0514</v>
      </c>
      <c r="G91" s="78">
        <f aca="true" t="shared" si="20" ref="G91:G102">D91*F91/12</f>
        <v>-1438.8641972283424</v>
      </c>
      <c r="H91" s="79">
        <f>H88+G91</f>
        <v>-9466.3203399679</v>
      </c>
    </row>
    <row r="92" spans="1:8" ht="15">
      <c r="A92" s="64">
        <v>2008</v>
      </c>
      <c r="B92" s="68">
        <v>2</v>
      </c>
      <c r="C92" s="3" t="s">
        <v>35</v>
      </c>
      <c r="D92" s="77">
        <f>E91</f>
        <v>-335921.6024657609</v>
      </c>
      <c r="E92" s="78">
        <f>D92</f>
        <v>-335921.6024657609</v>
      </c>
      <c r="F92" s="93">
        <v>0.0514</v>
      </c>
      <c r="G92" s="78">
        <f t="shared" si="20"/>
        <v>-1438.8641972283424</v>
      </c>
      <c r="H92" s="79">
        <f>H91+G92</f>
        <v>-10905.184537196243</v>
      </c>
    </row>
    <row r="93" spans="1:8" ht="15">
      <c r="A93" s="64">
        <v>2008</v>
      </c>
      <c r="B93" s="68">
        <v>3</v>
      </c>
      <c r="C93" s="3" t="s">
        <v>36</v>
      </c>
      <c r="D93" s="77">
        <f aca="true" t="shared" si="21" ref="D93:D102">E92</f>
        <v>-335921.6024657609</v>
      </c>
      <c r="E93" s="78">
        <f aca="true" t="shared" si="22" ref="E93:E102">D93</f>
        <v>-335921.6024657609</v>
      </c>
      <c r="F93" s="93">
        <v>0.0514</v>
      </c>
      <c r="G93" s="78">
        <f t="shared" si="20"/>
        <v>-1438.8641972283424</v>
      </c>
      <c r="H93" s="79">
        <f aca="true" t="shared" si="23" ref="H93:H102">H92+G93</f>
        <v>-12344.048734424585</v>
      </c>
    </row>
    <row r="94" spans="1:8" ht="15">
      <c r="A94" s="64">
        <v>2008</v>
      </c>
      <c r="B94" s="68">
        <v>4</v>
      </c>
      <c r="C94" s="3" t="s">
        <v>37</v>
      </c>
      <c r="D94" s="77">
        <f t="shared" si="21"/>
        <v>-335921.6024657609</v>
      </c>
      <c r="E94" s="78">
        <f t="shared" si="22"/>
        <v>-335921.6024657609</v>
      </c>
      <c r="F94" s="94">
        <v>0.0408</v>
      </c>
      <c r="G94" s="78">
        <f t="shared" si="20"/>
        <v>-1142.1334483835872</v>
      </c>
      <c r="H94" s="79">
        <f t="shared" si="23"/>
        <v>-13486.182182808172</v>
      </c>
    </row>
    <row r="95" spans="1:8" ht="15">
      <c r="A95" s="64">
        <v>2008</v>
      </c>
      <c r="B95" s="68">
        <v>5</v>
      </c>
      <c r="C95" s="3" t="s">
        <v>30</v>
      </c>
      <c r="D95" s="77">
        <f t="shared" si="21"/>
        <v>-335921.6024657609</v>
      </c>
      <c r="E95" s="78">
        <f t="shared" si="22"/>
        <v>-335921.6024657609</v>
      </c>
      <c r="F95" s="94">
        <v>0.0408</v>
      </c>
      <c r="G95" s="78">
        <f t="shared" si="20"/>
        <v>-1142.1334483835872</v>
      </c>
      <c r="H95" s="79">
        <f t="shared" si="23"/>
        <v>-14628.31563119176</v>
      </c>
    </row>
    <row r="96" spans="1:8" ht="15">
      <c r="A96" s="64">
        <v>2008</v>
      </c>
      <c r="B96" s="68">
        <v>6</v>
      </c>
      <c r="C96" s="3" t="s">
        <v>31</v>
      </c>
      <c r="D96" s="77">
        <f t="shared" si="21"/>
        <v>-335921.6024657609</v>
      </c>
      <c r="E96" s="78">
        <f t="shared" si="22"/>
        <v>-335921.6024657609</v>
      </c>
      <c r="F96" s="94">
        <v>0.0408</v>
      </c>
      <c r="G96" s="78">
        <f t="shared" si="20"/>
        <v>-1142.1334483835872</v>
      </c>
      <c r="H96" s="79">
        <f t="shared" si="23"/>
        <v>-15770.449079575346</v>
      </c>
    </row>
    <row r="97" spans="1:8" ht="15">
      <c r="A97" s="64">
        <v>2008</v>
      </c>
      <c r="B97" s="68">
        <v>7</v>
      </c>
      <c r="C97" s="3" t="s">
        <v>39</v>
      </c>
      <c r="D97" s="77">
        <f t="shared" si="21"/>
        <v>-335921.6024657609</v>
      </c>
      <c r="E97" s="78">
        <f t="shared" si="22"/>
        <v>-335921.6024657609</v>
      </c>
      <c r="F97" s="94">
        <v>0.0335</v>
      </c>
      <c r="G97" s="78">
        <f t="shared" si="20"/>
        <v>-937.7811402169159</v>
      </c>
      <c r="H97" s="79">
        <f t="shared" si="23"/>
        <v>-16708.23021979226</v>
      </c>
    </row>
    <row r="98" spans="1:8" ht="15">
      <c r="A98" s="64">
        <v>2008</v>
      </c>
      <c r="B98" s="68">
        <v>8</v>
      </c>
      <c r="C98" s="3" t="s">
        <v>40</v>
      </c>
      <c r="D98" s="77">
        <f t="shared" si="21"/>
        <v>-335921.6024657609</v>
      </c>
      <c r="E98" s="78">
        <f t="shared" si="22"/>
        <v>-335921.6024657609</v>
      </c>
      <c r="F98" s="94">
        <v>0.0335</v>
      </c>
      <c r="G98" s="78">
        <f t="shared" si="20"/>
        <v>-937.7811402169159</v>
      </c>
      <c r="H98" s="79">
        <f t="shared" si="23"/>
        <v>-17646.01136000918</v>
      </c>
    </row>
    <row r="99" spans="1:8" ht="15">
      <c r="A99" s="64">
        <v>2008</v>
      </c>
      <c r="B99" s="68">
        <v>9</v>
      </c>
      <c r="C99" s="3" t="s">
        <v>59</v>
      </c>
      <c r="D99" s="77">
        <f t="shared" si="21"/>
        <v>-335921.6024657609</v>
      </c>
      <c r="E99" s="78">
        <f t="shared" si="22"/>
        <v>-335921.6024657609</v>
      </c>
      <c r="F99" s="94">
        <v>0.0335</v>
      </c>
      <c r="G99" s="78">
        <f t="shared" si="20"/>
        <v>-937.7811402169159</v>
      </c>
      <c r="H99" s="79">
        <f t="shared" si="23"/>
        <v>-18583.792500226096</v>
      </c>
    </row>
    <row r="100" spans="1:8" ht="15">
      <c r="A100" s="64">
        <v>2008</v>
      </c>
      <c r="B100" s="68">
        <v>10</v>
      </c>
      <c r="C100" s="3" t="s">
        <v>42</v>
      </c>
      <c r="D100" s="77">
        <f t="shared" si="21"/>
        <v>-335921.6024657609</v>
      </c>
      <c r="E100" s="78">
        <f t="shared" si="22"/>
        <v>-335921.6024657609</v>
      </c>
      <c r="F100" s="94">
        <v>0.0335</v>
      </c>
      <c r="G100" s="78">
        <f t="shared" si="20"/>
        <v>-937.7811402169159</v>
      </c>
      <c r="H100" s="79">
        <f t="shared" si="23"/>
        <v>-19521.573640443014</v>
      </c>
    </row>
    <row r="101" spans="1:8" ht="15">
      <c r="A101" s="64">
        <v>2008</v>
      </c>
      <c r="B101" s="68">
        <v>11</v>
      </c>
      <c r="C101" s="3" t="s">
        <v>43</v>
      </c>
      <c r="D101" s="77">
        <f t="shared" si="21"/>
        <v>-335921.6024657609</v>
      </c>
      <c r="E101" s="78">
        <f t="shared" si="22"/>
        <v>-335921.6024657609</v>
      </c>
      <c r="F101" s="94">
        <v>0.0335</v>
      </c>
      <c r="G101" s="78">
        <f t="shared" si="20"/>
        <v>-937.7811402169159</v>
      </c>
      <c r="H101" s="79">
        <f t="shared" si="23"/>
        <v>-20459.35478065993</v>
      </c>
    </row>
    <row r="102" spans="1:8" ht="15">
      <c r="A102" s="64">
        <v>2008</v>
      </c>
      <c r="B102" s="68">
        <v>12</v>
      </c>
      <c r="C102" s="3" t="s">
        <v>44</v>
      </c>
      <c r="D102" s="77">
        <f t="shared" si="21"/>
        <v>-335921.6024657609</v>
      </c>
      <c r="E102" s="78">
        <f t="shared" si="22"/>
        <v>-335921.6024657609</v>
      </c>
      <c r="F102" s="94">
        <v>0.0335</v>
      </c>
      <c r="G102" s="78">
        <f t="shared" si="20"/>
        <v>-937.7811402169159</v>
      </c>
      <c r="H102" s="79">
        <f t="shared" si="23"/>
        <v>-21397.135920876848</v>
      </c>
    </row>
    <row r="103" spans="1:8" ht="15">
      <c r="A103" s="49"/>
      <c r="B103" s="75"/>
      <c r="C103" s="75"/>
      <c r="D103" s="80"/>
      <c r="E103" s="76"/>
      <c r="F103" s="76"/>
      <c r="G103" s="76">
        <f>SUM(G91:G102)</f>
        <v>-13369.679778137282</v>
      </c>
      <c r="H103" s="81"/>
    </row>
    <row r="104" spans="4:8" ht="15">
      <c r="D104" s="77"/>
      <c r="E104" s="78"/>
      <c r="F104" s="3"/>
      <c r="G104" s="3"/>
      <c r="H104" s="51"/>
    </row>
    <row r="105" spans="1:8" ht="15">
      <c r="A105" s="64">
        <v>2009</v>
      </c>
      <c r="B105" s="68">
        <v>1</v>
      </c>
      <c r="C105" s="3" t="s">
        <v>34</v>
      </c>
      <c r="D105" s="77">
        <f>E101</f>
        <v>-335921.6024657609</v>
      </c>
      <c r="E105" s="78">
        <f>D105</f>
        <v>-335921.6024657609</v>
      </c>
      <c r="F105" s="94">
        <v>0.0245</v>
      </c>
      <c r="G105" s="78">
        <f aca="true" t="shared" si="24" ref="G105:G116">D105*F105/12</f>
        <v>-685.8399383675952</v>
      </c>
      <c r="H105" s="79">
        <f>H102+G105</f>
        <v>-22082.975859244445</v>
      </c>
    </row>
    <row r="106" spans="1:8" ht="15">
      <c r="A106" s="64">
        <v>2009</v>
      </c>
      <c r="B106" s="68">
        <v>2</v>
      </c>
      <c r="C106" s="3" t="s">
        <v>35</v>
      </c>
      <c r="D106" s="77">
        <f>E105</f>
        <v>-335921.6024657609</v>
      </c>
      <c r="E106" s="78">
        <f>D106</f>
        <v>-335921.6024657609</v>
      </c>
      <c r="F106" s="94">
        <v>0.0245</v>
      </c>
      <c r="G106" s="78">
        <f t="shared" si="24"/>
        <v>-685.8399383675952</v>
      </c>
      <c r="H106" s="79">
        <f>H105+G106</f>
        <v>-22768.815797612042</v>
      </c>
    </row>
    <row r="107" spans="1:8" ht="15">
      <c r="A107" s="64">
        <v>2009</v>
      </c>
      <c r="B107" s="68">
        <v>3</v>
      </c>
      <c r="C107" s="3" t="s">
        <v>36</v>
      </c>
      <c r="D107" s="77">
        <f aca="true" t="shared" si="25" ref="D107:D116">E106</f>
        <v>-335921.6024657609</v>
      </c>
      <c r="E107" s="78">
        <f aca="true" t="shared" si="26" ref="E107:E116">D107</f>
        <v>-335921.6024657609</v>
      </c>
      <c r="F107" s="94">
        <v>0.0245</v>
      </c>
      <c r="G107" s="78">
        <f t="shared" si="24"/>
        <v>-685.8399383675952</v>
      </c>
      <c r="H107" s="79">
        <f aca="true" t="shared" si="27" ref="H107:H116">H106+G107</f>
        <v>-23454.65573597964</v>
      </c>
    </row>
    <row r="108" spans="1:8" ht="15">
      <c r="A108" s="64">
        <v>2009</v>
      </c>
      <c r="B108" s="68">
        <v>4</v>
      </c>
      <c r="C108" s="3" t="s">
        <v>37</v>
      </c>
      <c r="D108" s="77">
        <f t="shared" si="25"/>
        <v>-335921.6024657609</v>
      </c>
      <c r="E108" s="78">
        <f t="shared" si="26"/>
        <v>-335921.6024657609</v>
      </c>
      <c r="F108" s="94">
        <v>0.01</v>
      </c>
      <c r="G108" s="78">
        <f t="shared" si="24"/>
        <v>-279.9346687214674</v>
      </c>
      <c r="H108" s="79">
        <f t="shared" si="27"/>
        <v>-23734.590404701106</v>
      </c>
    </row>
    <row r="109" spans="1:8" ht="15">
      <c r="A109" s="64">
        <v>2009</v>
      </c>
      <c r="B109" s="68">
        <v>5</v>
      </c>
      <c r="C109" s="3" t="s">
        <v>30</v>
      </c>
      <c r="D109" s="77">
        <f t="shared" si="25"/>
        <v>-335921.6024657609</v>
      </c>
      <c r="E109" s="78">
        <f t="shared" si="26"/>
        <v>-335921.6024657609</v>
      </c>
      <c r="F109" s="94">
        <v>0.01</v>
      </c>
      <c r="G109" s="78">
        <f t="shared" si="24"/>
        <v>-279.9346687214674</v>
      </c>
      <c r="H109" s="79">
        <f t="shared" si="27"/>
        <v>-24014.525073422574</v>
      </c>
    </row>
    <row r="110" spans="1:8" ht="15">
      <c r="A110" s="64">
        <v>2009</v>
      </c>
      <c r="B110" s="68">
        <v>6</v>
      </c>
      <c r="C110" s="3" t="s">
        <v>31</v>
      </c>
      <c r="D110" s="77">
        <f t="shared" si="25"/>
        <v>-335921.6024657609</v>
      </c>
      <c r="E110" s="78">
        <f t="shared" si="26"/>
        <v>-335921.6024657609</v>
      </c>
      <c r="F110" s="94">
        <v>0.01</v>
      </c>
      <c r="G110" s="78">
        <f t="shared" si="24"/>
        <v>-279.9346687214674</v>
      </c>
      <c r="H110" s="79">
        <f t="shared" si="27"/>
        <v>-24294.45974214404</v>
      </c>
    </row>
    <row r="111" spans="1:8" ht="15">
      <c r="A111" s="64">
        <v>2009</v>
      </c>
      <c r="B111" s="68">
        <v>7</v>
      </c>
      <c r="C111" s="3" t="s">
        <v>39</v>
      </c>
      <c r="D111" s="77">
        <f t="shared" si="25"/>
        <v>-335921.6024657609</v>
      </c>
      <c r="E111" s="78">
        <f t="shared" si="26"/>
        <v>-335921.6024657609</v>
      </c>
      <c r="F111" s="94">
        <v>0.0055</v>
      </c>
      <c r="G111" s="78">
        <f t="shared" si="24"/>
        <v>-153.9640677968071</v>
      </c>
      <c r="H111" s="79">
        <f t="shared" si="27"/>
        <v>-24448.423809940847</v>
      </c>
    </row>
    <row r="112" spans="1:8" ht="15">
      <c r="A112" s="64">
        <v>2009</v>
      </c>
      <c r="B112" s="68">
        <v>8</v>
      </c>
      <c r="C112" s="3" t="s">
        <v>40</v>
      </c>
      <c r="D112" s="77">
        <f t="shared" si="25"/>
        <v>-335921.6024657609</v>
      </c>
      <c r="E112" s="78">
        <f t="shared" si="26"/>
        <v>-335921.6024657609</v>
      </c>
      <c r="F112" s="94">
        <v>0.0055</v>
      </c>
      <c r="G112" s="78">
        <f t="shared" si="24"/>
        <v>-153.9640677968071</v>
      </c>
      <c r="H112" s="79">
        <f t="shared" si="27"/>
        <v>-24602.387877737652</v>
      </c>
    </row>
    <row r="113" spans="1:8" ht="15">
      <c r="A113" s="64">
        <v>2009</v>
      </c>
      <c r="B113" s="68">
        <v>9</v>
      </c>
      <c r="C113" s="3" t="s">
        <v>59</v>
      </c>
      <c r="D113" s="77">
        <f t="shared" si="25"/>
        <v>-335921.6024657609</v>
      </c>
      <c r="E113" s="78">
        <f t="shared" si="26"/>
        <v>-335921.6024657609</v>
      </c>
      <c r="F113" s="94">
        <v>0.0055</v>
      </c>
      <c r="G113" s="78">
        <f t="shared" si="24"/>
        <v>-153.9640677968071</v>
      </c>
      <c r="H113" s="79">
        <f t="shared" si="27"/>
        <v>-24756.351945534458</v>
      </c>
    </row>
    <row r="114" spans="1:8" ht="15">
      <c r="A114" s="64">
        <v>2009</v>
      </c>
      <c r="B114" s="68">
        <v>10</v>
      </c>
      <c r="C114" s="3" t="s">
        <v>42</v>
      </c>
      <c r="D114" s="77">
        <f t="shared" si="25"/>
        <v>-335921.6024657609</v>
      </c>
      <c r="E114" s="78">
        <f t="shared" si="26"/>
        <v>-335921.6024657609</v>
      </c>
      <c r="F114" s="94">
        <v>0.0055</v>
      </c>
      <c r="G114" s="78">
        <f t="shared" si="24"/>
        <v>-153.9640677968071</v>
      </c>
      <c r="H114" s="79">
        <f t="shared" si="27"/>
        <v>-24910.316013331263</v>
      </c>
    </row>
    <row r="115" spans="1:8" ht="15">
      <c r="A115" s="64">
        <v>2009</v>
      </c>
      <c r="B115" s="68">
        <v>11</v>
      </c>
      <c r="C115" s="3" t="s">
        <v>43</v>
      </c>
      <c r="D115" s="77">
        <f t="shared" si="25"/>
        <v>-335921.6024657609</v>
      </c>
      <c r="E115" s="78">
        <f t="shared" si="26"/>
        <v>-335921.6024657609</v>
      </c>
      <c r="F115" s="94">
        <v>0.0055</v>
      </c>
      <c r="G115" s="78">
        <f t="shared" si="24"/>
        <v>-153.9640677968071</v>
      </c>
      <c r="H115" s="79">
        <f t="shared" si="27"/>
        <v>-25064.28008112807</v>
      </c>
    </row>
    <row r="116" spans="1:8" ht="15">
      <c r="A116" s="64">
        <v>2009</v>
      </c>
      <c r="B116" s="68">
        <v>12</v>
      </c>
      <c r="C116" s="3" t="s">
        <v>44</v>
      </c>
      <c r="D116" s="77">
        <f t="shared" si="25"/>
        <v>-335921.6024657609</v>
      </c>
      <c r="E116" s="78">
        <f t="shared" si="26"/>
        <v>-335921.6024657609</v>
      </c>
      <c r="F116" s="94">
        <v>0.0055</v>
      </c>
      <c r="G116" s="78">
        <f t="shared" si="24"/>
        <v>-153.9640677968071</v>
      </c>
      <c r="H116" s="79">
        <f t="shared" si="27"/>
        <v>-25218.244148924874</v>
      </c>
    </row>
    <row r="117" spans="1:8" ht="15">
      <c r="A117" s="49"/>
      <c r="B117" s="75"/>
      <c r="C117" s="75"/>
      <c r="D117" s="80"/>
      <c r="E117" s="76"/>
      <c r="F117" s="76"/>
      <c r="G117" s="76">
        <f>SUM(G105:G116)</f>
        <v>-3821.108228048032</v>
      </c>
      <c r="H117" s="81"/>
    </row>
    <row r="118" spans="4:8" ht="15">
      <c r="D118" s="77"/>
      <c r="E118" s="78"/>
      <c r="F118" s="3"/>
      <c r="G118" s="3"/>
      <c r="H118" s="51"/>
    </row>
    <row r="119" spans="1:8" ht="15">
      <c r="A119" s="64">
        <v>2010</v>
      </c>
      <c r="B119" s="68">
        <v>1</v>
      </c>
      <c r="C119" s="3" t="s">
        <v>34</v>
      </c>
      <c r="D119" s="77">
        <f>E115</f>
        <v>-335921.6024657609</v>
      </c>
      <c r="E119" s="78">
        <f>D119</f>
        <v>-335921.6024657609</v>
      </c>
      <c r="F119" s="94">
        <v>0.0055</v>
      </c>
      <c r="G119" s="78">
        <f aca="true" t="shared" si="28" ref="G119:G130">D119*F119/12</f>
        <v>-153.9640677968071</v>
      </c>
      <c r="H119" s="79">
        <f>H116+G119</f>
        <v>-25372.20821672168</v>
      </c>
    </row>
    <row r="120" spans="1:8" ht="15">
      <c r="A120" s="64">
        <v>2010</v>
      </c>
      <c r="B120" s="68">
        <v>2</v>
      </c>
      <c r="C120" s="3" t="s">
        <v>35</v>
      </c>
      <c r="D120" s="77">
        <f>E119</f>
        <v>-335921.6024657609</v>
      </c>
      <c r="E120" s="78">
        <f>D120</f>
        <v>-335921.6024657609</v>
      </c>
      <c r="F120" s="94">
        <v>0.0055</v>
      </c>
      <c r="G120" s="78">
        <f t="shared" si="28"/>
        <v>-153.9640677968071</v>
      </c>
      <c r="H120" s="79">
        <f>H119+G120</f>
        <v>-25526.172284518485</v>
      </c>
    </row>
    <row r="121" spans="1:8" ht="15">
      <c r="A121" s="64">
        <v>2010</v>
      </c>
      <c r="B121" s="68">
        <v>3</v>
      </c>
      <c r="C121" s="3" t="s">
        <v>36</v>
      </c>
      <c r="D121" s="77">
        <f aca="true" t="shared" si="29" ref="D121:D130">E120</f>
        <v>-335921.6024657609</v>
      </c>
      <c r="E121" s="78">
        <f aca="true" t="shared" si="30" ref="E121:E130">D121</f>
        <v>-335921.6024657609</v>
      </c>
      <c r="F121" s="94">
        <v>0.0055</v>
      </c>
      <c r="G121" s="78">
        <f t="shared" si="28"/>
        <v>-153.9640677968071</v>
      </c>
      <c r="H121" s="79">
        <f aca="true" t="shared" si="31" ref="H121:H130">H120+G121</f>
        <v>-25680.13635231529</v>
      </c>
    </row>
    <row r="122" spans="1:8" ht="15">
      <c r="A122" s="64">
        <v>2010</v>
      </c>
      <c r="B122" s="68">
        <v>4</v>
      </c>
      <c r="C122" s="3" t="s">
        <v>37</v>
      </c>
      <c r="D122" s="77">
        <f t="shared" si="29"/>
        <v>-335921.6024657609</v>
      </c>
      <c r="E122" s="78">
        <f t="shared" si="30"/>
        <v>-335921.6024657609</v>
      </c>
      <c r="F122" s="94">
        <v>0.0055</v>
      </c>
      <c r="G122" s="78">
        <f t="shared" si="28"/>
        <v>-153.9640677968071</v>
      </c>
      <c r="H122" s="79">
        <f t="shared" si="31"/>
        <v>-25834.100420112096</v>
      </c>
    </row>
    <row r="123" spans="1:8" ht="15">
      <c r="A123" s="64">
        <v>2010</v>
      </c>
      <c r="B123" s="68">
        <v>5</v>
      </c>
      <c r="C123" s="3" t="s">
        <v>30</v>
      </c>
      <c r="D123" s="77">
        <f t="shared" si="29"/>
        <v>-335921.6024657609</v>
      </c>
      <c r="E123" s="78">
        <f t="shared" si="30"/>
        <v>-335921.6024657609</v>
      </c>
      <c r="F123" s="94">
        <v>0.0055</v>
      </c>
      <c r="G123" s="78">
        <f t="shared" si="28"/>
        <v>-153.9640677968071</v>
      </c>
      <c r="H123" s="79">
        <f t="shared" si="31"/>
        <v>-25988.0644879089</v>
      </c>
    </row>
    <row r="124" spans="1:8" ht="15">
      <c r="A124" s="64">
        <v>2010</v>
      </c>
      <c r="B124" s="68">
        <v>6</v>
      </c>
      <c r="C124" s="3" t="s">
        <v>31</v>
      </c>
      <c r="D124" s="77">
        <f t="shared" si="29"/>
        <v>-335921.6024657609</v>
      </c>
      <c r="E124" s="78">
        <f t="shared" si="30"/>
        <v>-335921.6024657609</v>
      </c>
      <c r="F124" s="94">
        <v>0.0055</v>
      </c>
      <c r="G124" s="78">
        <f t="shared" si="28"/>
        <v>-153.9640677968071</v>
      </c>
      <c r="H124" s="79">
        <f t="shared" si="31"/>
        <v>-26142.028555705707</v>
      </c>
    </row>
    <row r="125" spans="1:8" ht="15">
      <c r="A125" s="64">
        <v>2010</v>
      </c>
      <c r="B125" s="68">
        <v>7</v>
      </c>
      <c r="C125" s="3" t="s">
        <v>39</v>
      </c>
      <c r="D125" s="77">
        <f t="shared" si="29"/>
        <v>-335921.6024657609</v>
      </c>
      <c r="E125" s="78">
        <f t="shared" si="30"/>
        <v>-335921.6024657609</v>
      </c>
      <c r="F125" s="94">
        <v>0.0089</v>
      </c>
      <c r="G125" s="78">
        <f t="shared" si="28"/>
        <v>-249.141855162106</v>
      </c>
      <c r="H125" s="79">
        <f t="shared" si="31"/>
        <v>-26391.170410867813</v>
      </c>
    </row>
    <row r="126" spans="1:8" ht="15">
      <c r="A126" s="64">
        <v>2010</v>
      </c>
      <c r="B126" s="68">
        <v>8</v>
      </c>
      <c r="C126" s="3" t="s">
        <v>40</v>
      </c>
      <c r="D126" s="77">
        <f t="shared" si="29"/>
        <v>-335921.6024657609</v>
      </c>
      <c r="E126" s="78">
        <f t="shared" si="30"/>
        <v>-335921.6024657609</v>
      </c>
      <c r="F126" s="94">
        <v>0.0089</v>
      </c>
      <c r="G126" s="78">
        <f t="shared" si="28"/>
        <v>-249.141855162106</v>
      </c>
      <c r="H126" s="79">
        <f t="shared" si="31"/>
        <v>-26640.31226602992</v>
      </c>
    </row>
    <row r="127" spans="1:8" ht="15">
      <c r="A127" s="64">
        <v>2010</v>
      </c>
      <c r="B127" s="68">
        <v>9</v>
      </c>
      <c r="C127" s="3" t="s">
        <v>59</v>
      </c>
      <c r="D127" s="77">
        <f t="shared" si="29"/>
        <v>-335921.6024657609</v>
      </c>
      <c r="E127" s="78">
        <f t="shared" si="30"/>
        <v>-335921.6024657609</v>
      </c>
      <c r="F127" s="94">
        <v>0.0089</v>
      </c>
      <c r="G127" s="78">
        <f t="shared" si="28"/>
        <v>-249.141855162106</v>
      </c>
      <c r="H127" s="79">
        <f t="shared" si="31"/>
        <v>-26889.454121192026</v>
      </c>
    </row>
    <row r="128" spans="1:8" ht="15">
      <c r="A128" s="64">
        <v>2010</v>
      </c>
      <c r="B128" s="68">
        <v>10</v>
      </c>
      <c r="C128" s="3" t="s">
        <v>42</v>
      </c>
      <c r="D128" s="77">
        <f t="shared" si="29"/>
        <v>-335921.6024657609</v>
      </c>
      <c r="E128" s="78">
        <f t="shared" si="30"/>
        <v>-335921.6024657609</v>
      </c>
      <c r="F128" s="94">
        <v>0.012</v>
      </c>
      <c r="G128" s="78">
        <f t="shared" si="28"/>
        <v>-335.9216024657609</v>
      </c>
      <c r="H128" s="79">
        <f t="shared" si="31"/>
        <v>-27225.375723657788</v>
      </c>
    </row>
    <row r="129" spans="1:8" ht="15">
      <c r="A129" s="64">
        <v>2010</v>
      </c>
      <c r="B129" s="68">
        <v>11</v>
      </c>
      <c r="C129" s="3" t="s">
        <v>43</v>
      </c>
      <c r="D129" s="77">
        <f t="shared" si="29"/>
        <v>-335921.6024657609</v>
      </c>
      <c r="E129" s="78">
        <f t="shared" si="30"/>
        <v>-335921.6024657609</v>
      </c>
      <c r="F129" s="94">
        <v>0.012</v>
      </c>
      <c r="G129" s="78">
        <f t="shared" si="28"/>
        <v>-335.9216024657609</v>
      </c>
      <c r="H129" s="79">
        <f t="shared" si="31"/>
        <v>-27561.29732612355</v>
      </c>
    </row>
    <row r="130" spans="1:8" ht="15">
      <c r="A130" s="64">
        <v>2010</v>
      </c>
      <c r="B130" s="68">
        <v>12</v>
      </c>
      <c r="C130" s="3" t="s">
        <v>44</v>
      </c>
      <c r="D130" s="77">
        <f t="shared" si="29"/>
        <v>-335921.6024657609</v>
      </c>
      <c r="E130" s="78">
        <f t="shared" si="30"/>
        <v>-335921.6024657609</v>
      </c>
      <c r="F130" s="94">
        <v>0.012</v>
      </c>
      <c r="G130" s="78">
        <f t="shared" si="28"/>
        <v>-335.9216024657609</v>
      </c>
      <c r="H130" s="79">
        <f t="shared" si="31"/>
        <v>-27897.21892858931</v>
      </c>
    </row>
    <row r="131" spans="1:8" ht="15">
      <c r="A131" s="49"/>
      <c r="B131" s="75"/>
      <c r="C131" s="75"/>
      <c r="D131" s="80"/>
      <c r="E131" s="76"/>
      <c r="F131" s="76"/>
      <c r="G131" s="76">
        <f>SUM(G119:G130)</f>
        <v>-2678.974779664443</v>
      </c>
      <c r="H131" s="81"/>
    </row>
    <row r="132" spans="4:8" ht="15">
      <c r="D132" s="77"/>
      <c r="E132" s="78"/>
      <c r="F132" s="3"/>
      <c r="G132" s="3"/>
      <c r="H132" s="51"/>
    </row>
    <row r="133" spans="1:8" ht="15">
      <c r="A133" s="64">
        <v>2011</v>
      </c>
      <c r="B133" s="68">
        <v>1</v>
      </c>
      <c r="C133" s="3" t="s">
        <v>34</v>
      </c>
      <c r="D133" s="77">
        <f>E129</f>
        <v>-335921.6024657609</v>
      </c>
      <c r="E133" s="78">
        <f>D133</f>
        <v>-335921.6024657609</v>
      </c>
      <c r="F133" s="94">
        <v>0.0147</v>
      </c>
      <c r="G133" s="78">
        <f aca="true" t="shared" si="32" ref="G133:G144">D133*F133/12</f>
        <v>-411.50396302055714</v>
      </c>
      <c r="H133" s="79">
        <f>H130+G133</f>
        <v>-28308.72289160987</v>
      </c>
    </row>
    <row r="134" spans="1:8" ht="15">
      <c r="A134" s="64">
        <v>2011</v>
      </c>
      <c r="B134" s="68">
        <v>2</v>
      </c>
      <c r="C134" s="3" t="s">
        <v>35</v>
      </c>
      <c r="D134" s="77">
        <f>E133</f>
        <v>-335921.6024657609</v>
      </c>
      <c r="E134" s="78">
        <f>D134</f>
        <v>-335921.6024657609</v>
      </c>
      <c r="F134" s="94">
        <v>0.0147</v>
      </c>
      <c r="G134" s="78">
        <f t="shared" si="32"/>
        <v>-411.50396302055714</v>
      </c>
      <c r="H134" s="79">
        <f>H133+G134</f>
        <v>-28720.226854630426</v>
      </c>
    </row>
    <row r="135" spans="1:8" ht="15">
      <c r="A135" s="64">
        <v>2011</v>
      </c>
      <c r="B135" s="68">
        <v>3</v>
      </c>
      <c r="C135" s="3" t="s">
        <v>36</v>
      </c>
      <c r="D135" s="77">
        <f aca="true" t="shared" si="33" ref="D135:D144">E134</f>
        <v>-335921.6024657609</v>
      </c>
      <c r="E135" s="78">
        <f aca="true" t="shared" si="34" ref="E135:E144">D135</f>
        <v>-335921.6024657609</v>
      </c>
      <c r="F135" s="94">
        <v>0.0147</v>
      </c>
      <c r="G135" s="78">
        <f t="shared" si="32"/>
        <v>-411.50396302055714</v>
      </c>
      <c r="H135" s="79">
        <f aca="true" t="shared" si="35" ref="H135:H144">H134+G135</f>
        <v>-29131.730817650983</v>
      </c>
    </row>
    <row r="136" spans="1:8" ht="15">
      <c r="A136" s="64">
        <v>2011</v>
      </c>
      <c r="B136" s="68">
        <v>4</v>
      </c>
      <c r="C136" s="3" t="s">
        <v>37</v>
      </c>
      <c r="D136" s="77">
        <f t="shared" si="33"/>
        <v>-335921.6024657609</v>
      </c>
      <c r="E136" s="78">
        <f t="shared" si="34"/>
        <v>-335921.6024657609</v>
      </c>
      <c r="F136" s="94">
        <v>0.0147</v>
      </c>
      <c r="G136" s="78">
        <f t="shared" si="32"/>
        <v>-411.50396302055714</v>
      </c>
      <c r="H136" s="79">
        <f t="shared" si="35"/>
        <v>-29543.23478067154</v>
      </c>
    </row>
    <row r="137" spans="1:8" ht="15">
      <c r="A137" s="64">
        <v>2011</v>
      </c>
      <c r="B137" s="68">
        <v>5</v>
      </c>
      <c r="C137" s="3" t="s">
        <v>30</v>
      </c>
      <c r="D137" s="77">
        <f t="shared" si="33"/>
        <v>-335921.6024657609</v>
      </c>
      <c r="E137" s="78">
        <f t="shared" si="34"/>
        <v>-335921.6024657609</v>
      </c>
      <c r="F137" s="94">
        <v>0.0147</v>
      </c>
      <c r="G137" s="78">
        <f t="shared" si="32"/>
        <v>-411.50396302055714</v>
      </c>
      <c r="H137" s="79">
        <f t="shared" si="35"/>
        <v>-29954.738743692098</v>
      </c>
    </row>
    <row r="138" spans="1:8" ht="15">
      <c r="A138" s="64">
        <v>2011</v>
      </c>
      <c r="B138" s="68">
        <v>6</v>
      </c>
      <c r="C138" s="3" t="s">
        <v>31</v>
      </c>
      <c r="D138" s="77">
        <f t="shared" si="33"/>
        <v>-335921.6024657609</v>
      </c>
      <c r="E138" s="78">
        <f t="shared" si="34"/>
        <v>-335921.6024657609</v>
      </c>
      <c r="F138" s="94">
        <v>0.0147</v>
      </c>
      <c r="G138" s="78">
        <f t="shared" si="32"/>
        <v>-411.50396302055714</v>
      </c>
      <c r="H138" s="79">
        <f t="shared" si="35"/>
        <v>-30366.242706712655</v>
      </c>
    </row>
    <row r="139" spans="1:8" ht="15">
      <c r="A139" s="64">
        <v>2011</v>
      </c>
      <c r="B139" s="68">
        <v>7</v>
      </c>
      <c r="C139" s="3" t="s">
        <v>39</v>
      </c>
      <c r="D139" s="77">
        <f t="shared" si="33"/>
        <v>-335921.6024657609</v>
      </c>
      <c r="E139" s="78">
        <f t="shared" si="34"/>
        <v>-335921.6024657609</v>
      </c>
      <c r="F139" s="94">
        <v>0.0147</v>
      </c>
      <c r="G139" s="78">
        <f t="shared" si="32"/>
        <v>-411.50396302055714</v>
      </c>
      <c r="H139" s="79">
        <f t="shared" si="35"/>
        <v>-30777.746669733213</v>
      </c>
    </row>
    <row r="140" spans="1:8" ht="15">
      <c r="A140" s="64">
        <v>2011</v>
      </c>
      <c r="B140" s="68">
        <v>8</v>
      </c>
      <c r="C140" s="3" t="s">
        <v>40</v>
      </c>
      <c r="D140" s="77">
        <f t="shared" si="33"/>
        <v>-335921.6024657609</v>
      </c>
      <c r="E140" s="78">
        <f t="shared" si="34"/>
        <v>-335921.6024657609</v>
      </c>
      <c r="F140" s="94">
        <v>0.0147</v>
      </c>
      <c r="G140" s="78">
        <f t="shared" si="32"/>
        <v>-411.50396302055714</v>
      </c>
      <c r="H140" s="79">
        <f t="shared" si="35"/>
        <v>-31189.25063275377</v>
      </c>
    </row>
    <row r="141" spans="1:8" ht="15">
      <c r="A141" s="64">
        <v>2011</v>
      </c>
      <c r="B141" s="68">
        <v>9</v>
      </c>
      <c r="C141" s="3" t="s">
        <v>59</v>
      </c>
      <c r="D141" s="77">
        <f t="shared" si="33"/>
        <v>-335921.6024657609</v>
      </c>
      <c r="E141" s="78">
        <f t="shared" si="34"/>
        <v>-335921.6024657609</v>
      </c>
      <c r="F141" s="94">
        <v>0.0147</v>
      </c>
      <c r="G141" s="78">
        <f t="shared" si="32"/>
        <v>-411.50396302055714</v>
      </c>
      <c r="H141" s="79">
        <f t="shared" si="35"/>
        <v>-31600.754595774328</v>
      </c>
    </row>
    <row r="142" spans="1:8" ht="15">
      <c r="A142" s="64">
        <v>2011</v>
      </c>
      <c r="B142" s="68">
        <v>10</v>
      </c>
      <c r="C142" s="3" t="s">
        <v>42</v>
      </c>
      <c r="D142" s="77">
        <f t="shared" si="33"/>
        <v>-335921.6024657609</v>
      </c>
      <c r="E142" s="78">
        <f t="shared" si="34"/>
        <v>-335921.6024657609</v>
      </c>
      <c r="F142" s="94">
        <v>0.0147</v>
      </c>
      <c r="G142" s="78">
        <f t="shared" si="32"/>
        <v>-411.50396302055714</v>
      </c>
      <c r="H142" s="79">
        <f t="shared" si="35"/>
        <v>-32012.258558794885</v>
      </c>
    </row>
    <row r="143" spans="1:8" ht="15">
      <c r="A143" s="64">
        <v>2011</v>
      </c>
      <c r="B143" s="68">
        <v>11</v>
      </c>
      <c r="C143" s="3" t="s">
        <v>43</v>
      </c>
      <c r="D143" s="77">
        <f t="shared" si="33"/>
        <v>-335921.6024657609</v>
      </c>
      <c r="E143" s="78">
        <f t="shared" si="34"/>
        <v>-335921.6024657609</v>
      </c>
      <c r="F143" s="94">
        <v>0.0147</v>
      </c>
      <c r="G143" s="78">
        <f t="shared" si="32"/>
        <v>-411.50396302055714</v>
      </c>
      <c r="H143" s="79">
        <f t="shared" si="35"/>
        <v>-32423.762521815443</v>
      </c>
    </row>
    <row r="144" spans="1:8" ht="15">
      <c r="A144" s="64">
        <v>2011</v>
      </c>
      <c r="B144" s="68">
        <v>12</v>
      </c>
      <c r="C144" s="3" t="s">
        <v>44</v>
      </c>
      <c r="D144" s="77">
        <f t="shared" si="33"/>
        <v>-335921.6024657609</v>
      </c>
      <c r="E144" s="78">
        <f t="shared" si="34"/>
        <v>-335921.6024657609</v>
      </c>
      <c r="F144" s="94">
        <v>0.0147</v>
      </c>
      <c r="G144" s="78">
        <f t="shared" si="32"/>
        <v>-411.50396302055714</v>
      </c>
      <c r="H144" s="79">
        <f t="shared" si="35"/>
        <v>-32835.266484836</v>
      </c>
    </row>
    <row r="145" spans="1:8" ht="15">
      <c r="A145" s="49"/>
      <c r="B145" s="75"/>
      <c r="C145" s="75"/>
      <c r="D145" s="80"/>
      <c r="E145" s="76"/>
      <c r="F145" s="76"/>
      <c r="G145" s="76">
        <f>SUM(G133:G144)</f>
        <v>-4938.047556246685</v>
      </c>
      <c r="H145" s="81"/>
    </row>
    <row r="146" spans="4:8" ht="15">
      <c r="D146" s="77"/>
      <c r="E146" s="78"/>
      <c r="F146" s="3"/>
      <c r="G146" s="3"/>
      <c r="H146" s="51"/>
    </row>
    <row r="147" spans="1:8" ht="15">
      <c r="A147" s="64">
        <v>2012</v>
      </c>
      <c r="B147" s="68">
        <v>1</v>
      </c>
      <c r="C147" s="3" t="s">
        <v>34</v>
      </c>
      <c r="D147" s="77">
        <f>E143</f>
        <v>-335921.6024657609</v>
      </c>
      <c r="E147" s="78">
        <f>D147</f>
        <v>-335921.6024657609</v>
      </c>
      <c r="F147" s="177">
        <v>0.0147</v>
      </c>
      <c r="G147" s="78">
        <f>D147*F147/12</f>
        <v>-411.50396302055714</v>
      </c>
      <c r="H147" s="79">
        <f>H144+G147</f>
        <v>-33246.77044785656</v>
      </c>
    </row>
    <row r="148" spans="1:8" ht="15">
      <c r="A148" s="64">
        <v>2012</v>
      </c>
      <c r="B148" s="68">
        <v>2</v>
      </c>
      <c r="C148" s="3" t="s">
        <v>35</v>
      </c>
      <c r="D148" s="77">
        <f>E147</f>
        <v>-335921.6024657609</v>
      </c>
      <c r="E148" s="78">
        <f>D148</f>
        <v>-335921.6024657609</v>
      </c>
      <c r="F148" s="177">
        <v>0.0147</v>
      </c>
      <c r="G148" s="78">
        <f>D148*F148/12</f>
        <v>-411.50396302055714</v>
      </c>
      <c r="H148" s="79">
        <f>H147+G148</f>
        <v>-33658.274410877115</v>
      </c>
    </row>
    <row r="149" spans="1:8" ht="15">
      <c r="A149" s="64">
        <v>2012</v>
      </c>
      <c r="B149" s="68">
        <v>3</v>
      </c>
      <c r="C149" s="3" t="s">
        <v>36</v>
      </c>
      <c r="D149" s="77">
        <f>E148</f>
        <v>-335921.6024657609</v>
      </c>
      <c r="E149" s="78">
        <f>D149</f>
        <v>-335921.6024657609</v>
      </c>
      <c r="F149" s="177">
        <v>0.0147</v>
      </c>
      <c r="G149" s="78">
        <f>D149*F149/12</f>
        <v>-411.50396302055714</v>
      </c>
      <c r="H149" s="79">
        <f aca="true" t="shared" si="36" ref="H149:H158">H148+G149</f>
        <v>-34069.77837389767</v>
      </c>
    </row>
    <row r="150" spans="1:8" ht="15">
      <c r="A150" s="64">
        <v>2012</v>
      </c>
      <c r="B150" s="68">
        <v>4</v>
      </c>
      <c r="C150" s="3" t="s">
        <v>37</v>
      </c>
      <c r="D150" s="77">
        <f>E149</f>
        <v>-335921.6024657609</v>
      </c>
      <c r="E150" s="78">
        <f>D150</f>
        <v>-335921.6024657609</v>
      </c>
      <c r="F150" s="177">
        <v>0.0147</v>
      </c>
      <c r="G150" s="78">
        <f>D150*F150/12</f>
        <v>-411.50396302055714</v>
      </c>
      <c r="H150" s="79">
        <f t="shared" si="36"/>
        <v>-34481.28233691823</v>
      </c>
    </row>
    <row r="151" spans="1:8" ht="15" hidden="1">
      <c r="A151" s="64">
        <v>2012</v>
      </c>
      <c r="B151" s="68">
        <v>5</v>
      </c>
      <c r="C151" s="3" t="s">
        <v>30</v>
      </c>
      <c r="D151" s="77">
        <v>0</v>
      </c>
      <c r="E151" s="78">
        <v>0</v>
      </c>
      <c r="F151" s="3"/>
      <c r="G151" s="78">
        <f aca="true" t="shared" si="37" ref="G151:G158">SUM(D151:F151)</f>
        <v>0</v>
      </c>
      <c r="H151" s="79">
        <f t="shared" si="36"/>
        <v>-34481.28233691823</v>
      </c>
    </row>
    <row r="152" spans="1:8" ht="15" hidden="1">
      <c r="A152" s="64">
        <v>2012</v>
      </c>
      <c r="B152" s="68">
        <v>6</v>
      </c>
      <c r="C152" s="3" t="s">
        <v>31</v>
      </c>
      <c r="D152" s="77">
        <v>0</v>
      </c>
      <c r="E152" s="78">
        <v>0</v>
      </c>
      <c r="F152" s="3"/>
      <c r="G152" s="78">
        <f t="shared" si="37"/>
        <v>0</v>
      </c>
      <c r="H152" s="79">
        <f t="shared" si="36"/>
        <v>-34481.28233691823</v>
      </c>
    </row>
    <row r="153" spans="1:8" ht="15" hidden="1">
      <c r="A153" s="64">
        <v>2012</v>
      </c>
      <c r="B153" s="68">
        <v>7</v>
      </c>
      <c r="C153" s="3" t="s">
        <v>39</v>
      </c>
      <c r="D153" s="77">
        <v>0</v>
      </c>
      <c r="E153" s="78">
        <v>0</v>
      </c>
      <c r="F153" s="3"/>
      <c r="G153" s="78">
        <f t="shared" si="37"/>
        <v>0</v>
      </c>
      <c r="H153" s="79">
        <f t="shared" si="36"/>
        <v>-34481.28233691823</v>
      </c>
    </row>
    <row r="154" spans="1:8" ht="15" hidden="1">
      <c r="A154" s="64">
        <v>2012</v>
      </c>
      <c r="B154" s="68">
        <v>8</v>
      </c>
      <c r="C154" s="3" t="s">
        <v>40</v>
      </c>
      <c r="D154" s="77">
        <v>0</v>
      </c>
      <c r="E154" s="78">
        <v>0</v>
      </c>
      <c r="F154" s="3"/>
      <c r="G154" s="78">
        <f t="shared" si="37"/>
        <v>0</v>
      </c>
      <c r="H154" s="79">
        <f t="shared" si="36"/>
        <v>-34481.28233691823</v>
      </c>
    </row>
    <row r="155" spans="1:8" ht="15" hidden="1">
      <c r="A155" s="64">
        <v>2012</v>
      </c>
      <c r="B155" s="68">
        <v>9</v>
      </c>
      <c r="C155" s="3" t="s">
        <v>59</v>
      </c>
      <c r="D155" s="77">
        <v>0</v>
      </c>
      <c r="E155" s="78">
        <v>0</v>
      </c>
      <c r="F155" s="3"/>
      <c r="G155" s="78">
        <f t="shared" si="37"/>
        <v>0</v>
      </c>
      <c r="H155" s="79">
        <f t="shared" si="36"/>
        <v>-34481.28233691823</v>
      </c>
    </row>
    <row r="156" spans="1:8" ht="15" hidden="1">
      <c r="A156" s="64">
        <v>2012</v>
      </c>
      <c r="B156" s="68">
        <v>10</v>
      </c>
      <c r="C156" s="3" t="s">
        <v>42</v>
      </c>
      <c r="D156" s="77">
        <v>0</v>
      </c>
      <c r="E156" s="78">
        <v>0</v>
      </c>
      <c r="F156" s="3"/>
      <c r="G156" s="78">
        <f t="shared" si="37"/>
        <v>0</v>
      </c>
      <c r="H156" s="79">
        <f t="shared" si="36"/>
        <v>-34481.28233691823</v>
      </c>
    </row>
    <row r="157" spans="1:8" ht="15" hidden="1">
      <c r="A157" s="64">
        <v>2012</v>
      </c>
      <c r="B157" s="68">
        <v>11</v>
      </c>
      <c r="C157" s="3" t="s">
        <v>43</v>
      </c>
      <c r="D157" s="77">
        <v>0</v>
      </c>
      <c r="E157" s="78">
        <v>0</v>
      </c>
      <c r="F157" s="3"/>
      <c r="G157" s="78">
        <f t="shared" si="37"/>
        <v>0</v>
      </c>
      <c r="H157" s="79">
        <f t="shared" si="36"/>
        <v>-34481.28233691823</v>
      </c>
    </row>
    <row r="158" spans="1:8" ht="15" hidden="1">
      <c r="A158" s="64">
        <v>2012</v>
      </c>
      <c r="B158" s="68">
        <v>12</v>
      </c>
      <c r="C158" s="3" t="s">
        <v>44</v>
      </c>
      <c r="D158" s="77">
        <v>0</v>
      </c>
      <c r="E158" s="78">
        <v>0</v>
      </c>
      <c r="F158" s="3"/>
      <c r="G158" s="78">
        <f t="shared" si="37"/>
        <v>0</v>
      </c>
      <c r="H158" s="79">
        <f t="shared" si="36"/>
        <v>-34481.28233691823</v>
      </c>
    </row>
    <row r="159" spans="1:8" ht="15">
      <c r="A159" s="49"/>
      <c r="B159" s="75"/>
      <c r="C159" s="75"/>
      <c r="D159" s="80"/>
      <c r="E159" s="76"/>
      <c r="F159" s="76"/>
      <c r="G159" s="76">
        <f>SUM(G147:G158)</f>
        <v>-1646.0158520822285</v>
      </c>
      <c r="H159" s="81"/>
    </row>
    <row r="161" spans="1:9" ht="15">
      <c r="A161" s="190" t="s">
        <v>141</v>
      </c>
      <c r="B161" s="191"/>
      <c r="C161" s="191"/>
      <c r="D161" s="192"/>
      <c r="E161" s="192"/>
      <c r="F161" s="191"/>
      <c r="G161" s="191"/>
      <c r="H161" s="192">
        <f>H65</f>
        <v>17880.49744743225</v>
      </c>
      <c r="I161" s="191"/>
    </row>
    <row r="162" spans="1:9" ht="15">
      <c r="A162" s="64" t="s">
        <v>142</v>
      </c>
      <c r="B162" s="3"/>
      <c r="C162" s="3"/>
      <c r="D162" s="78"/>
      <c r="E162" s="78"/>
      <c r="F162" s="3"/>
      <c r="G162" s="3"/>
      <c r="H162" s="78">
        <f>H130-H65</f>
        <v>-45777.71637602156</v>
      </c>
      <c r="I162" s="3"/>
    </row>
    <row r="163" spans="1:9" ht="15">
      <c r="A163" s="64" t="s">
        <v>143</v>
      </c>
      <c r="B163" s="3"/>
      <c r="C163" s="3"/>
      <c r="D163" s="78"/>
      <c r="E163" s="78"/>
      <c r="F163" s="3"/>
      <c r="G163" s="3"/>
      <c r="H163" s="78">
        <f>H150-H130</f>
        <v>-6584.063408328919</v>
      </c>
      <c r="I163" s="3"/>
    </row>
    <row r="164" spans="1:9" ht="15">
      <c r="A164" s="197" t="s">
        <v>105</v>
      </c>
      <c r="B164" s="198"/>
      <c r="C164" s="198"/>
      <c r="D164" s="199"/>
      <c r="E164" s="199"/>
      <c r="F164" s="198"/>
      <c r="G164" s="198"/>
      <c r="H164" s="199">
        <f>SUM(H161:H163)</f>
        <v>-34481.28233691823</v>
      </c>
      <c r="I164" s="198"/>
    </row>
  </sheetData>
  <sheetProtection/>
  <printOptions horizontalCentered="1"/>
  <pageMargins left="0.5118110236220472" right="0.5118110236220472" top="0.984251968503937" bottom="0.7480314960629921" header="0.31496062992125984" footer="0.31496062992125984"/>
  <pageSetup fitToHeight="3" horizontalDpi="600" verticalDpi="600" orientation="portrait" scale="75" r:id="rId1"/>
  <headerFooter>
    <oddHeader>&amp;ROrillia Power Distribution Corporation
EB-2011-0191
Filed: October 28, 2011
Appendix B</oddHeader>
    <oddFooter>&amp;C&amp;F
&amp;A&amp;RPage &amp;P
of &amp;N</oddFooter>
  </headerFooter>
  <rowBreaks count="2" manualBreakCount="2">
    <brk id="60" max="8" man="1"/>
    <brk id="11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84"/>
  <sheetViews>
    <sheetView showGridLines="0" tabSelected="1" zoomScalePageLayoutView="0" workbookViewId="0" topLeftCell="A55">
      <selection activeCell="D86" sqref="D86"/>
    </sheetView>
  </sheetViews>
  <sheetFormatPr defaultColWidth="9.140625" defaultRowHeight="15" outlineLevelCol="1"/>
  <cols>
    <col min="1" max="1" width="27.421875" style="0" customWidth="1"/>
    <col min="2" max="2" width="5.00390625" style="0" bestFit="1" customWidth="1"/>
    <col min="3" max="3" width="8.57421875" style="0" bestFit="1" customWidth="1"/>
    <col min="4" max="4" width="10.421875" style="0" bestFit="1" customWidth="1"/>
    <col min="5" max="5" width="7.57421875" style="0" customWidth="1"/>
    <col min="6" max="6" width="12.57421875" style="0" bestFit="1" customWidth="1"/>
    <col min="7" max="7" width="9.00390625" style="0" bestFit="1" customWidth="1"/>
    <col min="8" max="8" width="11.28125" style="0" bestFit="1" customWidth="1"/>
    <col min="9" max="9" width="12.7109375" style="0" customWidth="1"/>
    <col min="10" max="10" width="13.140625" style="0" customWidth="1"/>
    <col min="11" max="11" width="13.421875" style="0" customWidth="1"/>
    <col min="12" max="12" width="11.421875" style="0" customWidth="1"/>
    <col min="13" max="13" width="14.28125" style="0" bestFit="1" customWidth="1"/>
    <col min="14" max="14" width="12.57421875" style="0" hidden="1" customWidth="1" outlineLevel="1"/>
    <col min="15" max="15" width="14.00390625" style="0" hidden="1" customWidth="1" outlineLevel="1"/>
    <col min="16" max="16" width="9.8515625" style="0" hidden="1" customWidth="1" outlineLevel="1"/>
    <col min="17" max="17" width="14.57421875" style="0" hidden="1" customWidth="1" outlineLevel="1"/>
    <col min="18" max="18" width="13.8515625" style="0" customWidth="1" collapsed="1"/>
  </cols>
  <sheetData>
    <row r="1" s="1" customFormat="1" ht="15.75" thickBot="1"/>
    <row r="2" spans="1:18" s="20" customFormat="1" ht="75">
      <c r="A2" s="34" t="s">
        <v>19</v>
      </c>
      <c r="B2" s="50"/>
      <c r="C2" s="245" t="s">
        <v>18</v>
      </c>
      <c r="D2" s="245" t="s">
        <v>51</v>
      </c>
      <c r="E2" s="245" t="s">
        <v>22</v>
      </c>
      <c r="F2" s="245" t="s">
        <v>115</v>
      </c>
      <c r="G2" s="246" t="s">
        <v>116</v>
      </c>
      <c r="H2" s="247" t="s">
        <v>7</v>
      </c>
      <c r="I2" s="248" t="s">
        <v>14</v>
      </c>
      <c r="J2" s="249" t="s">
        <v>8</v>
      </c>
      <c r="K2" s="247" t="s">
        <v>9</v>
      </c>
      <c r="L2" s="248" t="s">
        <v>11</v>
      </c>
      <c r="M2" s="249" t="s">
        <v>99</v>
      </c>
      <c r="N2" s="247" t="s">
        <v>12</v>
      </c>
      <c r="O2" s="249" t="s">
        <v>13</v>
      </c>
      <c r="P2" s="247" t="s">
        <v>15</v>
      </c>
      <c r="Q2" s="249" t="s">
        <v>16</v>
      </c>
      <c r="R2" s="249" t="s">
        <v>4</v>
      </c>
    </row>
    <row r="3" spans="1:18" ht="15">
      <c r="A3" s="24" t="s">
        <v>0</v>
      </c>
      <c r="B3" s="51">
        <v>2002</v>
      </c>
      <c r="C3" s="35" t="s">
        <v>36</v>
      </c>
      <c r="D3" s="36">
        <f>'C-2 Customer Count'!C4</f>
        <v>10459</v>
      </c>
      <c r="E3" s="36">
        <v>1</v>
      </c>
      <c r="F3" s="36">
        <f>'C-1 Monthly Volumes'!C6</f>
        <v>10245295</v>
      </c>
      <c r="G3" s="37"/>
      <c r="H3" s="12">
        <v>0.7352</v>
      </c>
      <c r="I3" s="6">
        <v>0.000474</v>
      </c>
      <c r="J3" s="13">
        <f>D3*E3*H3+(F3+G3)*I3</f>
        <v>12545.726630000001</v>
      </c>
      <c r="K3" s="12">
        <v>2.1082</v>
      </c>
      <c r="L3" s="6">
        <v>0.001359</v>
      </c>
      <c r="M3" s="13">
        <f>D3*E3*K3+(F3+G3)*L3</f>
        <v>35973.019705</v>
      </c>
      <c r="N3" s="17"/>
      <c r="O3" s="13">
        <f>(F3+G3)*N3</f>
        <v>0</v>
      </c>
      <c r="P3" s="17">
        <v>0</v>
      </c>
      <c r="Q3" s="13">
        <f>(F3+G3)*P3</f>
        <v>0</v>
      </c>
      <c r="R3" s="13">
        <f>J3+M3+O3+Q3</f>
        <v>48518.746335</v>
      </c>
    </row>
    <row r="4" spans="1:18" ht="15">
      <c r="A4" s="24" t="s">
        <v>0</v>
      </c>
      <c r="B4" s="51">
        <v>2002</v>
      </c>
      <c r="C4" s="35" t="s">
        <v>37</v>
      </c>
      <c r="D4" s="36">
        <f>'C-2 Customer Count'!C5</f>
        <v>10461</v>
      </c>
      <c r="E4" s="36">
        <v>1</v>
      </c>
      <c r="F4" s="36">
        <f>'C-1 Monthly Volumes'!C7</f>
        <v>9728559</v>
      </c>
      <c r="G4" s="37"/>
      <c r="H4" s="12">
        <v>0.7352</v>
      </c>
      <c r="I4" s="6">
        <v>0.000474</v>
      </c>
      <c r="J4" s="13">
        <f aca="true" t="shared" si="0" ref="J4:J12">D4*E4*H4+(F4+G4)*I4</f>
        <v>12302.264166</v>
      </c>
      <c r="K4" s="12">
        <v>2.1082</v>
      </c>
      <c r="L4" s="6">
        <v>0.001359</v>
      </c>
      <c r="M4" s="13">
        <f aca="true" t="shared" si="1" ref="M4:M12">D4*E4*K4+(F4+G4)*L4</f>
        <v>35274.991881</v>
      </c>
      <c r="N4" s="17"/>
      <c r="O4" s="13">
        <f aca="true" t="shared" si="2" ref="O4:O12">(F4+G4)*N4</f>
        <v>0</v>
      </c>
      <c r="P4" s="17">
        <v>0</v>
      </c>
      <c r="Q4" s="13">
        <f aca="true" t="shared" si="3" ref="Q4:Q12">(F4+G4)*P4</f>
        <v>0</v>
      </c>
      <c r="R4" s="13">
        <f aca="true" t="shared" si="4" ref="R4:R12">J4+M4+O4+Q4</f>
        <v>47577.256047</v>
      </c>
    </row>
    <row r="5" spans="1:18" ht="15">
      <c r="A5" s="24" t="s">
        <v>0</v>
      </c>
      <c r="B5" s="51">
        <v>2002</v>
      </c>
      <c r="C5" s="35" t="s">
        <v>30</v>
      </c>
      <c r="D5" s="36">
        <f>'C-2 Customer Count'!C6</f>
        <v>10458</v>
      </c>
      <c r="E5" s="36">
        <v>1</v>
      </c>
      <c r="F5" s="36">
        <f>'C-1 Monthly Volumes'!C8</f>
        <v>751299</v>
      </c>
      <c r="G5" s="37"/>
      <c r="H5" s="12">
        <v>0.7352</v>
      </c>
      <c r="I5" s="6">
        <v>0.000474</v>
      </c>
      <c r="J5" s="13">
        <f t="shared" si="0"/>
        <v>8044.837326</v>
      </c>
      <c r="K5" s="12">
        <v>2.1082</v>
      </c>
      <c r="L5" s="6">
        <v>0.001359</v>
      </c>
      <c r="M5" s="13">
        <f t="shared" si="1"/>
        <v>23068.570940999998</v>
      </c>
      <c r="N5" s="17"/>
      <c r="O5" s="13">
        <f t="shared" si="2"/>
        <v>0</v>
      </c>
      <c r="P5" s="17">
        <v>0</v>
      </c>
      <c r="Q5" s="13">
        <f t="shared" si="3"/>
        <v>0</v>
      </c>
      <c r="R5" s="13">
        <f t="shared" si="4"/>
        <v>31113.408267</v>
      </c>
    </row>
    <row r="6" spans="1:18" ht="15">
      <c r="A6" s="24" t="s">
        <v>0</v>
      </c>
      <c r="B6" s="51">
        <v>2002</v>
      </c>
      <c r="C6" s="35" t="s">
        <v>38</v>
      </c>
      <c r="D6" s="36">
        <f>'C-2 Customer Count'!C7</f>
        <v>10466</v>
      </c>
      <c r="E6" s="36">
        <v>1</v>
      </c>
      <c r="F6" s="36">
        <f>'C-1 Monthly Volumes'!C9</f>
        <v>5679552</v>
      </c>
      <c r="G6" s="37"/>
      <c r="H6" s="12">
        <v>0.7352</v>
      </c>
      <c r="I6" s="6">
        <v>0.000474</v>
      </c>
      <c r="J6" s="13">
        <f t="shared" si="0"/>
        <v>10386.710847999999</v>
      </c>
      <c r="K6" s="12">
        <v>2.1082</v>
      </c>
      <c r="L6" s="6">
        <v>0.001359</v>
      </c>
      <c r="M6" s="13">
        <f t="shared" si="1"/>
        <v>29782.932368</v>
      </c>
      <c r="N6" s="17"/>
      <c r="O6" s="13">
        <f t="shared" si="2"/>
        <v>0</v>
      </c>
      <c r="P6" s="17">
        <v>0</v>
      </c>
      <c r="Q6" s="13">
        <f t="shared" si="3"/>
        <v>0</v>
      </c>
      <c r="R6" s="13">
        <f t="shared" si="4"/>
        <v>40169.643216</v>
      </c>
    </row>
    <row r="7" spans="1:18" ht="15">
      <c r="A7" s="24" t="s">
        <v>0</v>
      </c>
      <c r="B7" s="51">
        <v>2002</v>
      </c>
      <c r="C7" s="35" t="s">
        <v>39</v>
      </c>
      <c r="D7" s="36">
        <f>'C-2 Customer Count'!C8</f>
        <v>10473</v>
      </c>
      <c r="E7" s="36">
        <v>1</v>
      </c>
      <c r="F7" s="36">
        <f>'C-1 Monthly Volumes'!C10</f>
        <v>7186823</v>
      </c>
      <c r="G7" s="37"/>
      <c r="H7" s="12">
        <v>0.7352</v>
      </c>
      <c r="I7" s="6">
        <v>0.000474</v>
      </c>
      <c r="J7" s="13">
        <f t="shared" si="0"/>
        <v>11106.303702</v>
      </c>
      <c r="K7" s="12">
        <v>2.1082</v>
      </c>
      <c r="L7" s="6">
        <v>0.001359</v>
      </c>
      <c r="M7" s="13">
        <f t="shared" si="1"/>
        <v>31846.071057</v>
      </c>
      <c r="N7" s="17"/>
      <c r="O7" s="13">
        <f t="shared" si="2"/>
        <v>0</v>
      </c>
      <c r="P7" s="17">
        <v>0</v>
      </c>
      <c r="Q7" s="13">
        <f t="shared" si="3"/>
        <v>0</v>
      </c>
      <c r="R7" s="13">
        <f t="shared" si="4"/>
        <v>42952.374759</v>
      </c>
    </row>
    <row r="8" spans="1:18" ht="15">
      <c r="A8" s="24" t="s">
        <v>0</v>
      </c>
      <c r="B8" s="51">
        <v>2002</v>
      </c>
      <c r="C8" s="35" t="s">
        <v>40</v>
      </c>
      <c r="D8" s="36">
        <f>'C-2 Customer Count'!C9</f>
        <v>10478</v>
      </c>
      <c r="E8" s="36">
        <v>1</v>
      </c>
      <c r="F8" s="36">
        <f>'C-1 Monthly Volumes'!C11</f>
        <v>9322469</v>
      </c>
      <c r="G8" s="37"/>
      <c r="H8" s="12">
        <v>0.7352</v>
      </c>
      <c r="I8" s="6">
        <v>0.000474</v>
      </c>
      <c r="J8" s="13">
        <f t="shared" si="0"/>
        <v>12122.275905999999</v>
      </c>
      <c r="K8" s="12">
        <v>2.1082</v>
      </c>
      <c r="L8" s="6">
        <v>0.001359</v>
      </c>
      <c r="M8" s="13">
        <f t="shared" si="1"/>
        <v>34758.954971</v>
      </c>
      <c r="N8" s="17"/>
      <c r="O8" s="13">
        <f t="shared" si="2"/>
        <v>0</v>
      </c>
      <c r="P8" s="17">
        <v>0</v>
      </c>
      <c r="Q8" s="13">
        <f t="shared" si="3"/>
        <v>0</v>
      </c>
      <c r="R8" s="13">
        <f t="shared" si="4"/>
        <v>46881.230876999995</v>
      </c>
    </row>
    <row r="9" spans="1:18" ht="15">
      <c r="A9" s="24" t="s">
        <v>0</v>
      </c>
      <c r="B9" s="51">
        <v>2002</v>
      </c>
      <c r="C9" s="35" t="s">
        <v>41</v>
      </c>
      <c r="D9" s="36">
        <f>'C-2 Customer Count'!C10</f>
        <v>10492</v>
      </c>
      <c r="E9" s="36">
        <v>1</v>
      </c>
      <c r="F9" s="36">
        <f>'C-1 Monthly Volumes'!C12</f>
        <v>8186347</v>
      </c>
      <c r="G9" s="37"/>
      <c r="H9" s="12">
        <v>0.7352</v>
      </c>
      <c r="I9" s="6">
        <v>0.000474</v>
      </c>
      <c r="J9" s="13">
        <f t="shared" si="0"/>
        <v>11594.046878</v>
      </c>
      <c r="K9" s="12">
        <v>2.1082</v>
      </c>
      <c r="L9" s="6">
        <v>0.001359</v>
      </c>
      <c r="M9" s="13">
        <f t="shared" si="1"/>
        <v>33244.479973</v>
      </c>
      <c r="N9" s="17"/>
      <c r="O9" s="13">
        <f t="shared" si="2"/>
        <v>0</v>
      </c>
      <c r="P9" s="17">
        <v>0</v>
      </c>
      <c r="Q9" s="13">
        <f t="shared" si="3"/>
        <v>0</v>
      </c>
      <c r="R9" s="13">
        <f t="shared" si="4"/>
        <v>44838.526851</v>
      </c>
    </row>
    <row r="10" spans="1:18" ht="15">
      <c r="A10" s="24" t="s">
        <v>0</v>
      </c>
      <c r="B10" s="51">
        <v>2002</v>
      </c>
      <c r="C10" s="35" t="s">
        <v>42</v>
      </c>
      <c r="D10" s="36">
        <f>'C-2 Customer Count'!C11</f>
        <v>10510</v>
      </c>
      <c r="E10" s="36">
        <v>1</v>
      </c>
      <c r="F10" s="36">
        <f>'C-1 Monthly Volumes'!C13</f>
        <v>5084990</v>
      </c>
      <c r="G10" s="37"/>
      <c r="H10" s="12">
        <v>0.7352</v>
      </c>
      <c r="I10" s="6">
        <v>0.000474</v>
      </c>
      <c r="J10" s="13">
        <f t="shared" si="0"/>
        <v>10137.237259999998</v>
      </c>
      <c r="K10" s="12">
        <v>2.1082</v>
      </c>
      <c r="L10" s="6">
        <v>0.001359</v>
      </c>
      <c r="M10" s="13">
        <f t="shared" si="1"/>
        <v>29067.68341</v>
      </c>
      <c r="N10" s="17"/>
      <c r="O10" s="13">
        <f t="shared" si="2"/>
        <v>0</v>
      </c>
      <c r="P10" s="17">
        <v>0</v>
      </c>
      <c r="Q10" s="13">
        <f t="shared" si="3"/>
        <v>0</v>
      </c>
      <c r="R10" s="13">
        <f t="shared" si="4"/>
        <v>39204.92067</v>
      </c>
    </row>
    <row r="11" spans="1:18" ht="15">
      <c r="A11" s="24" t="s">
        <v>0</v>
      </c>
      <c r="B11" s="51">
        <v>2002</v>
      </c>
      <c r="C11" s="35" t="s">
        <v>43</v>
      </c>
      <c r="D11" s="36">
        <f>'C-2 Customer Count'!C12</f>
        <v>10515</v>
      </c>
      <c r="E11" s="36">
        <v>1</v>
      </c>
      <c r="F11" s="36">
        <f>'C-1 Monthly Volumes'!C14</f>
        <v>5943690</v>
      </c>
      <c r="G11" s="37"/>
      <c r="H11" s="12">
        <v>0.7352</v>
      </c>
      <c r="I11" s="6">
        <v>0.000474</v>
      </c>
      <c r="J11" s="13">
        <f t="shared" si="0"/>
        <v>10547.93706</v>
      </c>
      <c r="K11" s="12">
        <v>2.1082</v>
      </c>
      <c r="L11" s="6">
        <v>0.001359</v>
      </c>
      <c r="M11" s="13">
        <f t="shared" si="1"/>
        <v>30245.19771</v>
      </c>
      <c r="N11" s="17"/>
      <c r="O11" s="13">
        <f t="shared" si="2"/>
        <v>0</v>
      </c>
      <c r="P11" s="17">
        <v>0</v>
      </c>
      <c r="Q11" s="13">
        <f t="shared" si="3"/>
        <v>0</v>
      </c>
      <c r="R11" s="13">
        <f t="shared" si="4"/>
        <v>40793.134770000004</v>
      </c>
    </row>
    <row r="12" spans="1:18" ht="15.75" thickBot="1">
      <c r="A12" s="24" t="s">
        <v>0</v>
      </c>
      <c r="B12" s="51">
        <v>2002</v>
      </c>
      <c r="C12" s="35" t="s">
        <v>44</v>
      </c>
      <c r="D12" s="36">
        <f>'C-2 Customer Count'!C13</f>
        <v>10538</v>
      </c>
      <c r="E12" s="36">
        <v>1</v>
      </c>
      <c r="F12" s="36">
        <f>'C-1 Monthly Volumes'!C15</f>
        <v>10128781</v>
      </c>
      <c r="G12" s="37"/>
      <c r="H12" s="12">
        <v>0.7352</v>
      </c>
      <c r="I12" s="6">
        <v>0.000474</v>
      </c>
      <c r="J12" s="13">
        <f t="shared" si="0"/>
        <v>12548.579794</v>
      </c>
      <c r="K12" s="12">
        <v>2.1082</v>
      </c>
      <c r="L12" s="6">
        <v>0.001359</v>
      </c>
      <c r="M12" s="13">
        <f t="shared" si="1"/>
        <v>35981.224979000006</v>
      </c>
      <c r="N12" s="17"/>
      <c r="O12" s="13">
        <f t="shared" si="2"/>
        <v>0</v>
      </c>
      <c r="P12" s="17">
        <v>0</v>
      </c>
      <c r="Q12" s="13">
        <f t="shared" si="3"/>
        <v>0</v>
      </c>
      <c r="R12" s="13">
        <f t="shared" si="4"/>
        <v>48529.804773</v>
      </c>
    </row>
    <row r="13" spans="1:18" ht="15.75" thickBot="1">
      <c r="A13" s="53" t="s">
        <v>52</v>
      </c>
      <c r="B13" s="54"/>
      <c r="C13" s="55"/>
      <c r="D13" s="56">
        <f>SUM(D3:D12)</f>
        <v>104850</v>
      </c>
      <c r="E13" s="56"/>
      <c r="F13" s="56">
        <f>SUM(F3:F12)</f>
        <v>72257805</v>
      </c>
      <c r="G13" s="56">
        <f>SUM(G3:G12)</f>
        <v>0</v>
      </c>
      <c r="H13" s="58"/>
      <c r="I13" s="59"/>
      <c r="J13" s="60">
        <f>SUM(J3:J12)</f>
        <v>111335.91956999998</v>
      </c>
      <c r="K13" s="58"/>
      <c r="L13" s="59"/>
      <c r="M13" s="60">
        <f>SUM(M3:M12)</f>
        <v>319243.126995</v>
      </c>
      <c r="N13" s="61"/>
      <c r="O13" s="60">
        <f>SUM(O3:O12)</f>
        <v>0</v>
      </c>
      <c r="P13" s="61"/>
      <c r="Q13" s="60">
        <f>SUM(Q3:Q12)</f>
        <v>0</v>
      </c>
      <c r="R13" s="60">
        <f>SUM(R3:R12)</f>
        <v>430579.046565</v>
      </c>
    </row>
    <row r="14" spans="1:18" ht="15">
      <c r="A14" s="24"/>
      <c r="B14" s="51"/>
      <c r="C14" s="35"/>
      <c r="D14" s="36"/>
      <c r="E14" s="36"/>
      <c r="F14" s="36"/>
      <c r="G14" s="37"/>
      <c r="H14" s="12"/>
      <c r="I14" s="6"/>
      <c r="J14" s="13"/>
      <c r="K14" s="12"/>
      <c r="L14" s="6"/>
      <c r="M14" s="13"/>
      <c r="N14" s="17"/>
      <c r="O14" s="13"/>
      <c r="P14" s="17"/>
      <c r="Q14" s="13"/>
      <c r="R14" s="13"/>
    </row>
    <row r="15" spans="1:18" ht="15">
      <c r="A15" s="24" t="s">
        <v>1</v>
      </c>
      <c r="B15" s="51">
        <v>2002</v>
      </c>
      <c r="C15" s="35" t="s">
        <v>36</v>
      </c>
      <c r="D15" s="36">
        <f>'C-2 Customer Count'!D4</f>
        <v>1459</v>
      </c>
      <c r="E15" s="36">
        <v>1</v>
      </c>
      <c r="F15" s="36">
        <f>'C-1 Monthly Volumes'!C24</f>
        <v>4115362</v>
      </c>
      <c r="G15" s="37"/>
      <c r="H15" s="12">
        <v>1.9663</v>
      </c>
      <c r="I15" s="6">
        <v>0.000712</v>
      </c>
      <c r="J15" s="13">
        <f>D15*E15*H15+(F15+G15)*I15</f>
        <v>5798.969443999999</v>
      </c>
      <c r="K15" s="12">
        <v>5.6385</v>
      </c>
      <c r="L15" s="6">
        <v>0.002043</v>
      </c>
      <c r="M15" s="13">
        <f>D15*E15*K15+(F15+G15)*L15</f>
        <v>16634.256066</v>
      </c>
      <c r="N15" s="17"/>
      <c r="O15" s="13">
        <f>(F15+G15)*N15</f>
        <v>0</v>
      </c>
      <c r="P15" s="17">
        <v>0</v>
      </c>
      <c r="Q15" s="13">
        <f>(F15+G15)*P15</f>
        <v>0</v>
      </c>
      <c r="R15" s="13">
        <f>J15+M15+O15+Q15</f>
        <v>22433.22551</v>
      </c>
    </row>
    <row r="16" spans="1:18" ht="15">
      <c r="A16" s="24" t="s">
        <v>1</v>
      </c>
      <c r="B16" s="51">
        <v>2002</v>
      </c>
      <c r="C16" s="35" t="s">
        <v>37</v>
      </c>
      <c r="D16" s="36">
        <f>'C-2 Customer Count'!D5</f>
        <v>1445</v>
      </c>
      <c r="E16" s="36">
        <v>1</v>
      </c>
      <c r="F16" s="36">
        <f>'C-1 Monthly Volumes'!C25</f>
        <v>3927822.6</v>
      </c>
      <c r="G16" s="37"/>
      <c r="H16" s="12">
        <v>1.9663</v>
      </c>
      <c r="I16" s="6">
        <v>0.000712</v>
      </c>
      <c r="J16" s="13">
        <f aca="true" t="shared" si="5" ref="J16:J24">D16*E16*H16+(F16+G16)*I16</f>
        <v>5637.913191199999</v>
      </c>
      <c r="K16" s="12">
        <v>5.6385</v>
      </c>
      <c r="L16" s="6">
        <v>0.002043</v>
      </c>
      <c r="M16" s="13">
        <f aca="true" t="shared" si="6" ref="M16:M24">D16*E16*K16+(F16+G16)*L16</f>
        <v>16172.1740718</v>
      </c>
      <c r="N16" s="17"/>
      <c r="O16" s="13">
        <f aca="true" t="shared" si="7" ref="O16:O24">(F16+G16)*N16</f>
        <v>0</v>
      </c>
      <c r="P16" s="17">
        <v>0</v>
      </c>
      <c r="Q16" s="13">
        <f aca="true" t="shared" si="8" ref="Q16:Q24">(F16+G16)*P16</f>
        <v>0</v>
      </c>
      <c r="R16" s="13">
        <f aca="true" t="shared" si="9" ref="R16:R24">J16+M16+O16+Q16</f>
        <v>21810.087263</v>
      </c>
    </row>
    <row r="17" spans="1:18" ht="15">
      <c r="A17" s="24" t="s">
        <v>1</v>
      </c>
      <c r="B17" s="51">
        <v>2002</v>
      </c>
      <c r="C17" s="35" t="s">
        <v>30</v>
      </c>
      <c r="D17" s="36">
        <f>'C-2 Customer Count'!D6</f>
        <v>1459</v>
      </c>
      <c r="E17" s="36">
        <v>1</v>
      </c>
      <c r="F17" s="36">
        <f>'C-1 Monthly Volumes'!C26</f>
        <v>368101</v>
      </c>
      <c r="G17" s="37"/>
      <c r="H17" s="12">
        <v>1.9663</v>
      </c>
      <c r="I17" s="6">
        <v>0.000712</v>
      </c>
      <c r="J17" s="13">
        <f t="shared" si="5"/>
        <v>3130.9196119999997</v>
      </c>
      <c r="K17" s="12">
        <v>5.6385</v>
      </c>
      <c r="L17" s="6">
        <v>0.002043</v>
      </c>
      <c r="M17" s="13">
        <f t="shared" si="6"/>
        <v>8978.601843</v>
      </c>
      <c r="N17" s="17"/>
      <c r="O17" s="13">
        <f t="shared" si="7"/>
        <v>0</v>
      </c>
      <c r="P17" s="17">
        <v>0</v>
      </c>
      <c r="Q17" s="13">
        <f t="shared" si="8"/>
        <v>0</v>
      </c>
      <c r="R17" s="13">
        <f t="shared" si="9"/>
        <v>12109.521455</v>
      </c>
    </row>
    <row r="18" spans="1:18" ht="15">
      <c r="A18" s="24" t="s">
        <v>1</v>
      </c>
      <c r="B18" s="51">
        <v>2002</v>
      </c>
      <c r="C18" s="35" t="s">
        <v>38</v>
      </c>
      <c r="D18" s="36">
        <f>'C-2 Customer Count'!D7</f>
        <v>1457</v>
      </c>
      <c r="E18" s="36">
        <v>1</v>
      </c>
      <c r="F18" s="36">
        <f>'C-1 Monthly Volumes'!C27</f>
        <v>2805426</v>
      </c>
      <c r="G18" s="37"/>
      <c r="H18" s="12">
        <v>1.9663</v>
      </c>
      <c r="I18" s="6">
        <v>0.000712</v>
      </c>
      <c r="J18" s="13">
        <f t="shared" si="5"/>
        <v>4862.362412</v>
      </c>
      <c r="K18" s="12">
        <v>5.6385</v>
      </c>
      <c r="L18" s="6">
        <v>0.002043</v>
      </c>
      <c r="M18" s="13">
        <f t="shared" si="6"/>
        <v>13946.779817999999</v>
      </c>
      <c r="N18" s="17"/>
      <c r="O18" s="13">
        <f t="shared" si="7"/>
        <v>0</v>
      </c>
      <c r="P18" s="17">
        <v>0</v>
      </c>
      <c r="Q18" s="13">
        <f t="shared" si="8"/>
        <v>0</v>
      </c>
      <c r="R18" s="13">
        <f t="shared" si="9"/>
        <v>18809.142229999998</v>
      </c>
    </row>
    <row r="19" spans="1:18" ht="15">
      <c r="A19" s="24" t="s">
        <v>1</v>
      </c>
      <c r="B19" s="51">
        <v>2002</v>
      </c>
      <c r="C19" s="35" t="s">
        <v>39</v>
      </c>
      <c r="D19" s="36">
        <f>'C-2 Customer Count'!D8</f>
        <v>1456</v>
      </c>
      <c r="E19" s="36">
        <v>1</v>
      </c>
      <c r="F19" s="36">
        <f>'C-1 Monthly Volumes'!C28</f>
        <v>3732384</v>
      </c>
      <c r="G19" s="37"/>
      <c r="H19" s="12">
        <v>1.9663</v>
      </c>
      <c r="I19" s="6">
        <v>0.000712</v>
      </c>
      <c r="J19" s="13">
        <f t="shared" si="5"/>
        <v>5520.390208</v>
      </c>
      <c r="K19" s="12">
        <v>5.6385</v>
      </c>
      <c r="L19" s="6">
        <v>0.002043</v>
      </c>
      <c r="M19" s="13">
        <f t="shared" si="6"/>
        <v>15834.916512</v>
      </c>
      <c r="N19" s="17"/>
      <c r="O19" s="13">
        <f t="shared" si="7"/>
        <v>0</v>
      </c>
      <c r="P19" s="17">
        <v>0</v>
      </c>
      <c r="Q19" s="13">
        <f t="shared" si="8"/>
        <v>0</v>
      </c>
      <c r="R19" s="13">
        <f t="shared" si="9"/>
        <v>21355.30672</v>
      </c>
    </row>
    <row r="20" spans="1:18" ht="15">
      <c r="A20" s="24" t="s">
        <v>1</v>
      </c>
      <c r="B20" s="51">
        <v>2002</v>
      </c>
      <c r="C20" s="35" t="s">
        <v>40</v>
      </c>
      <c r="D20" s="36">
        <f>'C-2 Customer Count'!D9</f>
        <v>1456</v>
      </c>
      <c r="E20" s="36">
        <v>1</v>
      </c>
      <c r="F20" s="36">
        <f>'C-1 Monthly Volumes'!C29</f>
        <v>4770227</v>
      </c>
      <c r="G20" s="37"/>
      <c r="H20" s="12">
        <v>1.9663</v>
      </c>
      <c r="I20" s="6">
        <v>0.000712</v>
      </c>
      <c r="J20" s="13">
        <f t="shared" si="5"/>
        <v>6259.334424</v>
      </c>
      <c r="K20" s="12">
        <v>5.6385</v>
      </c>
      <c r="L20" s="6">
        <v>0.002043</v>
      </c>
      <c r="M20" s="13">
        <f t="shared" si="6"/>
        <v>17955.229761</v>
      </c>
      <c r="N20" s="17"/>
      <c r="O20" s="13">
        <f t="shared" si="7"/>
        <v>0</v>
      </c>
      <c r="P20" s="17">
        <v>0</v>
      </c>
      <c r="Q20" s="13">
        <f t="shared" si="8"/>
        <v>0</v>
      </c>
      <c r="R20" s="13">
        <f t="shared" si="9"/>
        <v>24214.564185</v>
      </c>
    </row>
    <row r="21" spans="1:18" ht="15">
      <c r="A21" s="24" t="s">
        <v>1</v>
      </c>
      <c r="B21" s="51">
        <v>2002</v>
      </c>
      <c r="C21" s="35" t="s">
        <v>41</v>
      </c>
      <c r="D21" s="36">
        <f>'C-2 Customer Count'!D10</f>
        <v>1459</v>
      </c>
      <c r="E21" s="36">
        <v>1</v>
      </c>
      <c r="F21" s="36">
        <f>'C-1 Monthly Volumes'!C30</f>
        <v>4050171</v>
      </c>
      <c r="G21" s="37"/>
      <c r="H21" s="12">
        <v>1.9663</v>
      </c>
      <c r="I21" s="6">
        <v>0.000712</v>
      </c>
      <c r="J21" s="13">
        <f t="shared" si="5"/>
        <v>5752.553452</v>
      </c>
      <c r="K21" s="12">
        <v>5.6385</v>
      </c>
      <c r="L21" s="6">
        <v>0.002043</v>
      </c>
      <c r="M21" s="13">
        <f t="shared" si="6"/>
        <v>16501.070853</v>
      </c>
      <c r="N21" s="17"/>
      <c r="O21" s="13">
        <f t="shared" si="7"/>
        <v>0</v>
      </c>
      <c r="P21" s="17">
        <v>0</v>
      </c>
      <c r="Q21" s="13">
        <f t="shared" si="8"/>
        <v>0</v>
      </c>
      <c r="R21" s="13">
        <f t="shared" si="9"/>
        <v>22253.624305</v>
      </c>
    </row>
    <row r="22" spans="1:18" ht="15">
      <c r="A22" s="24" t="s">
        <v>1</v>
      </c>
      <c r="B22" s="51">
        <v>2002</v>
      </c>
      <c r="C22" s="35" t="s">
        <v>42</v>
      </c>
      <c r="D22" s="36">
        <f>'C-2 Customer Count'!D11</f>
        <v>1465</v>
      </c>
      <c r="E22" s="36">
        <v>1</v>
      </c>
      <c r="F22" s="36">
        <f>'C-1 Monthly Volumes'!C31</f>
        <v>2759853</v>
      </c>
      <c r="G22" s="37"/>
      <c r="H22" s="12">
        <v>1.9663</v>
      </c>
      <c r="I22" s="6">
        <v>0.000712</v>
      </c>
      <c r="J22" s="13">
        <f t="shared" si="5"/>
        <v>4845.6448359999995</v>
      </c>
      <c r="K22" s="12">
        <v>5.6385</v>
      </c>
      <c r="L22" s="6">
        <v>0.002043</v>
      </c>
      <c r="M22" s="13">
        <f t="shared" si="6"/>
        <v>13898.782179000002</v>
      </c>
      <c r="N22" s="17"/>
      <c r="O22" s="13">
        <f t="shared" si="7"/>
        <v>0</v>
      </c>
      <c r="P22" s="17">
        <v>0</v>
      </c>
      <c r="Q22" s="13">
        <f t="shared" si="8"/>
        <v>0</v>
      </c>
      <c r="R22" s="13">
        <f t="shared" si="9"/>
        <v>18744.427015</v>
      </c>
    </row>
    <row r="23" spans="1:18" ht="15">
      <c r="A23" s="24" t="s">
        <v>1</v>
      </c>
      <c r="B23" s="51">
        <v>2002</v>
      </c>
      <c r="C23" s="35" t="s">
        <v>43</v>
      </c>
      <c r="D23" s="36">
        <f>'C-2 Customer Count'!D12</f>
        <v>1462</v>
      </c>
      <c r="E23" s="36">
        <v>1</v>
      </c>
      <c r="F23" s="36">
        <f>'C-1 Monthly Volumes'!C32</f>
        <v>2718779</v>
      </c>
      <c r="G23" s="37"/>
      <c r="H23" s="12">
        <v>1.9663</v>
      </c>
      <c r="I23" s="6">
        <v>0.000712</v>
      </c>
      <c r="J23" s="13">
        <f t="shared" si="5"/>
        <v>4810.501248</v>
      </c>
      <c r="K23" s="12">
        <v>5.6385</v>
      </c>
      <c r="L23" s="6">
        <v>0.002043</v>
      </c>
      <c r="M23" s="13">
        <f t="shared" si="6"/>
        <v>13797.952496999998</v>
      </c>
      <c r="N23" s="17"/>
      <c r="O23" s="13">
        <f t="shared" si="7"/>
        <v>0</v>
      </c>
      <c r="P23" s="17">
        <v>0</v>
      </c>
      <c r="Q23" s="13">
        <f t="shared" si="8"/>
        <v>0</v>
      </c>
      <c r="R23" s="13">
        <f t="shared" si="9"/>
        <v>18608.453745</v>
      </c>
    </row>
    <row r="24" spans="1:18" ht="15.75" thickBot="1">
      <c r="A24" s="24" t="s">
        <v>1</v>
      </c>
      <c r="B24" s="51">
        <v>2002</v>
      </c>
      <c r="C24" s="35" t="s">
        <v>44</v>
      </c>
      <c r="D24" s="36">
        <f>'C-2 Customer Count'!D13</f>
        <v>1458</v>
      </c>
      <c r="E24" s="36">
        <v>1</v>
      </c>
      <c r="F24" s="36">
        <f>'C-1 Monthly Volumes'!C33</f>
        <v>4196544</v>
      </c>
      <c r="G24" s="37"/>
      <c r="H24" s="12">
        <v>1.9663</v>
      </c>
      <c r="I24" s="6">
        <v>0.000712</v>
      </c>
      <c r="J24" s="13">
        <f t="shared" si="5"/>
        <v>5854.804727999999</v>
      </c>
      <c r="K24" s="12">
        <v>5.6385</v>
      </c>
      <c r="L24" s="6">
        <v>0.002043</v>
      </c>
      <c r="M24" s="13">
        <f t="shared" si="6"/>
        <v>16794.472392</v>
      </c>
      <c r="N24" s="17"/>
      <c r="O24" s="13">
        <f t="shared" si="7"/>
        <v>0</v>
      </c>
      <c r="P24" s="17">
        <v>0</v>
      </c>
      <c r="Q24" s="13">
        <f t="shared" si="8"/>
        <v>0</v>
      </c>
      <c r="R24" s="13">
        <f t="shared" si="9"/>
        <v>22649.27712</v>
      </c>
    </row>
    <row r="25" spans="1:18" ht="15.75" thickBot="1">
      <c r="A25" s="53" t="s">
        <v>53</v>
      </c>
      <c r="B25" s="54"/>
      <c r="C25" s="55"/>
      <c r="D25" s="56">
        <f>SUM(D15:D24)</f>
        <v>14576</v>
      </c>
      <c r="E25" s="56"/>
      <c r="F25" s="56">
        <f>SUM(F15:F24)</f>
        <v>33444669.6</v>
      </c>
      <c r="G25" s="56">
        <f>SUM(G15:G24)</f>
        <v>0</v>
      </c>
      <c r="H25" s="58"/>
      <c r="I25" s="59"/>
      <c r="J25" s="60">
        <f>SUM(J15:J24)</f>
        <v>52473.393555200004</v>
      </c>
      <c r="K25" s="58"/>
      <c r="L25" s="59"/>
      <c r="M25" s="60">
        <f>SUM(M15:M24)</f>
        <v>150514.23599279998</v>
      </c>
      <c r="N25" s="61"/>
      <c r="O25" s="60">
        <f>SUM(O15:O24)</f>
        <v>0</v>
      </c>
      <c r="P25" s="61"/>
      <c r="Q25" s="60">
        <f>SUM(Q15:Q24)</f>
        <v>0</v>
      </c>
      <c r="R25" s="60">
        <f>SUM(R15:R24)</f>
        <v>202987.629548</v>
      </c>
    </row>
    <row r="26" spans="1:18" ht="15">
      <c r="A26" s="24" t="s">
        <v>125</v>
      </c>
      <c r="B26" s="51"/>
      <c r="C26" s="35"/>
      <c r="D26" s="36"/>
      <c r="E26" s="36"/>
      <c r="F26" s="38"/>
      <c r="G26" s="52"/>
      <c r="H26" s="12"/>
      <c r="I26" s="6"/>
      <c r="J26" s="13"/>
      <c r="K26" s="12"/>
      <c r="L26" s="6"/>
      <c r="M26" s="13"/>
      <c r="N26" s="17"/>
      <c r="O26" s="13"/>
      <c r="P26" s="17"/>
      <c r="Q26" s="13"/>
      <c r="R26" s="13"/>
    </row>
    <row r="27" spans="1:18" ht="15">
      <c r="A27" s="24"/>
      <c r="B27" s="51"/>
      <c r="C27" s="35"/>
      <c r="D27" s="36"/>
      <c r="E27" s="36"/>
      <c r="F27" s="38"/>
      <c r="G27" s="52"/>
      <c r="H27" s="12"/>
      <c r="I27" s="6"/>
      <c r="J27" s="13"/>
      <c r="K27" s="12"/>
      <c r="L27" s="6"/>
      <c r="M27" s="13"/>
      <c r="N27" s="17"/>
      <c r="O27" s="13"/>
      <c r="P27" s="17"/>
      <c r="Q27" s="13"/>
      <c r="R27" s="13"/>
    </row>
    <row r="28" spans="1:18" ht="15">
      <c r="A28" s="24" t="s">
        <v>111</v>
      </c>
      <c r="B28" s="51">
        <v>2002</v>
      </c>
      <c r="C28" s="35" t="s">
        <v>36</v>
      </c>
      <c r="D28" s="36">
        <f>'C-2 Customer Count'!E4</f>
        <v>139</v>
      </c>
      <c r="E28" s="36">
        <v>1</v>
      </c>
      <c r="F28" s="38"/>
      <c r="G28" s="39">
        <f>'C-1 Monthly Volumes'!L6</f>
        <v>21908.24</v>
      </c>
      <c r="H28" s="12">
        <v>18.206</v>
      </c>
      <c r="I28" s="6">
        <v>0.200517</v>
      </c>
      <c r="J28" s="13">
        <f>D28*E28*H28+(F28+G28)*I28</f>
        <v>6923.608560080001</v>
      </c>
      <c r="K28" s="12">
        <v>52.208</v>
      </c>
      <c r="L28" s="6">
        <v>0.575006</v>
      </c>
      <c r="M28" s="13">
        <f>D28*E28*K28+(F28+G28)*L28</f>
        <v>19854.28144944</v>
      </c>
      <c r="N28" s="17"/>
      <c r="O28" s="13">
        <f>(F28+G28)*N28</f>
        <v>0</v>
      </c>
      <c r="P28" s="17">
        <v>0</v>
      </c>
      <c r="Q28" s="13">
        <f>(F28+G28)*P28</f>
        <v>0</v>
      </c>
      <c r="R28" s="13">
        <f>J28+M28+O28+Q28</f>
        <v>26777.89000952</v>
      </c>
    </row>
    <row r="29" spans="1:18" ht="15">
      <c r="A29" s="24" t="s">
        <v>111</v>
      </c>
      <c r="B29" s="51">
        <v>2002</v>
      </c>
      <c r="C29" s="35" t="s">
        <v>37</v>
      </c>
      <c r="D29" s="36">
        <f>'C-2 Customer Count'!E5</f>
        <v>136</v>
      </c>
      <c r="E29" s="36">
        <v>1</v>
      </c>
      <c r="F29" s="38"/>
      <c r="G29" s="39">
        <f>'C-1 Monthly Volumes'!L7</f>
        <v>22719.7</v>
      </c>
      <c r="H29" s="12">
        <v>18.206</v>
      </c>
      <c r="I29" s="6">
        <v>0.200517</v>
      </c>
      <c r="J29" s="13">
        <f aca="true" t="shared" si="10" ref="J29:J37">D29*E29*H29+(F29+G29)*I29</f>
        <v>7031.7020849</v>
      </c>
      <c r="K29" s="12">
        <v>52.208</v>
      </c>
      <c r="L29" s="6">
        <v>0.575006</v>
      </c>
      <c r="M29" s="13">
        <f aca="true" t="shared" si="11" ref="M29:M37">D29*E29*K29+(F29+G29)*L29</f>
        <v>20164.251818200002</v>
      </c>
      <c r="N29" s="17"/>
      <c r="O29" s="13">
        <f aca="true" t="shared" si="12" ref="O29:O37">(F29+G29)*N29</f>
        <v>0</v>
      </c>
      <c r="P29" s="17">
        <v>0</v>
      </c>
      <c r="Q29" s="13">
        <f aca="true" t="shared" si="13" ref="Q29:Q37">(F29+G29)*P29</f>
        <v>0</v>
      </c>
      <c r="R29" s="13">
        <f aca="true" t="shared" si="14" ref="R29:R37">J29+M29+O29+Q29</f>
        <v>27195.953903100002</v>
      </c>
    </row>
    <row r="30" spans="1:18" ht="15">
      <c r="A30" s="24" t="s">
        <v>111</v>
      </c>
      <c r="B30" s="51">
        <v>2002</v>
      </c>
      <c r="C30" s="35" t="s">
        <v>30</v>
      </c>
      <c r="D30" s="36">
        <f>'C-2 Customer Count'!E6</f>
        <v>135</v>
      </c>
      <c r="E30" s="36">
        <v>1</v>
      </c>
      <c r="F30" s="38"/>
      <c r="G30" s="39">
        <f>'C-1 Monthly Volumes'!L8</f>
        <v>2705</v>
      </c>
      <c r="H30" s="12">
        <v>18.206</v>
      </c>
      <c r="I30" s="6">
        <v>0.200517</v>
      </c>
      <c r="J30" s="13">
        <f t="shared" si="10"/>
        <v>3000.208485</v>
      </c>
      <c r="K30" s="12">
        <v>52.208</v>
      </c>
      <c r="L30" s="6">
        <v>0.575006</v>
      </c>
      <c r="M30" s="13">
        <f t="shared" si="11"/>
        <v>8603.47123</v>
      </c>
      <c r="N30" s="17"/>
      <c r="O30" s="13">
        <f t="shared" si="12"/>
        <v>0</v>
      </c>
      <c r="P30" s="17">
        <v>0</v>
      </c>
      <c r="Q30" s="13">
        <f t="shared" si="13"/>
        <v>0</v>
      </c>
      <c r="R30" s="13">
        <f t="shared" si="14"/>
        <v>11603.679714999998</v>
      </c>
    </row>
    <row r="31" spans="1:18" ht="15">
      <c r="A31" s="24" t="s">
        <v>111</v>
      </c>
      <c r="B31" s="51">
        <v>2002</v>
      </c>
      <c r="C31" s="35" t="s">
        <v>38</v>
      </c>
      <c r="D31" s="36">
        <f>'C-2 Customer Count'!E7</f>
        <v>138</v>
      </c>
      <c r="E31" s="36">
        <v>1</v>
      </c>
      <c r="F31" s="38"/>
      <c r="G31" s="39">
        <f>'C-1 Monthly Volumes'!L9</f>
        <v>18719</v>
      </c>
      <c r="H31" s="12">
        <v>18.206</v>
      </c>
      <c r="I31" s="6">
        <v>0.200517</v>
      </c>
      <c r="J31" s="13">
        <f t="shared" si="10"/>
        <v>6265.905723</v>
      </c>
      <c r="K31" s="12">
        <v>52.208</v>
      </c>
      <c r="L31" s="6">
        <v>0.575006</v>
      </c>
      <c r="M31" s="13">
        <f t="shared" si="11"/>
        <v>17968.241314</v>
      </c>
      <c r="N31" s="17"/>
      <c r="O31" s="13">
        <f t="shared" si="12"/>
        <v>0</v>
      </c>
      <c r="P31" s="17">
        <v>0</v>
      </c>
      <c r="Q31" s="13">
        <f t="shared" si="13"/>
        <v>0</v>
      </c>
      <c r="R31" s="13">
        <f t="shared" si="14"/>
        <v>24234.147037</v>
      </c>
    </row>
    <row r="32" spans="1:18" ht="15">
      <c r="A32" s="24" t="s">
        <v>111</v>
      </c>
      <c r="B32" s="51">
        <v>2002</v>
      </c>
      <c r="C32" s="35" t="s">
        <v>39</v>
      </c>
      <c r="D32" s="36">
        <f>'C-2 Customer Count'!E8</f>
        <v>137</v>
      </c>
      <c r="E32" s="36">
        <v>1</v>
      </c>
      <c r="F32" s="38"/>
      <c r="G32" s="39">
        <f>'C-1 Monthly Volumes'!L10</f>
        <v>21073</v>
      </c>
      <c r="H32" s="12">
        <v>18.206</v>
      </c>
      <c r="I32" s="6">
        <v>0.200517</v>
      </c>
      <c r="J32" s="13">
        <f t="shared" si="10"/>
        <v>6719.716741</v>
      </c>
      <c r="K32" s="12">
        <v>52.208</v>
      </c>
      <c r="L32" s="6">
        <v>0.575006</v>
      </c>
      <c r="M32" s="13">
        <f t="shared" si="11"/>
        <v>19269.597438</v>
      </c>
      <c r="N32" s="17"/>
      <c r="O32" s="13">
        <f t="shared" si="12"/>
        <v>0</v>
      </c>
      <c r="P32" s="17">
        <v>0</v>
      </c>
      <c r="Q32" s="13">
        <f t="shared" si="13"/>
        <v>0</v>
      </c>
      <c r="R32" s="13">
        <f t="shared" si="14"/>
        <v>25989.314179</v>
      </c>
    </row>
    <row r="33" spans="1:18" ht="15">
      <c r="A33" s="24" t="s">
        <v>111</v>
      </c>
      <c r="B33" s="51">
        <v>2002</v>
      </c>
      <c r="C33" s="35" t="s">
        <v>40</v>
      </c>
      <c r="D33" s="36">
        <f>'C-2 Customer Count'!E9</f>
        <v>144</v>
      </c>
      <c r="E33" s="36">
        <v>1</v>
      </c>
      <c r="F33" s="38"/>
      <c r="G33" s="39">
        <f>'C-1 Monthly Volumes'!L11</f>
        <v>21241</v>
      </c>
      <c r="H33" s="12">
        <v>18.206</v>
      </c>
      <c r="I33" s="6">
        <v>0.200517</v>
      </c>
      <c r="J33" s="13">
        <f t="shared" si="10"/>
        <v>6880.8455969999995</v>
      </c>
      <c r="K33" s="12">
        <v>52.208</v>
      </c>
      <c r="L33" s="6">
        <v>0.575006</v>
      </c>
      <c r="M33" s="13">
        <f t="shared" si="11"/>
        <v>19731.654446</v>
      </c>
      <c r="N33" s="17"/>
      <c r="O33" s="13">
        <f t="shared" si="12"/>
        <v>0</v>
      </c>
      <c r="P33" s="17">
        <v>0</v>
      </c>
      <c r="Q33" s="13">
        <f t="shared" si="13"/>
        <v>0</v>
      </c>
      <c r="R33" s="13">
        <f t="shared" si="14"/>
        <v>26612.500043</v>
      </c>
    </row>
    <row r="34" spans="1:18" ht="15">
      <c r="A34" s="24" t="s">
        <v>111</v>
      </c>
      <c r="B34" s="51">
        <v>2002</v>
      </c>
      <c r="C34" s="35" t="s">
        <v>41</v>
      </c>
      <c r="D34" s="36">
        <f>'C-2 Customer Count'!E10</f>
        <v>147</v>
      </c>
      <c r="E34" s="36">
        <v>1</v>
      </c>
      <c r="F34" s="38"/>
      <c r="G34" s="39">
        <f>'C-1 Monthly Volumes'!L12</f>
        <v>20574</v>
      </c>
      <c r="H34" s="12">
        <v>18.206</v>
      </c>
      <c r="I34" s="6">
        <v>0.200517</v>
      </c>
      <c r="J34" s="13">
        <f t="shared" si="10"/>
        <v>6801.718758</v>
      </c>
      <c r="K34" s="12">
        <v>52.208</v>
      </c>
      <c r="L34" s="6">
        <v>0.575006</v>
      </c>
      <c r="M34" s="13">
        <f t="shared" si="11"/>
        <v>19504.749444</v>
      </c>
      <c r="N34" s="17"/>
      <c r="O34" s="13">
        <f t="shared" si="12"/>
        <v>0</v>
      </c>
      <c r="P34" s="17">
        <v>0</v>
      </c>
      <c r="Q34" s="13">
        <f t="shared" si="13"/>
        <v>0</v>
      </c>
      <c r="R34" s="13">
        <f t="shared" si="14"/>
        <v>26306.468202</v>
      </c>
    </row>
    <row r="35" spans="1:18" ht="15">
      <c r="A35" s="24" t="s">
        <v>111</v>
      </c>
      <c r="B35" s="51">
        <v>2002</v>
      </c>
      <c r="C35" s="35" t="s">
        <v>42</v>
      </c>
      <c r="D35" s="36">
        <f>'C-2 Customer Count'!E11</f>
        <v>147</v>
      </c>
      <c r="E35" s="36">
        <v>1</v>
      </c>
      <c r="F35" s="38"/>
      <c r="G35" s="39">
        <f>'C-1 Monthly Volumes'!L13</f>
        <v>20118</v>
      </c>
      <c r="H35" s="12">
        <v>18.206</v>
      </c>
      <c r="I35" s="6">
        <v>0.200517</v>
      </c>
      <c r="J35" s="13">
        <f t="shared" si="10"/>
        <v>6710.283006</v>
      </c>
      <c r="K35" s="12">
        <v>52.208</v>
      </c>
      <c r="L35" s="6">
        <v>0.575006</v>
      </c>
      <c r="M35" s="13">
        <f t="shared" si="11"/>
        <v>19242.546708</v>
      </c>
      <c r="N35" s="17"/>
      <c r="O35" s="13">
        <f t="shared" si="12"/>
        <v>0</v>
      </c>
      <c r="P35" s="17">
        <v>0</v>
      </c>
      <c r="Q35" s="13">
        <f t="shared" si="13"/>
        <v>0</v>
      </c>
      <c r="R35" s="13">
        <f t="shared" si="14"/>
        <v>25952.829714</v>
      </c>
    </row>
    <row r="36" spans="1:18" ht="15">
      <c r="A36" s="24" t="s">
        <v>111</v>
      </c>
      <c r="B36" s="51">
        <v>2002</v>
      </c>
      <c r="C36" s="35" t="s">
        <v>43</v>
      </c>
      <c r="D36" s="36">
        <f>'C-2 Customer Count'!E12</f>
        <v>147</v>
      </c>
      <c r="E36" s="36">
        <v>1</v>
      </c>
      <c r="F36" s="38"/>
      <c r="G36" s="39">
        <f>'C-1 Monthly Volumes'!L14</f>
        <v>17865</v>
      </c>
      <c r="H36" s="12">
        <v>18.206</v>
      </c>
      <c r="I36" s="6">
        <v>0.200517</v>
      </c>
      <c r="J36" s="13">
        <f t="shared" si="10"/>
        <v>6258.518205</v>
      </c>
      <c r="K36" s="12">
        <v>52.208</v>
      </c>
      <c r="L36" s="6">
        <v>0.575006</v>
      </c>
      <c r="M36" s="13">
        <f t="shared" si="11"/>
        <v>17947.05819</v>
      </c>
      <c r="N36" s="17"/>
      <c r="O36" s="13">
        <f t="shared" si="12"/>
        <v>0</v>
      </c>
      <c r="P36" s="17">
        <v>0</v>
      </c>
      <c r="Q36" s="13">
        <f t="shared" si="13"/>
        <v>0</v>
      </c>
      <c r="R36" s="13">
        <f t="shared" si="14"/>
        <v>24205.576395</v>
      </c>
    </row>
    <row r="37" spans="1:18" ht="15.75" thickBot="1">
      <c r="A37" s="24" t="s">
        <v>111</v>
      </c>
      <c r="B37" s="51">
        <v>2002</v>
      </c>
      <c r="C37" s="35" t="s">
        <v>44</v>
      </c>
      <c r="D37" s="36">
        <f>'C-2 Customer Count'!E13</f>
        <v>147</v>
      </c>
      <c r="E37" s="36">
        <v>1</v>
      </c>
      <c r="F37" s="38"/>
      <c r="G37" s="39">
        <f>'C-1 Monthly Volumes'!L15</f>
        <v>27341</v>
      </c>
      <c r="H37" s="12">
        <v>18.206</v>
      </c>
      <c r="I37" s="6">
        <v>0.200517</v>
      </c>
      <c r="J37" s="13">
        <f t="shared" si="10"/>
        <v>8158.617297</v>
      </c>
      <c r="K37" s="12">
        <v>52.208</v>
      </c>
      <c r="L37" s="6">
        <v>0.575006</v>
      </c>
      <c r="M37" s="13">
        <f t="shared" si="11"/>
        <v>23395.815046</v>
      </c>
      <c r="N37" s="17"/>
      <c r="O37" s="13">
        <f t="shared" si="12"/>
        <v>0</v>
      </c>
      <c r="P37" s="17">
        <v>0</v>
      </c>
      <c r="Q37" s="13">
        <f t="shared" si="13"/>
        <v>0</v>
      </c>
      <c r="R37" s="13">
        <f t="shared" si="14"/>
        <v>31554.432343</v>
      </c>
    </row>
    <row r="38" spans="1:18" ht="15.75" thickBot="1">
      <c r="A38" s="53" t="s">
        <v>113</v>
      </c>
      <c r="B38" s="54"/>
      <c r="C38" s="55"/>
      <c r="D38" s="56">
        <f>SUM(D28:D37)</f>
        <v>1417</v>
      </c>
      <c r="E38" s="56"/>
      <c r="F38" s="56">
        <f>SUM(F28:F37)</f>
        <v>0</v>
      </c>
      <c r="G38" s="56">
        <f>SUM(G28:G37)</f>
        <v>194263.94</v>
      </c>
      <c r="H38" s="58"/>
      <c r="I38" s="59"/>
      <c r="J38" s="60">
        <f>SUM(J28:J37)</f>
        <v>64751.12445698</v>
      </c>
      <c r="K38" s="58"/>
      <c r="L38" s="59"/>
      <c r="M38" s="60">
        <f>SUM(M28:M37)</f>
        <v>185681.66708364</v>
      </c>
      <c r="N38" s="61"/>
      <c r="O38" s="60">
        <f>SUM(O28:O37)</f>
        <v>0</v>
      </c>
      <c r="P38" s="61"/>
      <c r="Q38" s="60">
        <f>SUM(Q28:Q37)</f>
        <v>0</v>
      </c>
      <c r="R38" s="60">
        <f>SUM(R28:R37)</f>
        <v>250432.79154062</v>
      </c>
    </row>
    <row r="39" spans="1:18" ht="15">
      <c r="A39" s="24"/>
      <c r="B39" s="51"/>
      <c r="C39" s="35"/>
      <c r="D39" s="36"/>
      <c r="E39" s="36"/>
      <c r="F39" s="38"/>
      <c r="G39" s="39"/>
      <c r="H39" s="12"/>
      <c r="I39" s="6"/>
      <c r="J39" s="13"/>
      <c r="K39" s="12"/>
      <c r="L39" s="6"/>
      <c r="M39" s="13"/>
      <c r="N39" s="17"/>
      <c r="O39" s="13"/>
      <c r="P39" s="17"/>
      <c r="Q39" s="13"/>
      <c r="R39" s="13"/>
    </row>
    <row r="40" spans="1:18" ht="15">
      <c r="A40" s="24" t="s">
        <v>112</v>
      </c>
      <c r="B40" s="51">
        <v>2002</v>
      </c>
      <c r="C40" s="35" t="s">
        <v>36</v>
      </c>
      <c r="D40" s="36">
        <f>'C-2 Customer Count'!F4</f>
        <v>9</v>
      </c>
      <c r="E40" s="36">
        <v>1</v>
      </c>
      <c r="F40" s="38"/>
      <c r="G40" s="39">
        <f>'C-1 Monthly Volumes'!L24</f>
        <v>12038.9</v>
      </c>
      <c r="H40" s="14">
        <v>24.352</v>
      </c>
      <c r="I40" s="6">
        <v>0.040186</v>
      </c>
      <c r="J40" s="13">
        <f>D40*E40*H40+(F40+G40)*I40</f>
        <v>702.9632354</v>
      </c>
      <c r="K40" s="14">
        <v>69.8322</v>
      </c>
      <c r="L40" s="6">
        <v>0.115239</v>
      </c>
      <c r="M40" s="13">
        <f>D40*E40*K40+(F40+G40)*L40</f>
        <v>2015.8405971</v>
      </c>
      <c r="N40" s="17"/>
      <c r="O40" s="13">
        <f>(F40+G40)*N40</f>
        <v>0</v>
      </c>
      <c r="P40" s="17">
        <v>0</v>
      </c>
      <c r="Q40" s="13">
        <f>(F40+G40)*P40</f>
        <v>0</v>
      </c>
      <c r="R40" s="13">
        <f>J40+M40+O40+Q40</f>
        <v>2718.8038324999998</v>
      </c>
    </row>
    <row r="41" spans="1:18" ht="15">
      <c r="A41" s="24" t="s">
        <v>112</v>
      </c>
      <c r="B41" s="51">
        <v>2002</v>
      </c>
      <c r="C41" s="35" t="s">
        <v>37</v>
      </c>
      <c r="D41" s="36">
        <f>'C-2 Customer Count'!F5</f>
        <v>9</v>
      </c>
      <c r="E41" s="36">
        <v>1</v>
      </c>
      <c r="F41" s="38"/>
      <c r="G41" s="39">
        <f>'C-1 Monthly Volumes'!L25</f>
        <v>12668</v>
      </c>
      <c r="H41" s="14">
        <v>24.352</v>
      </c>
      <c r="I41" s="6">
        <v>0.040186</v>
      </c>
      <c r="J41" s="13">
        <f>D41*E41*H41+(F41+G41)*I41</f>
        <v>728.244248</v>
      </c>
      <c r="K41" s="14">
        <v>69.8322</v>
      </c>
      <c r="L41" s="6">
        <v>0.115239</v>
      </c>
      <c r="M41" s="13">
        <f aca="true" t="shared" si="15" ref="M41:M49">D41*E41*K41+(F41+G41)*L41</f>
        <v>2088.3374519999998</v>
      </c>
      <c r="N41" s="17"/>
      <c r="O41" s="13">
        <f aca="true" t="shared" si="16" ref="O41:O49">(F41+G41)*N41</f>
        <v>0</v>
      </c>
      <c r="P41" s="17">
        <v>0</v>
      </c>
      <c r="Q41" s="13">
        <f aca="true" t="shared" si="17" ref="Q41:Q49">(F41+G41)*P41</f>
        <v>0</v>
      </c>
      <c r="R41" s="13">
        <f aca="true" t="shared" si="18" ref="R41:R49">J41+M41+O41+Q41</f>
        <v>2816.5816999999997</v>
      </c>
    </row>
    <row r="42" spans="1:18" ht="15">
      <c r="A42" s="24" t="s">
        <v>112</v>
      </c>
      <c r="B42" s="51">
        <v>2002</v>
      </c>
      <c r="C42" s="35" t="s">
        <v>30</v>
      </c>
      <c r="D42" s="36">
        <f>'C-2 Customer Count'!F6</f>
        <v>0</v>
      </c>
      <c r="E42" s="36">
        <v>1</v>
      </c>
      <c r="F42" s="38"/>
      <c r="G42" s="39">
        <f>'C-1 Monthly Volumes'!L26</f>
        <v>0</v>
      </c>
      <c r="H42" s="14">
        <v>24.352</v>
      </c>
      <c r="I42" s="6">
        <v>0.040186</v>
      </c>
      <c r="J42" s="13">
        <f aca="true" t="shared" si="19" ref="J42:J49">D42*E42*H42+(F42+G42)*I42</f>
        <v>0</v>
      </c>
      <c r="K42" s="14">
        <v>69.8322</v>
      </c>
      <c r="L42" s="6">
        <v>0.115239</v>
      </c>
      <c r="M42" s="13">
        <f t="shared" si="15"/>
        <v>0</v>
      </c>
      <c r="N42" s="17"/>
      <c r="O42" s="13">
        <f t="shared" si="16"/>
        <v>0</v>
      </c>
      <c r="P42" s="17">
        <v>0</v>
      </c>
      <c r="Q42" s="13">
        <f t="shared" si="17"/>
        <v>0</v>
      </c>
      <c r="R42" s="13">
        <f t="shared" si="18"/>
        <v>0</v>
      </c>
    </row>
    <row r="43" spans="1:18" ht="15">
      <c r="A43" s="24" t="s">
        <v>112</v>
      </c>
      <c r="B43" s="51">
        <v>2002</v>
      </c>
      <c r="C43" s="35" t="s">
        <v>38</v>
      </c>
      <c r="D43" s="36">
        <f>'C-2 Customer Count'!F7</f>
        <v>9</v>
      </c>
      <c r="E43" s="36">
        <v>1</v>
      </c>
      <c r="F43" s="38"/>
      <c r="G43" s="39">
        <f>'C-1 Monthly Volumes'!L27</f>
        <v>13839</v>
      </c>
      <c r="H43" s="14">
        <v>24.352</v>
      </c>
      <c r="I43" s="6">
        <v>0.040186</v>
      </c>
      <c r="J43" s="13">
        <f>D43*E43*H43+(F43+G43)*I43</f>
        <v>775.302054</v>
      </c>
      <c r="K43" s="14">
        <v>69.8322</v>
      </c>
      <c r="L43" s="6">
        <v>0.115239</v>
      </c>
      <c r="M43" s="13">
        <f t="shared" si="15"/>
        <v>2223.2823209999997</v>
      </c>
      <c r="N43" s="17"/>
      <c r="O43" s="13">
        <f t="shared" si="16"/>
        <v>0</v>
      </c>
      <c r="P43" s="17">
        <v>0</v>
      </c>
      <c r="Q43" s="13">
        <f t="shared" si="17"/>
        <v>0</v>
      </c>
      <c r="R43" s="13">
        <f t="shared" si="18"/>
        <v>2998.5843749999995</v>
      </c>
    </row>
    <row r="44" spans="1:18" ht="15">
      <c r="A44" s="24" t="s">
        <v>112</v>
      </c>
      <c r="B44" s="51">
        <v>2002</v>
      </c>
      <c r="C44" s="35" t="s">
        <v>39</v>
      </c>
      <c r="D44" s="36">
        <f>'C-2 Customer Count'!F8</f>
        <v>9</v>
      </c>
      <c r="E44" s="36">
        <v>1</v>
      </c>
      <c r="F44" s="38"/>
      <c r="G44" s="39">
        <f>'C-1 Monthly Volumes'!L28</f>
        <v>15834</v>
      </c>
      <c r="H44" s="14">
        <v>24.352</v>
      </c>
      <c r="I44" s="6">
        <v>0.040186</v>
      </c>
      <c r="J44" s="13">
        <f t="shared" si="19"/>
        <v>855.473124</v>
      </c>
      <c r="K44" s="14">
        <v>69.8322</v>
      </c>
      <c r="L44" s="6">
        <v>0.115239</v>
      </c>
      <c r="M44" s="13">
        <f t="shared" si="15"/>
        <v>2453.184126</v>
      </c>
      <c r="N44" s="17"/>
      <c r="O44" s="13">
        <f t="shared" si="16"/>
        <v>0</v>
      </c>
      <c r="P44" s="17">
        <v>0</v>
      </c>
      <c r="Q44" s="13">
        <f t="shared" si="17"/>
        <v>0</v>
      </c>
      <c r="R44" s="13">
        <f t="shared" si="18"/>
        <v>3308.65725</v>
      </c>
    </row>
    <row r="45" spans="1:18" ht="15">
      <c r="A45" s="24" t="s">
        <v>112</v>
      </c>
      <c r="B45" s="51">
        <v>2002</v>
      </c>
      <c r="C45" s="35" t="s">
        <v>40</v>
      </c>
      <c r="D45" s="36">
        <f>'C-2 Customer Count'!F9</f>
        <v>9</v>
      </c>
      <c r="E45" s="36">
        <v>1</v>
      </c>
      <c r="F45" s="38"/>
      <c r="G45" s="39">
        <f>'C-1 Monthly Volumes'!L29</f>
        <v>14748</v>
      </c>
      <c r="H45" s="14">
        <v>24.352</v>
      </c>
      <c r="I45" s="6">
        <v>0.040186</v>
      </c>
      <c r="J45" s="13">
        <f t="shared" si="19"/>
        <v>811.831128</v>
      </c>
      <c r="K45" s="14">
        <v>69.8322</v>
      </c>
      <c r="L45" s="6">
        <v>0.115239</v>
      </c>
      <c r="M45" s="13">
        <f t="shared" si="15"/>
        <v>2328.034572</v>
      </c>
      <c r="N45" s="17"/>
      <c r="O45" s="13">
        <f t="shared" si="16"/>
        <v>0</v>
      </c>
      <c r="P45" s="17">
        <v>0</v>
      </c>
      <c r="Q45" s="13">
        <f t="shared" si="17"/>
        <v>0</v>
      </c>
      <c r="R45" s="13">
        <f t="shared" si="18"/>
        <v>3139.8657000000003</v>
      </c>
    </row>
    <row r="46" spans="1:18" ht="15">
      <c r="A46" s="24" t="s">
        <v>112</v>
      </c>
      <c r="B46" s="51">
        <v>2002</v>
      </c>
      <c r="C46" s="35" t="s">
        <v>41</v>
      </c>
      <c r="D46" s="36">
        <f>'C-2 Customer Count'!F10</f>
        <v>9</v>
      </c>
      <c r="E46" s="36">
        <v>1</v>
      </c>
      <c r="F46" s="38"/>
      <c r="G46" s="39">
        <f>'C-1 Monthly Volumes'!L30</f>
        <v>16276</v>
      </c>
      <c r="H46" s="14">
        <v>24.352</v>
      </c>
      <c r="I46" s="6">
        <v>0.040186</v>
      </c>
      <c r="J46" s="13">
        <f t="shared" si="19"/>
        <v>873.235336</v>
      </c>
      <c r="K46" s="14">
        <v>69.8322</v>
      </c>
      <c r="L46" s="6">
        <v>0.115239</v>
      </c>
      <c r="M46" s="13">
        <f t="shared" si="15"/>
        <v>2504.119764</v>
      </c>
      <c r="N46" s="17"/>
      <c r="O46" s="13">
        <f t="shared" si="16"/>
        <v>0</v>
      </c>
      <c r="P46" s="17">
        <v>0</v>
      </c>
      <c r="Q46" s="13">
        <f t="shared" si="17"/>
        <v>0</v>
      </c>
      <c r="R46" s="13">
        <f t="shared" si="18"/>
        <v>3377.3550999999998</v>
      </c>
    </row>
    <row r="47" spans="1:18" ht="15">
      <c r="A47" s="24" t="s">
        <v>112</v>
      </c>
      <c r="B47" s="51">
        <v>2002</v>
      </c>
      <c r="C47" s="35" t="s">
        <v>42</v>
      </c>
      <c r="D47" s="36">
        <f>'C-2 Customer Count'!F11</f>
        <v>9</v>
      </c>
      <c r="E47" s="36">
        <v>1</v>
      </c>
      <c r="F47" s="38"/>
      <c r="G47" s="39">
        <f>'C-1 Monthly Volumes'!L31</f>
        <v>14051</v>
      </c>
      <c r="H47" s="14">
        <v>24.352</v>
      </c>
      <c r="I47" s="6">
        <v>0.040186</v>
      </c>
      <c r="J47" s="13">
        <f t="shared" si="19"/>
        <v>783.821486</v>
      </c>
      <c r="K47" s="14">
        <v>69.8322</v>
      </c>
      <c r="L47" s="6">
        <v>0.115239</v>
      </c>
      <c r="M47" s="13">
        <f t="shared" si="15"/>
        <v>2247.7129889999997</v>
      </c>
      <c r="N47" s="17"/>
      <c r="O47" s="13">
        <f t="shared" si="16"/>
        <v>0</v>
      </c>
      <c r="P47" s="17">
        <v>0</v>
      </c>
      <c r="Q47" s="13">
        <f t="shared" si="17"/>
        <v>0</v>
      </c>
      <c r="R47" s="13">
        <f t="shared" si="18"/>
        <v>3031.5344749999995</v>
      </c>
    </row>
    <row r="48" spans="1:18" ht="15">
      <c r="A48" s="24" t="s">
        <v>112</v>
      </c>
      <c r="B48" s="51">
        <v>2002</v>
      </c>
      <c r="C48" s="35" t="s">
        <v>43</v>
      </c>
      <c r="D48" s="36">
        <f>'C-2 Customer Count'!F12</f>
        <v>9</v>
      </c>
      <c r="E48" s="36">
        <v>1</v>
      </c>
      <c r="F48" s="38"/>
      <c r="G48" s="39">
        <f>'C-1 Monthly Volumes'!L32</f>
        <v>0</v>
      </c>
      <c r="H48" s="14">
        <v>24.352</v>
      </c>
      <c r="I48" s="6">
        <v>0.040186</v>
      </c>
      <c r="J48" s="13">
        <f t="shared" si="19"/>
        <v>219.168</v>
      </c>
      <c r="K48" s="14">
        <v>69.8322</v>
      </c>
      <c r="L48" s="6">
        <v>0.115239</v>
      </c>
      <c r="M48" s="13">
        <f t="shared" si="15"/>
        <v>628.4898000000001</v>
      </c>
      <c r="N48" s="17"/>
      <c r="O48" s="13">
        <f t="shared" si="16"/>
        <v>0</v>
      </c>
      <c r="P48" s="17">
        <v>0</v>
      </c>
      <c r="Q48" s="13">
        <f t="shared" si="17"/>
        <v>0</v>
      </c>
      <c r="R48" s="13">
        <f t="shared" si="18"/>
        <v>847.6578000000001</v>
      </c>
    </row>
    <row r="49" spans="1:18" ht="15.75" thickBot="1">
      <c r="A49" s="24" t="s">
        <v>112</v>
      </c>
      <c r="B49" s="51">
        <v>2002</v>
      </c>
      <c r="C49" s="35" t="s">
        <v>44</v>
      </c>
      <c r="D49" s="36">
        <f>'C-2 Customer Count'!F13</f>
        <v>9</v>
      </c>
      <c r="E49" s="36">
        <v>1</v>
      </c>
      <c r="F49" s="38"/>
      <c r="G49" s="39">
        <f>'C-1 Monthly Volumes'!L33</f>
        <v>31545</v>
      </c>
      <c r="H49" s="14">
        <v>24.352</v>
      </c>
      <c r="I49" s="6">
        <v>0.040186</v>
      </c>
      <c r="J49" s="13">
        <f t="shared" si="19"/>
        <v>1486.8353699999998</v>
      </c>
      <c r="K49" s="14">
        <v>69.8322</v>
      </c>
      <c r="L49" s="6">
        <v>0.115239</v>
      </c>
      <c r="M49" s="13">
        <f t="shared" si="15"/>
        <v>4263.704055</v>
      </c>
      <c r="N49" s="17"/>
      <c r="O49" s="13">
        <f t="shared" si="16"/>
        <v>0</v>
      </c>
      <c r="P49" s="17">
        <v>0</v>
      </c>
      <c r="Q49" s="13">
        <f t="shared" si="17"/>
        <v>0</v>
      </c>
      <c r="R49" s="13">
        <f t="shared" si="18"/>
        <v>5750.539425</v>
      </c>
    </row>
    <row r="50" spans="1:18" ht="15.75" thickBot="1">
      <c r="A50" s="53" t="s">
        <v>114</v>
      </c>
      <c r="B50" s="54"/>
      <c r="C50" s="55"/>
      <c r="D50" s="56">
        <f>SUM(D40:D49)</f>
        <v>81</v>
      </c>
      <c r="E50" s="56"/>
      <c r="F50" s="56">
        <f>SUM(F40:F49)</f>
        <v>0</v>
      </c>
      <c r="G50" s="56">
        <f>SUM(G40:G49)</f>
        <v>130999.9</v>
      </c>
      <c r="H50" s="58"/>
      <c r="I50" s="59"/>
      <c r="J50" s="60">
        <f>SUM(J40:J49)</f>
        <v>7236.873981399999</v>
      </c>
      <c r="K50" s="58"/>
      <c r="L50" s="59"/>
      <c r="M50" s="60">
        <f>SUM(M40:M49)</f>
        <v>20752.7056761</v>
      </c>
      <c r="N50" s="61"/>
      <c r="O50" s="60">
        <f>SUM(O40:O49)</f>
        <v>0</v>
      </c>
      <c r="P50" s="61"/>
      <c r="Q50" s="60">
        <f>SUM(Q40:Q49)</f>
        <v>0</v>
      </c>
      <c r="R50" s="60">
        <f>SUM(R40:R49)</f>
        <v>27989.5796575</v>
      </c>
    </row>
    <row r="51" spans="1:18" ht="15">
      <c r="A51" s="24"/>
      <c r="B51" s="51"/>
      <c r="C51" s="35"/>
      <c r="D51" s="36"/>
      <c r="E51" s="36"/>
      <c r="F51" s="38"/>
      <c r="G51" s="39"/>
      <c r="H51" s="14"/>
      <c r="I51" s="6"/>
      <c r="J51" s="13"/>
      <c r="K51" s="14"/>
      <c r="L51" s="6"/>
      <c r="M51" s="13"/>
      <c r="N51" s="17"/>
      <c r="O51" s="13"/>
      <c r="P51" s="17"/>
      <c r="Q51" s="13"/>
      <c r="R51" s="13"/>
    </row>
    <row r="52" spans="1:18" ht="15">
      <c r="A52" s="24" t="s">
        <v>2</v>
      </c>
      <c r="B52" s="51">
        <v>2002</v>
      </c>
      <c r="C52" s="35" t="s">
        <v>36</v>
      </c>
      <c r="D52" s="36">
        <f>'C-2 Customer Count'!G4</f>
        <v>288</v>
      </c>
      <c r="E52" s="36">
        <v>1</v>
      </c>
      <c r="F52" s="38"/>
      <c r="G52" s="39">
        <f>'C-1 Monthly Volumes'!C43</f>
        <v>113</v>
      </c>
      <c r="H52" s="14">
        <v>0.2264</v>
      </c>
      <c r="I52" s="6">
        <v>0.308629</v>
      </c>
      <c r="J52" s="13">
        <f>D52*E52*H52+(F52+G52)*I52</f>
        <v>100.07827699999999</v>
      </c>
      <c r="K52" s="14">
        <v>0.6494</v>
      </c>
      <c r="L52" s="6">
        <v>0.885029</v>
      </c>
      <c r="M52" s="13">
        <f>D52*E52*K52+(F52+G52)*L52</f>
        <v>287.035477</v>
      </c>
      <c r="N52" s="17"/>
      <c r="O52" s="13">
        <f>(F52+G52)*N52</f>
        <v>0</v>
      </c>
      <c r="P52" s="17">
        <v>0</v>
      </c>
      <c r="Q52" s="13">
        <f>(F52+G52)*P52</f>
        <v>0</v>
      </c>
      <c r="R52" s="13">
        <f>J52+M52+O52+Q52</f>
        <v>387.113754</v>
      </c>
    </row>
    <row r="53" spans="1:18" ht="15">
      <c r="A53" s="24" t="s">
        <v>2</v>
      </c>
      <c r="B53" s="51">
        <v>2002</v>
      </c>
      <c r="C53" s="35" t="s">
        <v>37</v>
      </c>
      <c r="D53" s="36">
        <f>'C-2 Customer Count'!G5</f>
        <v>288</v>
      </c>
      <c r="E53" s="36">
        <v>1</v>
      </c>
      <c r="F53" s="38"/>
      <c r="G53" s="39">
        <f>'C-1 Monthly Volumes'!C44</f>
        <v>118</v>
      </c>
      <c r="H53" s="14">
        <v>0.2264</v>
      </c>
      <c r="I53" s="6">
        <v>0.308629</v>
      </c>
      <c r="J53" s="13">
        <f aca="true" t="shared" si="20" ref="J53:J61">D53*E53*H53+(F53+G53)*I53</f>
        <v>101.621422</v>
      </c>
      <c r="K53" s="14">
        <v>0.6494</v>
      </c>
      <c r="L53" s="6">
        <v>0.885029</v>
      </c>
      <c r="M53" s="13">
        <f aca="true" t="shared" si="21" ref="M53:M61">D53*E53*K53+(F53+G53)*L53</f>
        <v>291.460622</v>
      </c>
      <c r="N53" s="17"/>
      <c r="O53" s="13">
        <f aca="true" t="shared" si="22" ref="O53:O61">(F53+G53)*N53</f>
        <v>0</v>
      </c>
      <c r="P53" s="17">
        <v>0</v>
      </c>
      <c r="Q53" s="13">
        <f aca="true" t="shared" si="23" ref="Q53:Q61">(F53+G53)*P53</f>
        <v>0</v>
      </c>
      <c r="R53" s="13">
        <f aca="true" t="shared" si="24" ref="R53:R61">J53+M53+O53+Q53</f>
        <v>393.082044</v>
      </c>
    </row>
    <row r="54" spans="1:18" ht="15">
      <c r="A54" s="24" t="s">
        <v>2</v>
      </c>
      <c r="B54" s="51">
        <v>2002</v>
      </c>
      <c r="C54" s="35" t="s">
        <v>30</v>
      </c>
      <c r="D54" s="36">
        <f>'C-2 Customer Count'!G6</f>
        <v>288</v>
      </c>
      <c r="E54" s="36">
        <v>1</v>
      </c>
      <c r="F54" s="38"/>
      <c r="G54" s="39">
        <f>'C-1 Monthly Volumes'!C45</f>
        <v>8</v>
      </c>
      <c r="H54" s="14">
        <v>0.2264</v>
      </c>
      <c r="I54" s="6">
        <v>0.308629</v>
      </c>
      <c r="J54" s="13">
        <f t="shared" si="20"/>
        <v>67.672232</v>
      </c>
      <c r="K54" s="14">
        <v>0.6494</v>
      </c>
      <c r="L54" s="6">
        <v>0.885029</v>
      </c>
      <c r="M54" s="13">
        <f t="shared" si="21"/>
        <v>194.107432</v>
      </c>
      <c r="N54" s="17"/>
      <c r="O54" s="13">
        <f t="shared" si="22"/>
        <v>0</v>
      </c>
      <c r="P54" s="17">
        <v>0</v>
      </c>
      <c r="Q54" s="13">
        <f t="shared" si="23"/>
        <v>0</v>
      </c>
      <c r="R54" s="13">
        <f t="shared" si="24"/>
        <v>261.77966399999997</v>
      </c>
    </row>
    <row r="55" spans="1:18" ht="15">
      <c r="A55" s="24" t="s">
        <v>2</v>
      </c>
      <c r="B55" s="51">
        <v>2002</v>
      </c>
      <c r="C55" s="35" t="s">
        <v>38</v>
      </c>
      <c r="D55" s="36">
        <f>'C-2 Customer Count'!G7</f>
        <v>288</v>
      </c>
      <c r="E55" s="36">
        <v>1</v>
      </c>
      <c r="F55" s="38"/>
      <c r="G55" s="39">
        <f>'C-1 Monthly Volumes'!C46</f>
        <v>97</v>
      </c>
      <c r="H55" s="14">
        <v>0.2264</v>
      </c>
      <c r="I55" s="6">
        <v>0.308629</v>
      </c>
      <c r="J55" s="13">
        <f t="shared" si="20"/>
        <v>95.14021299999999</v>
      </c>
      <c r="K55" s="14">
        <v>0.6494</v>
      </c>
      <c r="L55" s="6">
        <v>0.885029</v>
      </c>
      <c r="M55" s="13">
        <f t="shared" si="21"/>
        <v>272.87501299999997</v>
      </c>
      <c r="N55" s="17"/>
      <c r="O55" s="13">
        <f t="shared" si="22"/>
        <v>0</v>
      </c>
      <c r="P55" s="17">
        <v>0</v>
      </c>
      <c r="Q55" s="13">
        <f t="shared" si="23"/>
        <v>0</v>
      </c>
      <c r="R55" s="13">
        <f t="shared" si="24"/>
        <v>368.015226</v>
      </c>
    </row>
    <row r="56" spans="1:18" ht="15">
      <c r="A56" s="24" t="s">
        <v>2</v>
      </c>
      <c r="B56" s="51">
        <v>2002</v>
      </c>
      <c r="C56" s="35" t="s">
        <v>39</v>
      </c>
      <c r="D56" s="36">
        <f>'C-2 Customer Count'!G8</f>
        <v>288</v>
      </c>
      <c r="E56" s="36">
        <v>1</v>
      </c>
      <c r="F56" s="38"/>
      <c r="G56" s="39">
        <f>'C-1 Monthly Volumes'!C47</f>
        <v>111</v>
      </c>
      <c r="H56" s="14">
        <v>0.2264</v>
      </c>
      <c r="I56" s="6">
        <v>0.308629</v>
      </c>
      <c r="J56" s="13">
        <f t="shared" si="20"/>
        <v>99.461019</v>
      </c>
      <c r="K56" s="14">
        <v>0.6494</v>
      </c>
      <c r="L56" s="6">
        <v>0.885029</v>
      </c>
      <c r="M56" s="13">
        <f t="shared" si="21"/>
        <v>285.265419</v>
      </c>
      <c r="N56" s="17"/>
      <c r="O56" s="13">
        <f t="shared" si="22"/>
        <v>0</v>
      </c>
      <c r="P56" s="17">
        <v>0</v>
      </c>
      <c r="Q56" s="13">
        <f t="shared" si="23"/>
        <v>0</v>
      </c>
      <c r="R56" s="13">
        <f t="shared" si="24"/>
        <v>384.72643800000003</v>
      </c>
    </row>
    <row r="57" spans="1:18" ht="15">
      <c r="A57" s="24" t="s">
        <v>2</v>
      </c>
      <c r="B57" s="51">
        <v>2002</v>
      </c>
      <c r="C57" s="35" t="s">
        <v>40</v>
      </c>
      <c r="D57" s="36">
        <f>'C-2 Customer Count'!G9</f>
        <v>288</v>
      </c>
      <c r="E57" s="36">
        <v>1</v>
      </c>
      <c r="F57" s="38"/>
      <c r="G57" s="39">
        <f>'C-1 Monthly Volumes'!C48</f>
        <v>129</v>
      </c>
      <c r="H57" s="14">
        <v>0.2264</v>
      </c>
      <c r="I57" s="6">
        <v>0.308629</v>
      </c>
      <c r="J57" s="13">
        <f t="shared" si="20"/>
        <v>105.016341</v>
      </c>
      <c r="K57" s="14">
        <v>0.6494</v>
      </c>
      <c r="L57" s="6">
        <v>0.885029</v>
      </c>
      <c r="M57" s="13">
        <f t="shared" si="21"/>
        <v>301.195941</v>
      </c>
      <c r="N57" s="17"/>
      <c r="O57" s="13">
        <f t="shared" si="22"/>
        <v>0</v>
      </c>
      <c r="P57" s="17">
        <v>0</v>
      </c>
      <c r="Q57" s="13">
        <f t="shared" si="23"/>
        <v>0</v>
      </c>
      <c r="R57" s="13">
        <f t="shared" si="24"/>
        <v>406.212282</v>
      </c>
    </row>
    <row r="58" spans="1:18" ht="15">
      <c r="A58" s="24" t="s">
        <v>2</v>
      </c>
      <c r="B58" s="51">
        <v>2002</v>
      </c>
      <c r="C58" s="35" t="s">
        <v>41</v>
      </c>
      <c r="D58" s="36">
        <f>'C-2 Customer Count'!G10</f>
        <v>288</v>
      </c>
      <c r="E58" s="36">
        <v>1</v>
      </c>
      <c r="F58" s="38"/>
      <c r="G58" s="39">
        <f>'C-1 Monthly Volumes'!C49</f>
        <v>113</v>
      </c>
      <c r="H58" s="14">
        <v>0.2264</v>
      </c>
      <c r="I58" s="6">
        <v>0.308629</v>
      </c>
      <c r="J58" s="13">
        <f t="shared" si="20"/>
        <v>100.07827699999999</v>
      </c>
      <c r="K58" s="14">
        <v>0.6494</v>
      </c>
      <c r="L58" s="6">
        <v>0.885029</v>
      </c>
      <c r="M58" s="13">
        <f t="shared" si="21"/>
        <v>287.035477</v>
      </c>
      <c r="N58" s="17"/>
      <c r="O58" s="13">
        <f t="shared" si="22"/>
        <v>0</v>
      </c>
      <c r="P58" s="17">
        <v>0</v>
      </c>
      <c r="Q58" s="13">
        <f t="shared" si="23"/>
        <v>0</v>
      </c>
      <c r="R58" s="13">
        <f t="shared" si="24"/>
        <v>387.113754</v>
      </c>
    </row>
    <row r="59" spans="1:18" ht="15">
      <c r="A59" s="24" t="s">
        <v>2</v>
      </c>
      <c r="B59" s="51">
        <v>2002</v>
      </c>
      <c r="C59" s="35" t="s">
        <v>42</v>
      </c>
      <c r="D59" s="36">
        <f>'C-2 Customer Count'!G11</f>
        <v>289</v>
      </c>
      <c r="E59" s="36">
        <v>1</v>
      </c>
      <c r="F59" s="38"/>
      <c r="G59" s="39">
        <f>'C-1 Monthly Volumes'!C50</f>
        <v>91</v>
      </c>
      <c r="H59" s="14">
        <v>0.2264</v>
      </c>
      <c r="I59" s="6">
        <v>0.308629</v>
      </c>
      <c r="J59" s="13">
        <f t="shared" si="20"/>
        <v>93.514839</v>
      </c>
      <c r="K59" s="14">
        <v>0.6494</v>
      </c>
      <c r="L59" s="6">
        <v>0.885029</v>
      </c>
      <c r="M59" s="13">
        <f t="shared" si="21"/>
        <v>268.214239</v>
      </c>
      <c r="N59" s="17"/>
      <c r="O59" s="13">
        <f t="shared" si="22"/>
        <v>0</v>
      </c>
      <c r="P59" s="17">
        <v>0</v>
      </c>
      <c r="Q59" s="13">
        <f t="shared" si="23"/>
        <v>0</v>
      </c>
      <c r="R59" s="13">
        <f t="shared" si="24"/>
        <v>361.729078</v>
      </c>
    </row>
    <row r="60" spans="1:18" ht="15">
      <c r="A60" s="24" t="s">
        <v>2</v>
      </c>
      <c r="B60" s="51">
        <v>2002</v>
      </c>
      <c r="C60" s="35" t="s">
        <v>43</v>
      </c>
      <c r="D60" s="36">
        <f>'C-2 Customer Count'!G12</f>
        <v>287</v>
      </c>
      <c r="E60" s="36">
        <v>1</v>
      </c>
      <c r="F60" s="38"/>
      <c r="G60" s="39">
        <f>'C-1 Monthly Volumes'!C51</f>
        <v>90</v>
      </c>
      <c r="H60" s="14">
        <v>0.2264</v>
      </c>
      <c r="I60" s="6">
        <v>0.308629</v>
      </c>
      <c r="J60" s="13">
        <f t="shared" si="20"/>
        <v>92.75341</v>
      </c>
      <c r="K60" s="14">
        <v>0.6494</v>
      </c>
      <c r="L60" s="6">
        <v>0.885029</v>
      </c>
      <c r="M60" s="13">
        <f t="shared" si="21"/>
        <v>266.03040999999996</v>
      </c>
      <c r="N60" s="17"/>
      <c r="O60" s="13">
        <f t="shared" si="22"/>
        <v>0</v>
      </c>
      <c r="P60" s="17">
        <v>0</v>
      </c>
      <c r="Q60" s="13">
        <f t="shared" si="23"/>
        <v>0</v>
      </c>
      <c r="R60" s="13">
        <f t="shared" si="24"/>
        <v>358.78382</v>
      </c>
    </row>
    <row r="61" spans="1:18" ht="15.75" thickBot="1">
      <c r="A61" s="24" t="s">
        <v>2</v>
      </c>
      <c r="B61" s="51">
        <v>2002</v>
      </c>
      <c r="C61" s="35" t="s">
        <v>44</v>
      </c>
      <c r="D61" s="36">
        <f>'C-2 Customer Count'!G13</f>
        <v>287</v>
      </c>
      <c r="E61" s="36">
        <v>1</v>
      </c>
      <c r="F61" s="38"/>
      <c r="G61" s="39">
        <f>'C-1 Monthly Volumes'!C52</f>
        <v>93</v>
      </c>
      <c r="H61" s="14">
        <v>0.2264</v>
      </c>
      <c r="I61" s="6">
        <v>0.308629</v>
      </c>
      <c r="J61" s="13">
        <f t="shared" si="20"/>
        <v>93.67929699999999</v>
      </c>
      <c r="K61" s="14">
        <v>0.6494</v>
      </c>
      <c r="L61" s="6">
        <v>0.885029</v>
      </c>
      <c r="M61" s="13">
        <f t="shared" si="21"/>
        <v>268.68549699999994</v>
      </c>
      <c r="N61" s="17"/>
      <c r="O61" s="13">
        <f t="shared" si="22"/>
        <v>0</v>
      </c>
      <c r="P61" s="17">
        <v>0</v>
      </c>
      <c r="Q61" s="13">
        <f t="shared" si="23"/>
        <v>0</v>
      </c>
      <c r="R61" s="13">
        <f t="shared" si="24"/>
        <v>362.36479399999996</v>
      </c>
    </row>
    <row r="62" spans="1:18" ht="15.75" thickBot="1">
      <c r="A62" s="53" t="s">
        <v>54</v>
      </c>
      <c r="B62" s="54"/>
      <c r="C62" s="55"/>
      <c r="D62" s="56">
        <f>SUM(D52:D61)</f>
        <v>2879</v>
      </c>
      <c r="E62" s="56"/>
      <c r="F62" s="56">
        <f>SUM(F52:F61)</f>
        <v>0</v>
      </c>
      <c r="G62" s="56">
        <f>SUM(G52:G61)</f>
        <v>963</v>
      </c>
      <c r="H62" s="58"/>
      <c r="I62" s="59"/>
      <c r="J62" s="60">
        <f>SUM(J52:J61)</f>
        <v>949.015327</v>
      </c>
      <c r="K62" s="58"/>
      <c r="L62" s="59"/>
      <c r="M62" s="60">
        <f>SUM(M52:M61)</f>
        <v>2721.905527</v>
      </c>
      <c r="N62" s="61"/>
      <c r="O62" s="60">
        <f>SUM(O52:O61)</f>
        <v>0</v>
      </c>
      <c r="P62" s="61"/>
      <c r="Q62" s="60">
        <f>SUM(Q52:Q61)</f>
        <v>0</v>
      </c>
      <c r="R62" s="60">
        <f>SUM(R52:R61)</f>
        <v>3670.920854</v>
      </c>
    </row>
    <row r="63" spans="1:18" ht="15">
      <c r="A63" s="24"/>
      <c r="B63" s="51"/>
      <c r="C63" s="35"/>
      <c r="D63" s="36"/>
      <c r="E63" s="36"/>
      <c r="F63" s="38"/>
      <c r="G63" s="39"/>
      <c r="H63" s="14"/>
      <c r="I63" s="6"/>
      <c r="J63" s="13"/>
      <c r="K63" s="14"/>
      <c r="L63" s="6"/>
      <c r="M63" s="13"/>
      <c r="N63" s="17"/>
      <c r="O63" s="13"/>
      <c r="P63" s="17"/>
      <c r="Q63" s="13"/>
      <c r="R63" s="13"/>
    </row>
    <row r="64" spans="1:18" ht="15">
      <c r="A64" s="24" t="s">
        <v>3</v>
      </c>
      <c r="B64" s="51">
        <v>2002</v>
      </c>
      <c r="C64" s="35" t="s">
        <v>36</v>
      </c>
      <c r="D64" s="36">
        <f>'C-2 Customer Count'!H4</f>
        <v>3444</v>
      </c>
      <c r="E64" s="36">
        <v>1</v>
      </c>
      <c r="F64" s="38"/>
      <c r="G64" s="39">
        <f>'C-1 Monthly Volumes'!L43</f>
        <v>577.8</v>
      </c>
      <c r="H64" s="14">
        <v>0.0585</v>
      </c>
      <c r="I64" s="6">
        <v>0.121564</v>
      </c>
      <c r="J64" s="13">
        <f>D64*E64*H64+(F64+G64)*I64</f>
        <v>271.7136792</v>
      </c>
      <c r="K64" s="14">
        <v>0.1677</v>
      </c>
      <c r="L64" s="6">
        <v>0.348598</v>
      </c>
      <c r="M64" s="13">
        <f>D64*E64*K64+(F64+G64)*L64</f>
        <v>778.9787243999999</v>
      </c>
      <c r="N64" s="17"/>
      <c r="O64" s="13">
        <f>(F64+G64)*N64</f>
        <v>0</v>
      </c>
      <c r="P64" s="17">
        <v>0</v>
      </c>
      <c r="Q64" s="13">
        <f>(F64+G64)*P64</f>
        <v>0</v>
      </c>
      <c r="R64" s="13">
        <f>J64+M64+O64+Q64</f>
        <v>1050.6924036</v>
      </c>
    </row>
    <row r="65" spans="1:18" ht="15">
      <c r="A65" s="24" t="s">
        <v>3</v>
      </c>
      <c r="B65" s="51">
        <v>2002</v>
      </c>
      <c r="C65" s="35" t="s">
        <v>37</v>
      </c>
      <c r="D65" s="36">
        <f>'C-2 Customer Count'!H5</f>
        <v>3443</v>
      </c>
      <c r="E65" s="36">
        <v>1</v>
      </c>
      <c r="F65" s="38"/>
      <c r="G65" s="39">
        <f>'C-1 Monthly Volumes'!L44</f>
        <v>577.8</v>
      </c>
      <c r="H65" s="14">
        <v>0.0585</v>
      </c>
      <c r="I65" s="6">
        <v>0.121564</v>
      </c>
      <c r="J65" s="13">
        <f>D65*E65*H65+(F65+G65)*I65</f>
        <v>271.6551792</v>
      </c>
      <c r="K65" s="14">
        <v>0.1677</v>
      </c>
      <c r="L65" s="6">
        <v>0.348598</v>
      </c>
      <c r="M65" s="13">
        <f>D65*E65*K65+(F65+G65)*L65</f>
        <v>778.8110244</v>
      </c>
      <c r="N65" s="17"/>
      <c r="O65" s="13">
        <f>(F65+G65)*N65</f>
        <v>0</v>
      </c>
      <c r="P65" s="17">
        <v>0</v>
      </c>
      <c r="Q65" s="13">
        <f>(F65+G65)*P65</f>
        <v>0</v>
      </c>
      <c r="R65" s="13">
        <f>J65+M65+O65+Q65</f>
        <v>1050.4662036</v>
      </c>
    </row>
    <row r="66" spans="1:18" ht="15">
      <c r="A66" s="24" t="s">
        <v>3</v>
      </c>
      <c r="B66" s="51">
        <v>2002</v>
      </c>
      <c r="C66" s="64" t="s">
        <v>30</v>
      </c>
      <c r="D66" s="36">
        <f>'C-2 Customer Count'!H6</f>
        <v>3440</v>
      </c>
      <c r="E66" s="36">
        <v>1</v>
      </c>
      <c r="F66" s="38"/>
      <c r="G66" s="39">
        <f>'C-1 Monthly Volumes'!L45</f>
        <v>0</v>
      </c>
      <c r="H66" s="14">
        <v>0.0585</v>
      </c>
      <c r="I66" s="6">
        <v>0.121564</v>
      </c>
      <c r="J66" s="13">
        <f aca="true" t="shared" si="25" ref="J66:J73">D66*E66*H66+(F66+G66)*I66</f>
        <v>201.24</v>
      </c>
      <c r="K66" s="14">
        <v>0.1677</v>
      </c>
      <c r="L66" s="6">
        <v>0.348598</v>
      </c>
      <c r="M66" s="13">
        <f aca="true" t="shared" si="26" ref="M66:M73">D66*E66*K66+(F66+G66)*L66</f>
        <v>576.8879999999999</v>
      </c>
      <c r="N66" s="17"/>
      <c r="O66" s="13">
        <f aca="true" t="shared" si="27" ref="O66:O73">(F66+G66)*N66</f>
        <v>0</v>
      </c>
      <c r="P66" s="17">
        <v>0</v>
      </c>
      <c r="Q66" s="13">
        <f aca="true" t="shared" si="28" ref="Q66:Q73">(F66+G66)*P66</f>
        <v>0</v>
      </c>
      <c r="R66" s="13">
        <f aca="true" t="shared" si="29" ref="R66:R73">J66+M66+O66+Q66</f>
        <v>778.1279999999999</v>
      </c>
    </row>
    <row r="67" spans="1:18" ht="15">
      <c r="A67" s="24" t="s">
        <v>3</v>
      </c>
      <c r="B67" s="51">
        <v>2002</v>
      </c>
      <c r="C67" s="64" t="s">
        <v>38</v>
      </c>
      <c r="D67" s="36">
        <f>'C-2 Customer Count'!H7</f>
        <v>3440</v>
      </c>
      <c r="E67" s="36">
        <v>1</v>
      </c>
      <c r="F67" s="38"/>
      <c r="G67" s="39">
        <f>'C-1 Monthly Volumes'!L46</f>
        <v>578</v>
      </c>
      <c r="H67" s="14">
        <v>0.0585</v>
      </c>
      <c r="I67" s="6">
        <v>0.121564</v>
      </c>
      <c r="J67" s="13">
        <f t="shared" si="25"/>
        <v>271.50399200000004</v>
      </c>
      <c r="K67" s="14">
        <v>0.1677</v>
      </c>
      <c r="L67" s="6">
        <v>0.348598</v>
      </c>
      <c r="M67" s="13">
        <f t="shared" si="26"/>
        <v>778.3776439999999</v>
      </c>
      <c r="N67" s="17"/>
      <c r="O67" s="13">
        <f t="shared" si="27"/>
        <v>0</v>
      </c>
      <c r="P67" s="17">
        <v>0</v>
      </c>
      <c r="Q67" s="13">
        <f t="shared" si="28"/>
        <v>0</v>
      </c>
      <c r="R67" s="13">
        <f t="shared" si="29"/>
        <v>1049.881636</v>
      </c>
    </row>
    <row r="68" spans="1:18" ht="15">
      <c r="A68" s="24" t="s">
        <v>3</v>
      </c>
      <c r="B68" s="51">
        <v>2002</v>
      </c>
      <c r="C68" s="64" t="s">
        <v>39</v>
      </c>
      <c r="D68" s="36">
        <f>'C-2 Customer Count'!H8</f>
        <v>3440</v>
      </c>
      <c r="E68" s="36">
        <v>1</v>
      </c>
      <c r="F68" s="38"/>
      <c r="G68" s="39">
        <f>'C-1 Monthly Volumes'!L47</f>
        <v>577</v>
      </c>
      <c r="H68" s="14">
        <v>0.0585</v>
      </c>
      <c r="I68" s="6">
        <v>0.121564</v>
      </c>
      <c r="J68" s="13">
        <f t="shared" si="25"/>
        <v>271.382428</v>
      </c>
      <c r="K68" s="14">
        <v>0.1677</v>
      </c>
      <c r="L68" s="6">
        <v>0.348598</v>
      </c>
      <c r="M68" s="13">
        <f t="shared" si="26"/>
        <v>778.0290459999999</v>
      </c>
      <c r="N68" s="17"/>
      <c r="O68" s="13">
        <f t="shared" si="27"/>
        <v>0</v>
      </c>
      <c r="P68" s="17">
        <v>0</v>
      </c>
      <c r="Q68" s="13">
        <f t="shared" si="28"/>
        <v>0</v>
      </c>
      <c r="R68" s="13">
        <f t="shared" si="29"/>
        <v>1049.411474</v>
      </c>
    </row>
    <row r="69" spans="1:18" ht="15">
      <c r="A69" s="24" t="s">
        <v>3</v>
      </c>
      <c r="B69" s="51">
        <v>2002</v>
      </c>
      <c r="C69" s="64" t="s">
        <v>40</v>
      </c>
      <c r="D69" s="36">
        <f>'C-2 Customer Count'!H9</f>
        <v>3440</v>
      </c>
      <c r="E69" s="36">
        <v>1</v>
      </c>
      <c r="F69" s="38"/>
      <c r="G69" s="39">
        <f>'C-1 Monthly Volumes'!L48</f>
        <v>577</v>
      </c>
      <c r="H69" s="14">
        <v>0.0585</v>
      </c>
      <c r="I69" s="6">
        <v>0.121564</v>
      </c>
      <c r="J69" s="13">
        <f t="shared" si="25"/>
        <v>271.382428</v>
      </c>
      <c r="K69" s="14">
        <v>0.1677</v>
      </c>
      <c r="L69" s="6">
        <v>0.348598</v>
      </c>
      <c r="M69" s="13">
        <f t="shared" si="26"/>
        <v>778.0290459999999</v>
      </c>
      <c r="N69" s="17"/>
      <c r="O69" s="13">
        <f t="shared" si="27"/>
        <v>0</v>
      </c>
      <c r="P69" s="17">
        <v>0</v>
      </c>
      <c r="Q69" s="13">
        <f t="shared" si="28"/>
        <v>0</v>
      </c>
      <c r="R69" s="13">
        <f t="shared" si="29"/>
        <v>1049.411474</v>
      </c>
    </row>
    <row r="70" spans="1:18" ht="15">
      <c r="A70" s="24" t="s">
        <v>3</v>
      </c>
      <c r="B70" s="51">
        <v>2002</v>
      </c>
      <c r="C70" s="64" t="s">
        <v>41</v>
      </c>
      <c r="D70" s="36">
        <f>'C-2 Customer Count'!H10</f>
        <v>3440</v>
      </c>
      <c r="E70" s="36">
        <v>1</v>
      </c>
      <c r="F70" s="38"/>
      <c r="G70" s="39">
        <f>'C-1 Monthly Volumes'!L49</f>
        <v>577</v>
      </c>
      <c r="H70" s="14">
        <v>0.0585</v>
      </c>
      <c r="I70" s="6">
        <v>0.121564</v>
      </c>
      <c r="J70" s="13">
        <f t="shared" si="25"/>
        <v>271.382428</v>
      </c>
      <c r="K70" s="14">
        <v>0.1677</v>
      </c>
      <c r="L70" s="6">
        <v>0.348598</v>
      </c>
      <c r="M70" s="13">
        <f t="shared" si="26"/>
        <v>778.0290459999999</v>
      </c>
      <c r="N70" s="17"/>
      <c r="O70" s="13">
        <f t="shared" si="27"/>
        <v>0</v>
      </c>
      <c r="P70" s="17">
        <v>0</v>
      </c>
      <c r="Q70" s="13">
        <f t="shared" si="28"/>
        <v>0</v>
      </c>
      <c r="R70" s="13">
        <f t="shared" si="29"/>
        <v>1049.411474</v>
      </c>
    </row>
    <row r="71" spans="1:18" ht="15">
      <c r="A71" s="24" t="s">
        <v>3</v>
      </c>
      <c r="B71" s="51">
        <v>2002</v>
      </c>
      <c r="C71" s="64" t="s">
        <v>42</v>
      </c>
      <c r="D71" s="36">
        <f>'C-2 Customer Count'!H11</f>
        <v>3440</v>
      </c>
      <c r="E71" s="36">
        <v>1</v>
      </c>
      <c r="F71" s="38"/>
      <c r="G71" s="39">
        <f>'C-1 Monthly Volumes'!L50</f>
        <v>577</v>
      </c>
      <c r="H71" s="14">
        <v>0.0585</v>
      </c>
      <c r="I71" s="6">
        <v>0.121564</v>
      </c>
      <c r="J71" s="13">
        <f t="shared" si="25"/>
        <v>271.382428</v>
      </c>
      <c r="K71" s="14">
        <v>0.1677</v>
      </c>
      <c r="L71" s="6">
        <v>0.348598</v>
      </c>
      <c r="M71" s="13">
        <f t="shared" si="26"/>
        <v>778.0290459999999</v>
      </c>
      <c r="N71" s="17"/>
      <c r="O71" s="13">
        <f t="shared" si="27"/>
        <v>0</v>
      </c>
      <c r="P71" s="17">
        <v>0</v>
      </c>
      <c r="Q71" s="13">
        <f t="shared" si="28"/>
        <v>0</v>
      </c>
      <c r="R71" s="13">
        <f t="shared" si="29"/>
        <v>1049.411474</v>
      </c>
    </row>
    <row r="72" spans="1:18" ht="15">
      <c r="A72" s="24" t="s">
        <v>3</v>
      </c>
      <c r="B72" s="51">
        <v>2002</v>
      </c>
      <c r="C72" s="64" t="s">
        <v>43</v>
      </c>
      <c r="D72" s="36">
        <f>'C-2 Customer Count'!H12</f>
        <v>3440</v>
      </c>
      <c r="E72" s="36">
        <v>1</v>
      </c>
      <c r="F72" s="38"/>
      <c r="G72" s="39">
        <f>'C-1 Monthly Volumes'!L51</f>
        <v>0</v>
      </c>
      <c r="H72" s="14">
        <v>0.0585</v>
      </c>
      <c r="I72" s="6">
        <v>0.121564</v>
      </c>
      <c r="J72" s="13">
        <f t="shared" si="25"/>
        <v>201.24</v>
      </c>
      <c r="K72" s="14">
        <v>0.1677</v>
      </c>
      <c r="L72" s="6">
        <v>0.348598</v>
      </c>
      <c r="M72" s="13">
        <f t="shared" si="26"/>
        <v>576.8879999999999</v>
      </c>
      <c r="N72" s="17"/>
      <c r="O72" s="13">
        <f t="shared" si="27"/>
        <v>0</v>
      </c>
      <c r="P72" s="17">
        <v>0</v>
      </c>
      <c r="Q72" s="13">
        <f t="shared" si="28"/>
        <v>0</v>
      </c>
      <c r="R72" s="13">
        <f t="shared" si="29"/>
        <v>778.1279999999999</v>
      </c>
    </row>
    <row r="73" spans="1:18" ht="15.75" thickBot="1">
      <c r="A73" s="24" t="s">
        <v>3</v>
      </c>
      <c r="B73" s="51">
        <v>2002</v>
      </c>
      <c r="C73" s="64" t="s">
        <v>44</v>
      </c>
      <c r="D73" s="36">
        <f>'C-2 Customer Count'!H13</f>
        <v>3459</v>
      </c>
      <c r="E73" s="36">
        <v>1</v>
      </c>
      <c r="F73" s="38"/>
      <c r="G73" s="39">
        <f>'C-1 Monthly Volumes'!L52</f>
        <v>1154</v>
      </c>
      <c r="H73" s="14">
        <v>0.0585</v>
      </c>
      <c r="I73" s="6">
        <v>0.121564</v>
      </c>
      <c r="J73" s="13">
        <f t="shared" si="25"/>
        <v>342.63635600000003</v>
      </c>
      <c r="K73" s="14">
        <v>0.1677</v>
      </c>
      <c r="L73" s="6">
        <v>0.348598</v>
      </c>
      <c r="M73" s="13">
        <f t="shared" si="26"/>
        <v>982.356392</v>
      </c>
      <c r="N73" s="17"/>
      <c r="O73" s="13">
        <f t="shared" si="27"/>
        <v>0</v>
      </c>
      <c r="P73" s="17">
        <v>0</v>
      </c>
      <c r="Q73" s="13">
        <f t="shared" si="28"/>
        <v>0</v>
      </c>
      <c r="R73" s="13">
        <f t="shared" si="29"/>
        <v>1324.9927480000001</v>
      </c>
    </row>
    <row r="74" spans="1:18" ht="15.75" thickBot="1">
      <c r="A74" s="53" t="s">
        <v>55</v>
      </c>
      <c r="B74" s="54"/>
      <c r="C74" s="55"/>
      <c r="D74" s="56">
        <f>SUM(D64:D73)</f>
        <v>34426</v>
      </c>
      <c r="E74" s="56"/>
      <c r="F74" s="56">
        <f>SUM(F64:F73)</f>
        <v>0</v>
      </c>
      <c r="G74" s="56">
        <f>SUM(G64:G73)</f>
        <v>5195.6</v>
      </c>
      <c r="H74" s="58"/>
      <c r="I74" s="59"/>
      <c r="J74" s="60">
        <f>SUM(J64:J73)</f>
        <v>2645.5189184</v>
      </c>
      <c r="K74" s="58"/>
      <c r="L74" s="59"/>
      <c r="M74" s="60">
        <f>SUM(M64:M73)</f>
        <v>7584.415968799998</v>
      </c>
      <c r="N74" s="61"/>
      <c r="O74" s="60">
        <f>SUM(O64:O73)</f>
        <v>0</v>
      </c>
      <c r="P74" s="61"/>
      <c r="Q74" s="60">
        <f>SUM(Q64:Q73)</f>
        <v>0</v>
      </c>
      <c r="R74" s="60">
        <f>SUM(R64:R73)</f>
        <v>10229.934887200003</v>
      </c>
    </row>
    <row r="75" spans="1:18" ht="15">
      <c r="A75" s="15"/>
      <c r="B75" s="3"/>
      <c r="C75" s="3"/>
      <c r="D75" s="62"/>
      <c r="E75" s="62"/>
      <c r="F75" s="62"/>
      <c r="G75" s="63"/>
      <c r="H75" s="14"/>
      <c r="I75" s="6"/>
      <c r="J75" s="13"/>
      <c r="K75" s="14"/>
      <c r="L75" s="6"/>
      <c r="M75" s="13"/>
      <c r="N75" s="17"/>
      <c r="O75" s="13"/>
      <c r="P75" s="17"/>
      <c r="Q75" s="13"/>
      <c r="R75" s="13"/>
    </row>
    <row r="76" spans="1:18" s="16" customFormat="1" ht="15.75" thickBot="1">
      <c r="A76" s="109" t="s">
        <v>17</v>
      </c>
      <c r="B76" s="110"/>
      <c r="C76" s="110"/>
      <c r="D76" s="111"/>
      <c r="E76" s="111"/>
      <c r="F76" s="111">
        <f>F13+F25+F38+F50+F62+F74</f>
        <v>105702474.6</v>
      </c>
      <c r="G76" s="111">
        <f>G13+G25+G38+G50+G62+G74</f>
        <v>331422.43999999994</v>
      </c>
      <c r="H76" s="109"/>
      <c r="I76" s="110"/>
      <c r="J76" s="112">
        <f>J13+J25+J38+J50+J62+J74</f>
        <v>239391.84580897997</v>
      </c>
      <c r="K76" s="109"/>
      <c r="L76" s="110"/>
      <c r="M76" s="112">
        <f>M13+M25+M38+M50+M62+M74</f>
        <v>686498.0572433398</v>
      </c>
      <c r="N76" s="109"/>
      <c r="O76" s="112">
        <f>O13+O25+O38+O50+O62+O74</f>
        <v>0</v>
      </c>
      <c r="P76" s="109"/>
      <c r="Q76" s="112">
        <f>Q13+Q25+Q38+Q50+Q62+Q74</f>
        <v>0</v>
      </c>
      <c r="R76" s="112">
        <f>R13+R25+R38+R50+R62+R74</f>
        <v>925889.9030523201</v>
      </c>
    </row>
    <row r="77" spans="1:18" ht="15">
      <c r="A77" s="3"/>
      <c r="B77" s="3"/>
      <c r="C77" s="3"/>
      <c r="D77" s="9"/>
      <c r="E77" s="9"/>
      <c r="F77" s="9"/>
      <c r="G77" s="9"/>
      <c r="H77" s="3"/>
      <c r="I77" s="3"/>
      <c r="J77" s="4"/>
      <c r="K77" s="3"/>
      <c r="L77" s="3"/>
      <c r="M77" s="4"/>
      <c r="N77" s="4"/>
      <c r="O77" s="4"/>
      <c r="P77" s="4"/>
      <c r="Q77" s="4"/>
      <c r="R77" s="4"/>
    </row>
    <row r="81" spans="10:11" ht="15">
      <c r="J81" s="8"/>
      <c r="K81" s="2"/>
    </row>
    <row r="82" spans="10:11" ht="15">
      <c r="J82" s="8"/>
      <c r="K82" s="2"/>
    </row>
    <row r="83" spans="10:11" ht="15">
      <c r="J83" s="8"/>
      <c r="K83" s="2"/>
    </row>
    <row r="84" spans="10:11" ht="15">
      <c r="J84" s="8"/>
      <c r="K84" s="2"/>
    </row>
  </sheetData>
  <sheetProtection/>
  <printOptions horizontalCentered="1"/>
  <pageMargins left="0.5118110236220472" right="0.5118110236220472" top="0.9448818897637796" bottom="0.7086614173228347" header="0.31496062992125984" footer="0.31496062992125984"/>
  <pageSetup fitToHeight="2" horizontalDpi="600" verticalDpi="600" orientation="landscape" scale="75" r:id="rId1"/>
  <headerFooter>
    <oddHeader>&amp;ROrillia Power Distribution Corporation
EB-2011-0191
Filed: October 28, 2011
Appendix B</oddHeader>
    <oddFooter>&amp;C&amp;F
&amp;A&amp;RPage &amp;P
of &amp;N</oddFooter>
  </headerFooter>
  <rowBreaks count="1" manualBreakCount="1">
    <brk id="3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R96"/>
  <sheetViews>
    <sheetView showGridLines="0" zoomScalePageLayoutView="0" workbookViewId="0" topLeftCell="A1">
      <selection activeCell="H29" sqref="A1:H29"/>
    </sheetView>
  </sheetViews>
  <sheetFormatPr defaultColWidth="9.140625" defaultRowHeight="15" outlineLevelCol="1"/>
  <cols>
    <col min="1" max="1" width="28.140625" style="0" customWidth="1"/>
    <col min="2" max="2" width="7.57421875" style="0" customWidth="1"/>
    <col min="3" max="3" width="8.57421875" style="0" bestFit="1" customWidth="1"/>
    <col min="4" max="4" width="10.421875" style="0" bestFit="1" customWidth="1"/>
    <col min="5" max="5" width="7.57421875" style="0" customWidth="1"/>
    <col min="6" max="6" width="12.57421875" style="0" bestFit="1" customWidth="1"/>
    <col min="7" max="7" width="9.00390625" style="0" bestFit="1" customWidth="1"/>
    <col min="8" max="8" width="12.140625" style="0" customWidth="1"/>
    <col min="9" max="9" width="12.7109375" style="0" customWidth="1"/>
    <col min="10" max="10" width="13.140625" style="0" customWidth="1"/>
    <col min="11" max="11" width="13.421875" style="0" customWidth="1"/>
    <col min="12" max="12" width="11.421875" style="0" customWidth="1"/>
    <col min="13" max="13" width="14.28125" style="0" bestFit="1" customWidth="1"/>
    <col min="14" max="14" width="10.421875" style="0" hidden="1" customWidth="1" outlineLevel="1"/>
    <col min="15" max="15" width="14.00390625" style="0" hidden="1" customWidth="1" outlineLevel="1"/>
    <col min="16" max="16" width="9.00390625" style="0" hidden="1" customWidth="1" outlineLevel="1"/>
    <col min="17" max="17" width="10.140625" style="0" hidden="1" customWidth="1" outlineLevel="1"/>
    <col min="18" max="18" width="13.8515625" style="0" customWidth="1" collapsed="1"/>
  </cols>
  <sheetData>
    <row r="1" s="1" customFormat="1" ht="15.75" thickBot="1"/>
    <row r="2" spans="1:18" s="20" customFormat="1" ht="75">
      <c r="A2" s="34" t="s">
        <v>19</v>
      </c>
      <c r="B2" s="50"/>
      <c r="C2" s="245" t="s">
        <v>18</v>
      </c>
      <c r="D2" s="245" t="s">
        <v>51</v>
      </c>
      <c r="E2" s="245" t="s">
        <v>22</v>
      </c>
      <c r="F2" s="245" t="s">
        <v>115</v>
      </c>
      <c r="G2" s="246" t="s">
        <v>116</v>
      </c>
      <c r="H2" s="247" t="s">
        <v>7</v>
      </c>
      <c r="I2" s="248" t="s">
        <v>14</v>
      </c>
      <c r="J2" s="249" t="s">
        <v>8</v>
      </c>
      <c r="K2" s="247" t="s">
        <v>78</v>
      </c>
      <c r="L2" s="248" t="s">
        <v>79</v>
      </c>
      <c r="M2" s="249" t="s">
        <v>80</v>
      </c>
      <c r="N2" s="247" t="s">
        <v>12</v>
      </c>
      <c r="O2" s="249" t="s">
        <v>13</v>
      </c>
      <c r="P2" s="247" t="s">
        <v>15</v>
      </c>
      <c r="Q2" s="249" t="s">
        <v>16</v>
      </c>
      <c r="R2" s="249" t="s">
        <v>4</v>
      </c>
    </row>
    <row r="3" spans="1:18" ht="15">
      <c r="A3" s="24" t="s">
        <v>0</v>
      </c>
      <c r="B3" s="51">
        <v>2003</v>
      </c>
      <c r="C3" s="35" t="s">
        <v>34</v>
      </c>
      <c r="D3" s="36">
        <f>'C-2 Customer Count'!C14</f>
        <v>10539</v>
      </c>
      <c r="E3" s="36">
        <v>1</v>
      </c>
      <c r="F3" s="36">
        <f>'C-1 Monthly Volumes'!D4</f>
        <v>10949282</v>
      </c>
      <c r="G3" s="37"/>
      <c r="H3" s="12">
        <v>0.7352</v>
      </c>
      <c r="I3" s="6">
        <v>0.000474</v>
      </c>
      <c r="J3" s="13">
        <f>D3*E3*H3+(F3+G3)*I3</f>
        <v>12938.232467999998</v>
      </c>
      <c r="K3" s="12">
        <v>2.1082</v>
      </c>
      <c r="L3" s="6">
        <v>0.001359</v>
      </c>
      <c r="M3" s="13">
        <f>D3*E3*K3+(F3+G3)*L3</f>
        <v>37098.394038</v>
      </c>
      <c r="N3" s="17"/>
      <c r="O3" s="13">
        <f>(F3+G3)*N3</f>
        <v>0</v>
      </c>
      <c r="P3" s="17">
        <v>0</v>
      </c>
      <c r="Q3" s="13">
        <f>(F3+G3)*P3</f>
        <v>0</v>
      </c>
      <c r="R3" s="13">
        <f>J3+M3+O3+Q3</f>
        <v>50036.626506</v>
      </c>
    </row>
    <row r="4" spans="1:18" ht="15">
      <c r="A4" s="24" t="s">
        <v>0</v>
      </c>
      <c r="B4" s="51">
        <v>2003</v>
      </c>
      <c r="C4" s="35" t="s">
        <v>35</v>
      </c>
      <c r="D4" s="36">
        <f>'C-2 Customer Count'!C15</f>
        <v>10545</v>
      </c>
      <c r="E4" s="36">
        <v>1</v>
      </c>
      <c r="F4" s="36">
        <f>'C-1 Monthly Volumes'!D5</f>
        <v>14612863</v>
      </c>
      <c r="G4" s="37"/>
      <c r="H4" s="12">
        <v>0.7352</v>
      </c>
      <c r="I4" s="6">
        <v>0.000474</v>
      </c>
      <c r="J4" s="13">
        <f aca="true" t="shared" si="0" ref="J4:J9">D4*E4*H4+(F4+G4)*I4</f>
        <v>14679.181062</v>
      </c>
      <c r="K4" s="12">
        <v>2.1082</v>
      </c>
      <c r="L4" s="6">
        <v>0.001359</v>
      </c>
      <c r="M4" s="13">
        <f aca="true" t="shared" si="1" ref="M4:M9">D4*E4*K4+(F4+G4)*L4</f>
        <v>42089.849817</v>
      </c>
      <c r="N4" s="17"/>
      <c r="O4" s="13">
        <f aca="true" t="shared" si="2" ref="O4:O9">(F4+G4)*N4</f>
        <v>0</v>
      </c>
      <c r="P4" s="17">
        <v>0</v>
      </c>
      <c r="Q4" s="13">
        <f aca="true" t="shared" si="3" ref="Q4:Q9">(F4+G4)*P4</f>
        <v>0</v>
      </c>
      <c r="R4" s="13">
        <f aca="true" t="shared" si="4" ref="R4:R14">J4+M4+O4+Q4</f>
        <v>56769.030879</v>
      </c>
    </row>
    <row r="5" spans="1:18" ht="15">
      <c r="A5" s="24" t="s">
        <v>0</v>
      </c>
      <c r="B5" s="51">
        <v>2003</v>
      </c>
      <c r="C5" s="35" t="s">
        <v>36</v>
      </c>
      <c r="D5" s="36">
        <f>'C-2 Customer Count'!C16</f>
        <v>10551</v>
      </c>
      <c r="E5" s="36">
        <v>1</v>
      </c>
      <c r="F5" s="36">
        <f>'C-1 Monthly Volumes'!D6</f>
        <v>9348065</v>
      </c>
      <c r="G5" s="37"/>
      <c r="H5" s="12">
        <v>0.7352</v>
      </c>
      <c r="I5" s="6">
        <v>0.000474</v>
      </c>
      <c r="J5" s="13">
        <f t="shared" si="0"/>
        <v>12188.07801</v>
      </c>
      <c r="K5" s="12">
        <v>2.1082</v>
      </c>
      <c r="L5" s="6">
        <v>0.001359</v>
      </c>
      <c r="M5" s="13">
        <f t="shared" si="1"/>
        <v>34947.638535</v>
      </c>
      <c r="N5" s="17"/>
      <c r="O5" s="13">
        <f t="shared" si="2"/>
        <v>0</v>
      </c>
      <c r="P5" s="17">
        <v>0</v>
      </c>
      <c r="Q5" s="13">
        <f t="shared" si="3"/>
        <v>0</v>
      </c>
      <c r="R5" s="13">
        <f t="shared" si="4"/>
        <v>47135.716544999996</v>
      </c>
    </row>
    <row r="6" spans="1:18" ht="15">
      <c r="A6" s="24" t="s">
        <v>0</v>
      </c>
      <c r="B6" s="51">
        <v>2003</v>
      </c>
      <c r="C6" s="35" t="s">
        <v>37</v>
      </c>
      <c r="D6" s="36">
        <f>'C-2 Customer Count'!C17</f>
        <v>10561</v>
      </c>
      <c r="E6" s="36">
        <v>1</v>
      </c>
      <c r="F6" s="36">
        <f>'C-1 Monthly Volumes'!D7</f>
        <v>11457888</v>
      </c>
      <c r="G6" s="37"/>
      <c r="H6" s="12">
        <v>0.7352</v>
      </c>
      <c r="I6" s="6">
        <v>0.000474</v>
      </c>
      <c r="J6" s="13">
        <f t="shared" si="0"/>
        <v>13195.486111999999</v>
      </c>
      <c r="K6" s="12">
        <v>2.1082</v>
      </c>
      <c r="L6" s="6">
        <v>0.001359</v>
      </c>
      <c r="M6" s="13">
        <f t="shared" si="1"/>
        <v>37835.969992</v>
      </c>
      <c r="N6" s="17"/>
      <c r="O6" s="13">
        <f t="shared" si="2"/>
        <v>0</v>
      </c>
      <c r="P6" s="17">
        <v>0</v>
      </c>
      <c r="Q6" s="13">
        <f t="shared" si="3"/>
        <v>0</v>
      </c>
      <c r="R6" s="13">
        <f t="shared" si="4"/>
        <v>51031.456104</v>
      </c>
    </row>
    <row r="7" spans="1:18" ht="15">
      <c r="A7" s="24" t="s">
        <v>0</v>
      </c>
      <c r="B7" s="51">
        <v>2003</v>
      </c>
      <c r="C7" s="35" t="s">
        <v>30</v>
      </c>
      <c r="D7" s="36">
        <f>'C-2 Customer Count'!C18</f>
        <v>10579</v>
      </c>
      <c r="E7" s="36">
        <v>1</v>
      </c>
      <c r="F7" s="36">
        <f>'C-1 Monthly Volumes'!D8</f>
        <v>10024318</v>
      </c>
      <c r="G7" s="37"/>
      <c r="H7" s="12">
        <v>0.7352</v>
      </c>
      <c r="I7" s="6">
        <v>0.000474</v>
      </c>
      <c r="J7" s="13">
        <f t="shared" si="0"/>
        <v>12529.207531999999</v>
      </c>
      <c r="K7" s="12">
        <v>2.1082</v>
      </c>
      <c r="L7" s="6">
        <v>0.001359</v>
      </c>
      <c r="M7" s="13">
        <f t="shared" si="1"/>
        <v>35925.695962</v>
      </c>
      <c r="N7" s="17"/>
      <c r="O7" s="13">
        <f t="shared" si="2"/>
        <v>0</v>
      </c>
      <c r="P7" s="17">
        <v>0</v>
      </c>
      <c r="Q7" s="13">
        <f t="shared" si="3"/>
        <v>0</v>
      </c>
      <c r="R7" s="13">
        <f t="shared" si="4"/>
        <v>48454.903494</v>
      </c>
    </row>
    <row r="8" spans="1:18" ht="15">
      <c r="A8" s="24" t="s">
        <v>0</v>
      </c>
      <c r="B8" s="51">
        <v>2003</v>
      </c>
      <c r="C8" s="35" t="s">
        <v>38</v>
      </c>
      <c r="D8" s="36">
        <f>'C-2 Customer Count'!C19</f>
        <v>10591</v>
      </c>
      <c r="E8" s="36">
        <v>1</v>
      </c>
      <c r="F8" s="36">
        <f>'C-1 Monthly Volumes'!D9</f>
        <v>8860056</v>
      </c>
      <c r="G8" s="37"/>
      <c r="H8" s="12">
        <v>0.7352</v>
      </c>
      <c r="I8" s="6">
        <v>0.000474</v>
      </c>
      <c r="J8" s="13">
        <f t="shared" si="0"/>
        <v>11986.169743999999</v>
      </c>
      <c r="K8" s="12">
        <v>2.1082</v>
      </c>
      <c r="L8" s="6">
        <v>0.001359</v>
      </c>
      <c r="M8" s="13">
        <f t="shared" si="1"/>
        <v>34368.762304</v>
      </c>
      <c r="N8" s="17"/>
      <c r="O8" s="13">
        <f t="shared" si="2"/>
        <v>0</v>
      </c>
      <c r="P8" s="17">
        <v>0</v>
      </c>
      <c r="Q8" s="13">
        <f t="shared" si="3"/>
        <v>0</v>
      </c>
      <c r="R8" s="13">
        <f t="shared" si="4"/>
        <v>46354.932048</v>
      </c>
    </row>
    <row r="9" spans="1:18" ht="15">
      <c r="A9" s="24" t="s">
        <v>0</v>
      </c>
      <c r="B9" s="51">
        <v>2003</v>
      </c>
      <c r="C9" s="35" t="s">
        <v>39</v>
      </c>
      <c r="D9" s="36">
        <f>'C-2 Customer Count'!C20</f>
        <v>10600</v>
      </c>
      <c r="E9" s="36">
        <v>1</v>
      </c>
      <c r="F9" s="36">
        <f>'C-1 Monthly Volumes'!D10</f>
        <v>6851400</v>
      </c>
      <c r="G9" s="37"/>
      <c r="H9" s="12">
        <v>0.7352</v>
      </c>
      <c r="I9" s="6">
        <v>0.000474</v>
      </c>
      <c r="J9" s="13">
        <f t="shared" si="0"/>
        <v>11040.6836</v>
      </c>
      <c r="K9" s="12">
        <v>2.1082</v>
      </c>
      <c r="L9" s="6">
        <v>0.001359</v>
      </c>
      <c r="M9" s="13">
        <f t="shared" si="1"/>
        <v>31657.9726</v>
      </c>
      <c r="N9" s="17"/>
      <c r="O9" s="13">
        <f t="shared" si="2"/>
        <v>0</v>
      </c>
      <c r="P9" s="17">
        <v>0</v>
      </c>
      <c r="Q9" s="13">
        <f t="shared" si="3"/>
        <v>0</v>
      </c>
      <c r="R9" s="13">
        <f t="shared" si="4"/>
        <v>42698.6562</v>
      </c>
    </row>
    <row r="10" spans="1:18" ht="15">
      <c r="A10" s="24" t="s">
        <v>0</v>
      </c>
      <c r="B10" s="51">
        <v>2003</v>
      </c>
      <c r="C10" s="35" t="s">
        <v>40</v>
      </c>
      <c r="D10" s="36">
        <f>'C-2 Customer Count'!C21</f>
        <v>10602</v>
      </c>
      <c r="E10" s="36">
        <v>1</v>
      </c>
      <c r="F10" s="36">
        <f>'C-1 Monthly Volumes'!D11</f>
        <v>7619955</v>
      </c>
      <c r="G10" s="37"/>
      <c r="H10" s="12">
        <v>0.7352</v>
      </c>
      <c r="I10" s="6">
        <v>0.000474</v>
      </c>
      <c r="J10" s="13">
        <f>D10*E10*H10+(F10+G10)*I10</f>
        <v>11406.449069999999</v>
      </c>
      <c r="K10" s="12">
        <v>2.1082</v>
      </c>
      <c r="L10" s="6">
        <v>0.001359</v>
      </c>
      <c r="M10" s="13">
        <f>D10*E10*K10+(F10+G10)*L10</f>
        <v>32706.655245</v>
      </c>
      <c r="N10" s="17"/>
      <c r="O10" s="13">
        <f>(F10+G10)*N10</f>
        <v>0</v>
      </c>
      <c r="P10" s="17">
        <v>0</v>
      </c>
      <c r="Q10" s="13">
        <f>(F10+G10)*P10</f>
        <v>0</v>
      </c>
      <c r="R10" s="13">
        <f t="shared" si="4"/>
        <v>44113.104315000004</v>
      </c>
    </row>
    <row r="11" spans="1:18" ht="15">
      <c r="A11" s="24" t="s">
        <v>0</v>
      </c>
      <c r="B11" s="51">
        <v>2003</v>
      </c>
      <c r="C11" s="35" t="s">
        <v>41</v>
      </c>
      <c r="D11" s="36">
        <f>'C-2 Customer Count'!C22</f>
        <v>10634</v>
      </c>
      <c r="E11" s="36">
        <v>1</v>
      </c>
      <c r="F11" s="36">
        <f>'C-1 Monthly Volumes'!D12</f>
        <v>7899958</v>
      </c>
      <c r="G11" s="37"/>
      <c r="H11" s="12">
        <v>0.7352</v>
      </c>
      <c r="I11" s="6">
        <v>0.000474</v>
      </c>
      <c r="J11" s="13">
        <f>D11*E11*H11+(F11+G11)*I11</f>
        <v>11562.696892</v>
      </c>
      <c r="K11" s="12">
        <v>2.1082</v>
      </c>
      <c r="L11" s="6">
        <v>0.001359</v>
      </c>
      <c r="M11" s="13">
        <f>D11*E11*K11+(F11+G11)*L11</f>
        <v>33154.641722</v>
      </c>
      <c r="N11" s="17"/>
      <c r="O11" s="13">
        <f>(F11+G11)*N11</f>
        <v>0</v>
      </c>
      <c r="P11" s="17">
        <v>0</v>
      </c>
      <c r="Q11" s="13">
        <f>(F11+G11)*P11</f>
        <v>0</v>
      </c>
      <c r="R11" s="13">
        <f t="shared" si="4"/>
        <v>44717.338614</v>
      </c>
    </row>
    <row r="12" spans="1:18" ht="15">
      <c r="A12" s="24" t="s">
        <v>0</v>
      </c>
      <c r="B12" s="51">
        <v>2003</v>
      </c>
      <c r="C12" s="35" t="s">
        <v>42</v>
      </c>
      <c r="D12" s="36">
        <f>'C-2 Customer Count'!C23</f>
        <v>10646</v>
      </c>
      <c r="E12" s="36">
        <v>1</v>
      </c>
      <c r="F12" s="36">
        <f>'C-1 Monthly Volumes'!D13</f>
        <v>7151067</v>
      </c>
      <c r="G12" s="37"/>
      <c r="H12" s="12">
        <v>0.7352</v>
      </c>
      <c r="I12" s="6">
        <v>0.000474</v>
      </c>
      <c r="J12" s="13">
        <f>D12*E12*H12+(F12+G12)*I12</f>
        <v>11216.544957999999</v>
      </c>
      <c r="K12" s="12">
        <v>2.1082</v>
      </c>
      <c r="L12" s="6">
        <v>0.001359</v>
      </c>
      <c r="M12" s="13">
        <f>D12*E12*K12+(F12+G12)*L12</f>
        <v>32162.197253</v>
      </c>
      <c r="N12" s="17"/>
      <c r="O12" s="13">
        <f>(F12+G12)*N12</f>
        <v>0</v>
      </c>
      <c r="P12" s="17">
        <v>0</v>
      </c>
      <c r="Q12" s="13">
        <f>(F12+G12)*P12</f>
        <v>0</v>
      </c>
      <c r="R12" s="13">
        <f t="shared" si="4"/>
        <v>43378.742211</v>
      </c>
    </row>
    <row r="13" spans="1:18" ht="15">
      <c r="A13" s="24" t="s">
        <v>0</v>
      </c>
      <c r="B13" s="51">
        <v>2003</v>
      </c>
      <c r="C13" s="35" t="s">
        <v>43</v>
      </c>
      <c r="D13" s="36">
        <f>'C-2 Customer Count'!C24</f>
        <v>10644</v>
      </c>
      <c r="E13" s="36">
        <v>1</v>
      </c>
      <c r="F13" s="36">
        <f>'C-1 Monthly Volumes'!D14</f>
        <v>6791186</v>
      </c>
      <c r="G13" s="37"/>
      <c r="H13" s="12">
        <v>0.7352</v>
      </c>
      <c r="I13" s="6">
        <v>0.000474</v>
      </c>
      <c r="J13" s="13">
        <f>D13*E13*H13+(F13+G13)*I13</f>
        <v>11044.490964</v>
      </c>
      <c r="K13" s="12">
        <v>2.1082</v>
      </c>
      <c r="L13" s="6">
        <v>0.001359</v>
      </c>
      <c r="M13" s="13">
        <f>D13*E13*K13+(F13+G13)*L13</f>
        <v>31668.902574</v>
      </c>
      <c r="N13" s="17"/>
      <c r="O13" s="13">
        <f>(F13+G13)*N13</f>
        <v>0</v>
      </c>
      <c r="P13" s="17">
        <v>0</v>
      </c>
      <c r="Q13" s="13">
        <f>(F13+G13)*P13</f>
        <v>0</v>
      </c>
      <c r="R13" s="13">
        <f t="shared" si="4"/>
        <v>42713.393538000004</v>
      </c>
    </row>
    <row r="14" spans="1:18" ht="15.75" thickBot="1">
      <c r="A14" s="24" t="s">
        <v>0</v>
      </c>
      <c r="B14" s="51">
        <v>2003</v>
      </c>
      <c r="C14" s="35" t="s">
        <v>44</v>
      </c>
      <c r="D14" s="36">
        <f>'C-2 Customer Count'!C25</f>
        <v>10651</v>
      </c>
      <c r="E14" s="36">
        <v>1</v>
      </c>
      <c r="F14" s="36">
        <f>'C-1 Monthly Volumes'!D15</f>
        <v>9362496</v>
      </c>
      <c r="G14" s="37"/>
      <c r="H14" s="12">
        <v>0.7352</v>
      </c>
      <c r="I14" s="6">
        <v>0.000474</v>
      </c>
      <c r="J14" s="13">
        <f>D14*E14*H14+(F14+G14)*I14</f>
        <v>12268.438304</v>
      </c>
      <c r="K14" s="12">
        <v>2.1082</v>
      </c>
      <c r="L14" s="6">
        <v>0.001359</v>
      </c>
      <c r="M14" s="13">
        <f>D14*E14*K14+(F14+G14)*L14</f>
        <v>35178.070264</v>
      </c>
      <c r="N14" s="17"/>
      <c r="O14" s="13">
        <f>(F14+G14)*N14</f>
        <v>0</v>
      </c>
      <c r="P14" s="17">
        <v>0</v>
      </c>
      <c r="Q14" s="13">
        <f>(F14+G14)*P14</f>
        <v>0</v>
      </c>
      <c r="R14" s="13">
        <f t="shared" si="4"/>
        <v>47446.508568000005</v>
      </c>
    </row>
    <row r="15" spans="1:18" ht="15.75" thickBot="1">
      <c r="A15" s="53" t="s">
        <v>52</v>
      </c>
      <c r="B15" s="54"/>
      <c r="C15" s="55"/>
      <c r="D15" s="56">
        <f>SUM(D3:D14)</f>
        <v>127143</v>
      </c>
      <c r="E15" s="56"/>
      <c r="F15" s="56">
        <f>SUM(F3:F14)</f>
        <v>110928534</v>
      </c>
      <c r="G15" s="56">
        <f>SUM(G3:G14)</f>
        <v>0</v>
      </c>
      <c r="H15" s="58"/>
      <c r="I15" s="59"/>
      <c r="J15" s="60">
        <f>SUM(J3:J14)</f>
        <v>146055.658716</v>
      </c>
      <c r="K15" s="58"/>
      <c r="L15" s="59"/>
      <c r="M15" s="60">
        <f>SUM(M3:M14)</f>
        <v>418794.75030599994</v>
      </c>
      <c r="N15" s="61"/>
      <c r="O15" s="60">
        <f>SUM(O3:O14)</f>
        <v>0</v>
      </c>
      <c r="P15" s="61"/>
      <c r="Q15" s="60">
        <f>SUM(Q3:Q14)</f>
        <v>0</v>
      </c>
      <c r="R15" s="60">
        <f>SUM(R3:R14)</f>
        <v>564850.409022</v>
      </c>
    </row>
    <row r="16" spans="1:18" ht="15">
      <c r="A16" s="24"/>
      <c r="B16" s="51"/>
      <c r="C16" s="35"/>
      <c r="D16" s="36"/>
      <c r="E16" s="36"/>
      <c r="F16" s="36"/>
      <c r="G16" s="37"/>
      <c r="H16" s="12"/>
      <c r="I16" s="6"/>
      <c r="J16" s="13"/>
      <c r="K16" s="12"/>
      <c r="L16" s="6"/>
      <c r="M16" s="13"/>
      <c r="N16" s="17"/>
      <c r="O16" s="13"/>
      <c r="P16" s="17"/>
      <c r="Q16" s="13"/>
      <c r="R16" s="13"/>
    </row>
    <row r="17" spans="1:18" ht="15">
      <c r="A17" s="24" t="s">
        <v>1</v>
      </c>
      <c r="B17" s="51">
        <v>2003</v>
      </c>
      <c r="C17" s="35" t="s">
        <v>34</v>
      </c>
      <c r="D17" s="36">
        <f>'C-2 Customer Count'!D14</f>
        <v>1458</v>
      </c>
      <c r="E17" s="36">
        <v>1</v>
      </c>
      <c r="F17" s="36">
        <f>'C-1 Monthly Volumes'!D22</f>
        <v>4523595</v>
      </c>
      <c r="G17" s="37"/>
      <c r="H17" s="12">
        <v>1.9663</v>
      </c>
      <c r="I17" s="6">
        <v>0.000712</v>
      </c>
      <c r="J17" s="13">
        <f>D17*E17*H17+(F17+G17)*I17</f>
        <v>6087.66504</v>
      </c>
      <c r="K17" s="12">
        <v>5.6385</v>
      </c>
      <c r="L17" s="6">
        <v>0.002043</v>
      </c>
      <c r="M17" s="13">
        <f>D17*E17*K17+(F17+G17)*L17</f>
        <v>17462.637585</v>
      </c>
      <c r="N17" s="17"/>
      <c r="O17" s="13">
        <f>(F17+G17)*N17</f>
        <v>0</v>
      </c>
      <c r="P17" s="17">
        <v>0</v>
      </c>
      <c r="Q17" s="13">
        <f>(F17+G17)*P17</f>
        <v>0</v>
      </c>
      <c r="R17" s="13">
        <f>J17+M17+O17+Q17</f>
        <v>23550.302625</v>
      </c>
    </row>
    <row r="18" spans="1:18" ht="15">
      <c r="A18" s="24" t="s">
        <v>1</v>
      </c>
      <c r="B18" s="51">
        <v>2003</v>
      </c>
      <c r="C18" s="35" t="s">
        <v>35</v>
      </c>
      <c r="D18" s="36">
        <f>'C-2 Customer Count'!D15</f>
        <v>1455</v>
      </c>
      <c r="E18" s="36">
        <v>1</v>
      </c>
      <c r="F18" s="36">
        <f>'C-1 Monthly Volumes'!D23</f>
        <v>6407011</v>
      </c>
      <c r="G18" s="37"/>
      <c r="H18" s="12">
        <v>1.9663</v>
      </c>
      <c r="I18" s="6">
        <v>0.000712</v>
      </c>
      <c r="J18" s="13">
        <f aca="true" t="shared" si="5" ref="J18:J28">D18*E18*H18+(F18+G18)*I18</f>
        <v>7422.758331999999</v>
      </c>
      <c r="K18" s="12">
        <v>5.6385</v>
      </c>
      <c r="L18" s="6">
        <v>0.002043</v>
      </c>
      <c r="M18" s="13">
        <f aca="true" t="shared" si="6" ref="M18:M28">D18*E18*K18+(F18+G18)*L18</f>
        <v>21293.540973000003</v>
      </c>
      <c r="N18" s="17"/>
      <c r="O18" s="13">
        <f aca="true" t="shared" si="7" ref="O18:O28">(F18+G18)*N18</f>
        <v>0</v>
      </c>
      <c r="P18" s="17">
        <v>0</v>
      </c>
      <c r="Q18" s="13">
        <f aca="true" t="shared" si="8" ref="Q18:Q28">(F18+G18)*P18</f>
        <v>0</v>
      </c>
      <c r="R18" s="13">
        <f aca="true" t="shared" si="9" ref="R18:R28">J18+M18+O18+Q18</f>
        <v>28716.299305</v>
      </c>
    </row>
    <row r="19" spans="1:18" ht="15">
      <c r="A19" s="24" t="s">
        <v>1</v>
      </c>
      <c r="B19" s="51">
        <v>2003</v>
      </c>
      <c r="C19" s="35" t="s">
        <v>36</v>
      </c>
      <c r="D19" s="36">
        <f>'C-2 Customer Count'!D16</f>
        <v>1455</v>
      </c>
      <c r="E19" s="36">
        <v>1</v>
      </c>
      <c r="F19" s="36">
        <f>'C-1 Monthly Volumes'!D24</f>
        <v>3699368</v>
      </c>
      <c r="G19" s="37"/>
      <c r="H19" s="12">
        <v>1.9663</v>
      </c>
      <c r="I19" s="6">
        <v>0.000712</v>
      </c>
      <c r="J19" s="13">
        <f t="shared" si="5"/>
        <v>5494.916515999999</v>
      </c>
      <c r="K19" s="12">
        <v>5.6385</v>
      </c>
      <c r="L19" s="6">
        <v>0.002043</v>
      </c>
      <c r="M19" s="13">
        <f t="shared" si="6"/>
        <v>15761.826324000001</v>
      </c>
      <c r="N19" s="17"/>
      <c r="O19" s="13">
        <f t="shared" si="7"/>
        <v>0</v>
      </c>
      <c r="P19" s="17">
        <v>0</v>
      </c>
      <c r="Q19" s="13">
        <f t="shared" si="8"/>
        <v>0</v>
      </c>
      <c r="R19" s="13">
        <f t="shared" si="9"/>
        <v>21256.74284</v>
      </c>
    </row>
    <row r="20" spans="1:18" ht="15">
      <c r="A20" s="24" t="s">
        <v>1</v>
      </c>
      <c r="B20" s="51">
        <v>2003</v>
      </c>
      <c r="C20" s="35" t="s">
        <v>37</v>
      </c>
      <c r="D20" s="36">
        <f>'C-2 Customer Count'!D17</f>
        <v>1471</v>
      </c>
      <c r="E20" s="36">
        <v>1</v>
      </c>
      <c r="F20" s="36">
        <f>'C-1 Monthly Volumes'!D25</f>
        <v>4918381</v>
      </c>
      <c r="G20" s="37"/>
      <c r="H20" s="12">
        <v>1.9663</v>
      </c>
      <c r="I20" s="6">
        <v>0.000712</v>
      </c>
      <c r="J20" s="13">
        <f t="shared" si="5"/>
        <v>6394.314571999999</v>
      </c>
      <c r="K20" s="12">
        <v>5.6385</v>
      </c>
      <c r="L20" s="6">
        <v>0.002043</v>
      </c>
      <c r="M20" s="13">
        <f t="shared" si="6"/>
        <v>18342.485883</v>
      </c>
      <c r="N20" s="17"/>
      <c r="O20" s="13">
        <f t="shared" si="7"/>
        <v>0</v>
      </c>
      <c r="P20" s="17">
        <v>0</v>
      </c>
      <c r="Q20" s="13">
        <f t="shared" si="8"/>
        <v>0</v>
      </c>
      <c r="R20" s="13">
        <f t="shared" si="9"/>
        <v>24736.800455</v>
      </c>
    </row>
    <row r="21" spans="1:18" ht="15">
      <c r="A21" s="24" t="s">
        <v>1</v>
      </c>
      <c r="B21" s="51">
        <v>2003</v>
      </c>
      <c r="C21" s="35" t="s">
        <v>30</v>
      </c>
      <c r="D21" s="36">
        <f>'C-2 Customer Count'!D18</f>
        <v>1472</v>
      </c>
      <c r="E21" s="36">
        <v>1</v>
      </c>
      <c r="F21" s="36">
        <f>'C-1 Monthly Volumes'!D26</f>
        <v>4344105</v>
      </c>
      <c r="G21" s="37"/>
      <c r="H21" s="12">
        <v>1.9663</v>
      </c>
      <c r="I21" s="6">
        <v>0.000712</v>
      </c>
      <c r="J21" s="13">
        <f t="shared" si="5"/>
        <v>5987.39636</v>
      </c>
      <c r="K21" s="12">
        <v>5.6385</v>
      </c>
      <c r="L21" s="6">
        <v>0.002043</v>
      </c>
      <c r="M21" s="13">
        <f t="shared" si="6"/>
        <v>17174.878515</v>
      </c>
      <c r="N21" s="17"/>
      <c r="O21" s="13">
        <f t="shared" si="7"/>
        <v>0</v>
      </c>
      <c r="P21" s="17">
        <v>0</v>
      </c>
      <c r="Q21" s="13">
        <f t="shared" si="8"/>
        <v>0</v>
      </c>
      <c r="R21" s="13">
        <f t="shared" si="9"/>
        <v>23162.274875</v>
      </c>
    </row>
    <row r="22" spans="1:18" ht="15">
      <c r="A22" s="24" t="s">
        <v>1</v>
      </c>
      <c r="B22" s="51">
        <v>2003</v>
      </c>
      <c r="C22" s="35" t="s">
        <v>38</v>
      </c>
      <c r="D22" s="36">
        <f>'C-2 Customer Count'!D19</f>
        <v>1469</v>
      </c>
      <c r="E22" s="36">
        <v>1</v>
      </c>
      <c r="F22" s="36">
        <f>'C-1 Monthly Volumes'!D27</f>
        <v>4471181</v>
      </c>
      <c r="G22" s="37"/>
      <c r="H22" s="12">
        <v>1.9663</v>
      </c>
      <c r="I22" s="6">
        <v>0.000712</v>
      </c>
      <c r="J22" s="13">
        <f t="shared" si="5"/>
        <v>6071.975571999999</v>
      </c>
      <c r="K22" s="12">
        <v>5.6385</v>
      </c>
      <c r="L22" s="6">
        <v>0.002043</v>
      </c>
      <c r="M22" s="13">
        <f t="shared" si="6"/>
        <v>17417.579283</v>
      </c>
      <c r="N22" s="17"/>
      <c r="O22" s="13">
        <f t="shared" si="7"/>
        <v>0</v>
      </c>
      <c r="P22" s="17">
        <v>0</v>
      </c>
      <c r="Q22" s="13">
        <f t="shared" si="8"/>
        <v>0</v>
      </c>
      <c r="R22" s="13">
        <f t="shared" si="9"/>
        <v>23489.554855</v>
      </c>
    </row>
    <row r="23" spans="1:18" ht="15">
      <c r="A23" s="24" t="s">
        <v>1</v>
      </c>
      <c r="B23" s="51">
        <v>2003</v>
      </c>
      <c r="C23" s="35" t="s">
        <v>39</v>
      </c>
      <c r="D23" s="36">
        <f>'C-2 Customer Count'!D20</f>
        <v>1472</v>
      </c>
      <c r="E23" s="36">
        <v>1</v>
      </c>
      <c r="F23" s="36">
        <f>'C-1 Monthly Volumes'!D28</f>
        <v>3650885</v>
      </c>
      <c r="G23" s="37"/>
      <c r="H23" s="12">
        <v>1.9663</v>
      </c>
      <c r="I23" s="6">
        <v>0.000712</v>
      </c>
      <c r="J23" s="13">
        <f t="shared" si="5"/>
        <v>5493.82372</v>
      </c>
      <c r="K23" s="12">
        <v>5.6385</v>
      </c>
      <c r="L23" s="6">
        <v>0.002043</v>
      </c>
      <c r="M23" s="13">
        <f t="shared" si="6"/>
        <v>15758.630055</v>
      </c>
      <c r="N23" s="17"/>
      <c r="O23" s="13">
        <f t="shared" si="7"/>
        <v>0</v>
      </c>
      <c r="P23" s="17">
        <v>0</v>
      </c>
      <c r="Q23" s="13">
        <f t="shared" si="8"/>
        <v>0</v>
      </c>
      <c r="R23" s="13">
        <f t="shared" si="9"/>
        <v>21252.453775</v>
      </c>
    </row>
    <row r="24" spans="1:18" ht="15">
      <c r="A24" s="24" t="s">
        <v>1</v>
      </c>
      <c r="B24" s="51">
        <v>2003</v>
      </c>
      <c r="C24" s="35" t="s">
        <v>40</v>
      </c>
      <c r="D24" s="36">
        <f>'C-2 Customer Count'!D21</f>
        <v>1474</v>
      </c>
      <c r="E24" s="36">
        <v>1</v>
      </c>
      <c r="F24" s="36">
        <f>'C-1 Monthly Volumes'!D29</f>
        <v>4051878</v>
      </c>
      <c r="G24" s="37"/>
      <c r="H24" s="12">
        <v>1.9663</v>
      </c>
      <c r="I24" s="6">
        <v>0.000712</v>
      </c>
      <c r="J24" s="13">
        <f t="shared" si="5"/>
        <v>5783.263336</v>
      </c>
      <c r="K24" s="12">
        <v>5.6385</v>
      </c>
      <c r="L24" s="6">
        <v>0.002043</v>
      </c>
      <c r="M24" s="13">
        <f t="shared" si="6"/>
        <v>16589.135754</v>
      </c>
      <c r="N24" s="17"/>
      <c r="O24" s="13">
        <f t="shared" si="7"/>
        <v>0</v>
      </c>
      <c r="P24" s="17">
        <v>0</v>
      </c>
      <c r="Q24" s="13">
        <f t="shared" si="8"/>
        <v>0</v>
      </c>
      <c r="R24" s="13">
        <f t="shared" si="9"/>
        <v>22372.39909</v>
      </c>
    </row>
    <row r="25" spans="1:18" ht="15">
      <c r="A25" s="24" t="s">
        <v>1</v>
      </c>
      <c r="B25" s="51">
        <v>2003</v>
      </c>
      <c r="C25" s="35" t="s">
        <v>41</v>
      </c>
      <c r="D25" s="36">
        <f>'C-2 Customer Count'!D22</f>
        <v>1476</v>
      </c>
      <c r="E25" s="36">
        <v>1</v>
      </c>
      <c r="F25" s="36">
        <f>'C-1 Monthly Volumes'!D30</f>
        <v>3933312</v>
      </c>
      <c r="G25" s="37"/>
      <c r="H25" s="12">
        <v>1.9663</v>
      </c>
      <c r="I25" s="6">
        <v>0.000712</v>
      </c>
      <c r="J25" s="13">
        <f t="shared" si="5"/>
        <v>5702.776943999999</v>
      </c>
      <c r="K25" s="12">
        <v>5.6385</v>
      </c>
      <c r="L25" s="6">
        <v>0.002043</v>
      </c>
      <c r="M25" s="13">
        <f t="shared" si="6"/>
        <v>16358.182416</v>
      </c>
      <c r="N25" s="17"/>
      <c r="O25" s="13">
        <f t="shared" si="7"/>
        <v>0</v>
      </c>
      <c r="P25" s="17">
        <v>0</v>
      </c>
      <c r="Q25" s="13">
        <f t="shared" si="8"/>
        <v>0</v>
      </c>
      <c r="R25" s="13">
        <f t="shared" si="9"/>
        <v>22060.95936</v>
      </c>
    </row>
    <row r="26" spans="1:18" ht="15">
      <c r="A26" s="24" t="s">
        <v>1</v>
      </c>
      <c r="B26" s="51">
        <v>2003</v>
      </c>
      <c r="C26" s="35" t="s">
        <v>42</v>
      </c>
      <c r="D26" s="36">
        <f>'C-2 Customer Count'!D23</f>
        <v>1472</v>
      </c>
      <c r="E26" s="36">
        <v>1</v>
      </c>
      <c r="F26" s="36">
        <f>'C-1 Monthly Volumes'!D31</f>
        <v>3975134</v>
      </c>
      <c r="G26" s="37"/>
      <c r="H26" s="12">
        <v>1.9663</v>
      </c>
      <c r="I26" s="6">
        <v>0.000712</v>
      </c>
      <c r="J26" s="13">
        <f t="shared" si="5"/>
        <v>5724.689007999999</v>
      </c>
      <c r="K26" s="12">
        <v>5.6385</v>
      </c>
      <c r="L26" s="6">
        <v>0.002043</v>
      </c>
      <c r="M26" s="13">
        <f t="shared" si="6"/>
        <v>16421.070762</v>
      </c>
      <c r="N26" s="17"/>
      <c r="O26" s="13">
        <f t="shared" si="7"/>
        <v>0</v>
      </c>
      <c r="P26" s="17">
        <v>0</v>
      </c>
      <c r="Q26" s="13">
        <f t="shared" si="8"/>
        <v>0</v>
      </c>
      <c r="R26" s="13">
        <f t="shared" si="9"/>
        <v>22145.759769999997</v>
      </c>
    </row>
    <row r="27" spans="1:18" ht="15">
      <c r="A27" s="24" t="s">
        <v>1</v>
      </c>
      <c r="B27" s="51">
        <v>2003</v>
      </c>
      <c r="C27" s="35" t="s">
        <v>43</v>
      </c>
      <c r="D27" s="36">
        <f>'C-2 Customer Count'!D24</f>
        <v>1470</v>
      </c>
      <c r="E27" s="36">
        <v>1</v>
      </c>
      <c r="F27" s="36">
        <f>'C-1 Monthly Volumes'!D32</f>
        <v>3347584</v>
      </c>
      <c r="G27" s="37"/>
      <c r="H27" s="12">
        <v>1.9663</v>
      </c>
      <c r="I27" s="6">
        <v>0.000712</v>
      </c>
      <c r="J27" s="13">
        <f t="shared" si="5"/>
        <v>5273.940807999999</v>
      </c>
      <c r="K27" s="12">
        <v>5.6385</v>
      </c>
      <c r="L27" s="6">
        <v>0.002043</v>
      </c>
      <c r="M27" s="13">
        <f t="shared" si="6"/>
        <v>15127.709112</v>
      </c>
      <c r="N27" s="17"/>
      <c r="O27" s="13">
        <f t="shared" si="7"/>
        <v>0</v>
      </c>
      <c r="P27" s="17">
        <v>0</v>
      </c>
      <c r="Q27" s="13">
        <f t="shared" si="8"/>
        <v>0</v>
      </c>
      <c r="R27" s="13">
        <f t="shared" si="9"/>
        <v>20401.64992</v>
      </c>
    </row>
    <row r="28" spans="1:18" ht="15.75" thickBot="1">
      <c r="A28" s="24" t="s">
        <v>1</v>
      </c>
      <c r="B28" s="51">
        <v>2003</v>
      </c>
      <c r="C28" s="35" t="s">
        <v>44</v>
      </c>
      <c r="D28" s="36">
        <f>'C-2 Customer Count'!D25</f>
        <v>1476</v>
      </c>
      <c r="E28" s="36">
        <v>1</v>
      </c>
      <c r="F28" s="36">
        <f>'C-1 Monthly Volumes'!D33</f>
        <v>4051132</v>
      </c>
      <c r="G28" s="37"/>
      <c r="H28" s="12">
        <v>1.9663</v>
      </c>
      <c r="I28" s="6">
        <v>0.000712</v>
      </c>
      <c r="J28" s="13">
        <f t="shared" si="5"/>
        <v>5786.6647840000005</v>
      </c>
      <c r="K28" s="12">
        <v>5.6385</v>
      </c>
      <c r="L28" s="6">
        <v>0.002043</v>
      </c>
      <c r="M28" s="13">
        <f t="shared" si="6"/>
        <v>16598.888676000002</v>
      </c>
      <c r="N28" s="17"/>
      <c r="O28" s="13">
        <f t="shared" si="7"/>
        <v>0</v>
      </c>
      <c r="P28" s="17">
        <v>0</v>
      </c>
      <c r="Q28" s="13">
        <f t="shared" si="8"/>
        <v>0</v>
      </c>
      <c r="R28" s="13">
        <f t="shared" si="9"/>
        <v>22385.553460000003</v>
      </c>
    </row>
    <row r="29" spans="1:18" ht="15.75" thickBot="1">
      <c r="A29" s="53" t="s">
        <v>53</v>
      </c>
      <c r="B29" s="54"/>
      <c r="C29" s="55"/>
      <c r="D29" s="56">
        <f>SUM(D17:D28)</f>
        <v>17620</v>
      </c>
      <c r="E29" s="56"/>
      <c r="F29" s="56">
        <f>SUM(F17:F28)</f>
        <v>51373566</v>
      </c>
      <c r="G29" s="56">
        <f>SUM(G17:G28)</f>
        <v>0</v>
      </c>
      <c r="H29" s="58"/>
      <c r="I29" s="59"/>
      <c r="J29" s="60">
        <f>SUM(J17:J28)</f>
        <v>71224.184992</v>
      </c>
      <c r="K29" s="58"/>
      <c r="L29" s="59"/>
      <c r="M29" s="60">
        <f>SUM(M17:M28)</f>
        <v>204306.565338</v>
      </c>
      <c r="N29" s="61"/>
      <c r="O29" s="60">
        <f>SUM(O17:O28)</f>
        <v>0</v>
      </c>
      <c r="P29" s="61"/>
      <c r="Q29" s="60">
        <f>SUM(Q17:Q28)</f>
        <v>0</v>
      </c>
      <c r="R29" s="60">
        <f>SUM(R17:R28)</f>
        <v>275530.75033</v>
      </c>
    </row>
    <row r="30" spans="1:18" ht="15">
      <c r="A30" s="24" t="s">
        <v>125</v>
      </c>
      <c r="B30" s="51"/>
      <c r="C30" s="35"/>
      <c r="D30" s="36"/>
      <c r="E30" s="36"/>
      <c r="F30" s="38"/>
      <c r="G30" s="39"/>
      <c r="H30" s="12"/>
      <c r="I30" s="6"/>
      <c r="J30" s="13"/>
      <c r="K30" s="12"/>
      <c r="L30" s="6"/>
      <c r="M30" s="13"/>
      <c r="N30" s="17"/>
      <c r="O30" s="13"/>
      <c r="P30" s="17"/>
      <c r="Q30" s="13"/>
      <c r="R30" s="13"/>
    </row>
    <row r="31" spans="1:18" ht="15">
      <c r="A31" s="24"/>
      <c r="B31" s="51"/>
      <c r="C31" s="35"/>
      <c r="D31" s="36"/>
      <c r="E31" s="36"/>
      <c r="F31" s="38"/>
      <c r="G31" s="39"/>
      <c r="H31" s="12"/>
      <c r="I31" s="6"/>
      <c r="J31" s="13"/>
      <c r="K31" s="12"/>
      <c r="L31" s="6"/>
      <c r="M31" s="13"/>
      <c r="N31" s="17"/>
      <c r="O31" s="13"/>
      <c r="P31" s="17"/>
      <c r="Q31" s="13"/>
      <c r="R31" s="13"/>
    </row>
    <row r="32" spans="1:18" ht="15">
      <c r="A32" s="24" t="s">
        <v>111</v>
      </c>
      <c r="B32" s="51">
        <v>2003</v>
      </c>
      <c r="C32" s="35" t="s">
        <v>34</v>
      </c>
      <c r="D32" s="36">
        <f>'C-2 Customer Count'!E14</f>
        <v>147</v>
      </c>
      <c r="E32" s="36">
        <v>1</v>
      </c>
      <c r="F32" s="38"/>
      <c r="G32" s="39">
        <f>'C-1 Monthly Volumes'!M4</f>
        <v>21671</v>
      </c>
      <c r="H32" s="12">
        <v>18.206</v>
      </c>
      <c r="I32" s="6">
        <v>0.200517</v>
      </c>
      <c r="J32" s="13">
        <f>D32*E32*H32+(F32+G32)*I32</f>
        <v>7021.685907</v>
      </c>
      <c r="K32" s="12">
        <v>52.208</v>
      </c>
      <c r="L32" s="6">
        <v>0.575006</v>
      </c>
      <c r="M32" s="13">
        <f>D32*E32*K32+(F32+G32)*L32</f>
        <v>20135.531026</v>
      </c>
      <c r="N32" s="17"/>
      <c r="O32" s="13">
        <f>(F32+G32)*N32</f>
        <v>0</v>
      </c>
      <c r="P32" s="17">
        <v>0</v>
      </c>
      <c r="Q32" s="13">
        <f>(F32+G32)*P32</f>
        <v>0</v>
      </c>
      <c r="R32" s="13">
        <f>J32+M32+O32+Q32</f>
        <v>27157.216933</v>
      </c>
    </row>
    <row r="33" spans="1:18" ht="15">
      <c r="A33" s="24" t="s">
        <v>111</v>
      </c>
      <c r="B33" s="51">
        <v>2003</v>
      </c>
      <c r="C33" s="35" t="s">
        <v>35</v>
      </c>
      <c r="D33" s="36">
        <f>'C-2 Customer Count'!E15</f>
        <v>147</v>
      </c>
      <c r="E33" s="36">
        <v>1</v>
      </c>
      <c r="F33" s="38"/>
      <c r="G33" s="39">
        <f>'C-1 Monthly Volumes'!M5</f>
        <v>24645</v>
      </c>
      <c r="H33" s="12">
        <v>18.206</v>
      </c>
      <c r="I33" s="6">
        <v>0.200517</v>
      </c>
      <c r="J33" s="13">
        <f aca="true" t="shared" si="10" ref="J33:J43">D33*E33*H33+(F33+G33)*I33</f>
        <v>7618.023465</v>
      </c>
      <c r="K33" s="12">
        <v>52.208</v>
      </c>
      <c r="L33" s="6">
        <v>0.575006</v>
      </c>
      <c r="M33" s="13">
        <f aca="true" t="shared" si="11" ref="M33:M43">D33*E33*K33+(F33+G33)*L33</f>
        <v>21845.59887</v>
      </c>
      <c r="N33" s="17"/>
      <c r="O33" s="13">
        <f aca="true" t="shared" si="12" ref="O33:O43">(F33+G33)*N33</f>
        <v>0</v>
      </c>
      <c r="P33" s="17">
        <v>0</v>
      </c>
      <c r="Q33" s="13">
        <f aca="true" t="shared" si="13" ref="Q33:Q43">(F33+G33)*P33</f>
        <v>0</v>
      </c>
      <c r="R33" s="13">
        <f aca="true" t="shared" si="14" ref="R33:R43">J33+M33+O33+Q33</f>
        <v>29463.622335</v>
      </c>
    </row>
    <row r="34" spans="1:18" ht="15">
      <c r="A34" s="24" t="s">
        <v>111</v>
      </c>
      <c r="B34" s="51">
        <v>2003</v>
      </c>
      <c r="C34" s="35" t="s">
        <v>36</v>
      </c>
      <c r="D34" s="36">
        <f>'C-2 Customer Count'!E16</f>
        <v>147</v>
      </c>
      <c r="E34" s="36">
        <v>1</v>
      </c>
      <c r="F34" s="38"/>
      <c r="G34" s="39">
        <f>'C-1 Monthly Volumes'!M6</f>
        <v>21632</v>
      </c>
      <c r="H34" s="12">
        <v>18.206</v>
      </c>
      <c r="I34" s="6">
        <v>0.200517</v>
      </c>
      <c r="J34" s="13">
        <f t="shared" si="10"/>
        <v>7013.865744</v>
      </c>
      <c r="K34" s="12">
        <v>52.208</v>
      </c>
      <c r="L34" s="6">
        <v>0.575006</v>
      </c>
      <c r="M34" s="13">
        <f t="shared" si="11"/>
        <v>20113.105792000002</v>
      </c>
      <c r="N34" s="17"/>
      <c r="O34" s="13">
        <f t="shared" si="12"/>
        <v>0</v>
      </c>
      <c r="P34" s="17">
        <v>0</v>
      </c>
      <c r="Q34" s="13">
        <f t="shared" si="13"/>
        <v>0</v>
      </c>
      <c r="R34" s="13">
        <f t="shared" si="14"/>
        <v>27126.971536</v>
      </c>
    </row>
    <row r="35" spans="1:18" ht="15">
      <c r="A35" s="24" t="s">
        <v>111</v>
      </c>
      <c r="B35" s="51">
        <v>2003</v>
      </c>
      <c r="C35" s="35" t="s">
        <v>37</v>
      </c>
      <c r="D35" s="36">
        <f>'C-2 Customer Count'!E17</f>
        <v>148</v>
      </c>
      <c r="E35" s="36">
        <v>1</v>
      </c>
      <c r="F35" s="38"/>
      <c r="G35" s="39">
        <f>'C-1 Monthly Volumes'!M7</f>
        <v>24669</v>
      </c>
      <c r="H35" s="12">
        <v>18.206</v>
      </c>
      <c r="I35" s="6">
        <v>0.200517</v>
      </c>
      <c r="J35" s="13">
        <f t="shared" si="10"/>
        <v>7641.041873</v>
      </c>
      <c r="K35" s="12">
        <v>52.208</v>
      </c>
      <c r="L35" s="6">
        <v>0.575006</v>
      </c>
      <c r="M35" s="13">
        <f t="shared" si="11"/>
        <v>21911.607014</v>
      </c>
      <c r="N35" s="17"/>
      <c r="O35" s="13">
        <f t="shared" si="12"/>
        <v>0</v>
      </c>
      <c r="P35" s="17">
        <v>0</v>
      </c>
      <c r="Q35" s="13">
        <f t="shared" si="13"/>
        <v>0</v>
      </c>
      <c r="R35" s="13">
        <f t="shared" si="14"/>
        <v>29552.648887000003</v>
      </c>
    </row>
    <row r="36" spans="1:18" ht="15">
      <c r="A36" s="24" t="s">
        <v>111</v>
      </c>
      <c r="B36" s="51">
        <v>2003</v>
      </c>
      <c r="C36" s="35" t="s">
        <v>30</v>
      </c>
      <c r="D36" s="36">
        <f>'C-2 Customer Count'!E18</f>
        <v>147</v>
      </c>
      <c r="E36" s="36">
        <v>1</v>
      </c>
      <c r="F36" s="38"/>
      <c r="G36" s="39">
        <f>'C-1 Monthly Volumes'!M8</f>
        <v>25485</v>
      </c>
      <c r="H36" s="12">
        <v>18.206</v>
      </c>
      <c r="I36" s="6">
        <v>0.200517</v>
      </c>
      <c r="J36" s="13">
        <f t="shared" si="10"/>
        <v>7786.457745000001</v>
      </c>
      <c r="K36" s="12">
        <v>52.208</v>
      </c>
      <c r="L36" s="6">
        <v>0.575006</v>
      </c>
      <c r="M36" s="13">
        <f t="shared" si="11"/>
        <v>22328.60391</v>
      </c>
      <c r="N36" s="17"/>
      <c r="O36" s="13">
        <f t="shared" si="12"/>
        <v>0</v>
      </c>
      <c r="P36" s="17">
        <v>0</v>
      </c>
      <c r="Q36" s="13">
        <f t="shared" si="13"/>
        <v>0</v>
      </c>
      <c r="R36" s="13">
        <f t="shared" si="14"/>
        <v>30115.061655</v>
      </c>
    </row>
    <row r="37" spans="1:18" ht="15">
      <c r="A37" s="24" t="s">
        <v>111</v>
      </c>
      <c r="B37" s="51">
        <v>2003</v>
      </c>
      <c r="C37" s="35" t="s">
        <v>38</v>
      </c>
      <c r="D37" s="36">
        <f>'C-2 Customer Count'!E19</f>
        <v>149</v>
      </c>
      <c r="E37" s="36">
        <v>1</v>
      </c>
      <c r="F37" s="38"/>
      <c r="G37" s="39">
        <f>'C-1 Monthly Volumes'!M9</f>
        <v>24073</v>
      </c>
      <c r="H37" s="12">
        <v>18.206</v>
      </c>
      <c r="I37" s="6">
        <v>0.200517</v>
      </c>
      <c r="J37" s="13">
        <f t="shared" si="10"/>
        <v>7539.739740999999</v>
      </c>
      <c r="K37" s="12">
        <v>52.208</v>
      </c>
      <c r="L37" s="6">
        <v>0.575006</v>
      </c>
      <c r="M37" s="13">
        <f t="shared" si="11"/>
        <v>21621.111438</v>
      </c>
      <c r="N37" s="17"/>
      <c r="O37" s="13">
        <f t="shared" si="12"/>
        <v>0</v>
      </c>
      <c r="P37" s="17">
        <v>0</v>
      </c>
      <c r="Q37" s="13">
        <f t="shared" si="13"/>
        <v>0</v>
      </c>
      <c r="R37" s="13">
        <f t="shared" si="14"/>
        <v>29160.851178999998</v>
      </c>
    </row>
    <row r="38" spans="1:18" ht="15">
      <c r="A38" s="24" t="s">
        <v>111</v>
      </c>
      <c r="B38" s="51">
        <v>2003</v>
      </c>
      <c r="C38" s="35" t="s">
        <v>39</v>
      </c>
      <c r="D38" s="36">
        <f>'C-2 Customer Count'!E20</f>
        <v>147</v>
      </c>
      <c r="E38" s="36">
        <v>1</v>
      </c>
      <c r="F38" s="38"/>
      <c r="G38" s="39">
        <f>'C-1 Monthly Volumes'!M10</f>
        <v>23378</v>
      </c>
      <c r="H38" s="12">
        <v>18.206</v>
      </c>
      <c r="I38" s="6">
        <v>0.200517</v>
      </c>
      <c r="J38" s="13">
        <f t="shared" si="10"/>
        <v>7363.968426</v>
      </c>
      <c r="K38" s="12">
        <v>52.208</v>
      </c>
      <c r="L38" s="6">
        <v>0.575006</v>
      </c>
      <c r="M38" s="13">
        <f t="shared" si="11"/>
        <v>21117.066268</v>
      </c>
      <c r="N38" s="17"/>
      <c r="O38" s="13">
        <f t="shared" si="12"/>
        <v>0</v>
      </c>
      <c r="P38" s="17">
        <v>0</v>
      </c>
      <c r="Q38" s="13">
        <f t="shared" si="13"/>
        <v>0</v>
      </c>
      <c r="R38" s="13">
        <f t="shared" si="14"/>
        <v>28481.034693999998</v>
      </c>
    </row>
    <row r="39" spans="1:18" ht="15">
      <c r="A39" s="24" t="s">
        <v>111</v>
      </c>
      <c r="B39" s="51">
        <v>2003</v>
      </c>
      <c r="C39" s="35" t="s">
        <v>40</v>
      </c>
      <c r="D39" s="36">
        <f>'C-2 Customer Count'!E21</f>
        <v>145</v>
      </c>
      <c r="E39" s="36">
        <v>1</v>
      </c>
      <c r="F39" s="38"/>
      <c r="G39" s="39">
        <f>'C-1 Monthly Volumes'!M11</f>
        <v>23230</v>
      </c>
      <c r="H39" s="12">
        <v>18.206</v>
      </c>
      <c r="I39" s="6">
        <v>0.200517</v>
      </c>
      <c r="J39" s="13">
        <f t="shared" si="10"/>
        <v>7297.87991</v>
      </c>
      <c r="K39" s="12">
        <v>52.208</v>
      </c>
      <c r="L39" s="6">
        <v>0.575006</v>
      </c>
      <c r="M39" s="13">
        <f t="shared" si="11"/>
        <v>20927.54938</v>
      </c>
      <c r="N39" s="17"/>
      <c r="O39" s="13">
        <f t="shared" si="12"/>
        <v>0</v>
      </c>
      <c r="P39" s="17">
        <v>0</v>
      </c>
      <c r="Q39" s="13">
        <f t="shared" si="13"/>
        <v>0</v>
      </c>
      <c r="R39" s="13">
        <f t="shared" si="14"/>
        <v>28225.42929</v>
      </c>
    </row>
    <row r="40" spans="1:18" ht="15">
      <c r="A40" s="24" t="s">
        <v>111</v>
      </c>
      <c r="B40" s="51">
        <v>2003</v>
      </c>
      <c r="C40" s="35" t="s">
        <v>41</v>
      </c>
      <c r="D40" s="36">
        <f>'C-2 Customer Count'!E22</f>
        <v>146</v>
      </c>
      <c r="E40" s="36">
        <v>1</v>
      </c>
      <c r="F40" s="38"/>
      <c r="G40" s="39">
        <f>'C-1 Monthly Volumes'!M12</f>
        <v>23944</v>
      </c>
      <c r="H40" s="12">
        <v>18.206</v>
      </c>
      <c r="I40" s="6">
        <v>0.200517</v>
      </c>
      <c r="J40" s="13">
        <f t="shared" si="10"/>
        <v>7459.255048</v>
      </c>
      <c r="K40" s="12">
        <v>52.208</v>
      </c>
      <c r="L40" s="6">
        <v>0.575006</v>
      </c>
      <c r="M40" s="13">
        <f t="shared" si="11"/>
        <v>21390.311664</v>
      </c>
      <c r="N40" s="17"/>
      <c r="O40" s="13">
        <f t="shared" si="12"/>
        <v>0</v>
      </c>
      <c r="P40" s="17">
        <v>0</v>
      </c>
      <c r="Q40" s="13">
        <f t="shared" si="13"/>
        <v>0</v>
      </c>
      <c r="R40" s="13">
        <f t="shared" si="14"/>
        <v>28849.566712</v>
      </c>
    </row>
    <row r="41" spans="1:18" ht="15">
      <c r="A41" s="24" t="s">
        <v>111</v>
      </c>
      <c r="B41" s="51">
        <v>2003</v>
      </c>
      <c r="C41" s="35" t="s">
        <v>42</v>
      </c>
      <c r="D41" s="36">
        <f>'C-2 Customer Count'!E23</f>
        <v>149</v>
      </c>
      <c r="E41" s="36">
        <v>1</v>
      </c>
      <c r="F41" s="38"/>
      <c r="G41" s="39">
        <f>'C-1 Monthly Volumes'!M13</f>
        <v>23397</v>
      </c>
      <c r="H41" s="12">
        <v>18.206</v>
      </c>
      <c r="I41" s="6">
        <v>0.200517</v>
      </c>
      <c r="J41" s="13">
        <f t="shared" si="10"/>
        <v>7404.190248999999</v>
      </c>
      <c r="K41" s="12">
        <v>52.208</v>
      </c>
      <c r="L41" s="6">
        <v>0.575006</v>
      </c>
      <c r="M41" s="13">
        <f t="shared" si="11"/>
        <v>21232.407382</v>
      </c>
      <c r="N41" s="17"/>
      <c r="O41" s="13">
        <f t="shared" si="12"/>
        <v>0</v>
      </c>
      <c r="P41" s="17">
        <v>0</v>
      </c>
      <c r="Q41" s="13">
        <f t="shared" si="13"/>
        <v>0</v>
      </c>
      <c r="R41" s="13">
        <f t="shared" si="14"/>
        <v>28636.597631</v>
      </c>
    </row>
    <row r="42" spans="1:18" ht="15">
      <c r="A42" s="24" t="s">
        <v>111</v>
      </c>
      <c r="B42" s="51">
        <v>2003</v>
      </c>
      <c r="C42" s="35" t="s">
        <v>43</v>
      </c>
      <c r="D42" s="36">
        <f>'C-2 Customer Count'!E24</f>
        <v>149</v>
      </c>
      <c r="E42" s="36">
        <v>1</v>
      </c>
      <c r="F42" s="38"/>
      <c r="G42" s="39">
        <f>'C-1 Monthly Volumes'!M14</f>
        <v>22015</v>
      </c>
      <c r="H42" s="12">
        <v>18.206</v>
      </c>
      <c r="I42" s="6">
        <v>0.200517</v>
      </c>
      <c r="J42" s="13">
        <f t="shared" si="10"/>
        <v>7127.075755</v>
      </c>
      <c r="K42" s="12">
        <v>52.208</v>
      </c>
      <c r="L42" s="6">
        <v>0.575006</v>
      </c>
      <c r="M42" s="13">
        <f t="shared" si="11"/>
        <v>20437.74909</v>
      </c>
      <c r="N42" s="17"/>
      <c r="O42" s="13">
        <f t="shared" si="12"/>
        <v>0</v>
      </c>
      <c r="P42" s="17">
        <v>0</v>
      </c>
      <c r="Q42" s="13">
        <f t="shared" si="13"/>
        <v>0</v>
      </c>
      <c r="R42" s="13">
        <f t="shared" si="14"/>
        <v>27564.824845000003</v>
      </c>
    </row>
    <row r="43" spans="1:18" ht="15.75" thickBot="1">
      <c r="A43" s="24" t="s">
        <v>111</v>
      </c>
      <c r="B43" s="51">
        <v>2003</v>
      </c>
      <c r="C43" s="35" t="s">
        <v>44</v>
      </c>
      <c r="D43" s="36">
        <f>'C-2 Customer Count'!E25</f>
        <v>150</v>
      </c>
      <c r="E43" s="36">
        <v>1</v>
      </c>
      <c r="F43" s="38"/>
      <c r="G43" s="39">
        <f>'C-1 Monthly Volumes'!M15</f>
        <v>23012</v>
      </c>
      <c r="H43" s="12">
        <v>18.206</v>
      </c>
      <c r="I43" s="6">
        <v>0.200517</v>
      </c>
      <c r="J43" s="13">
        <f t="shared" si="10"/>
        <v>7345.197204</v>
      </c>
      <c r="K43" s="12">
        <v>52.208</v>
      </c>
      <c r="L43" s="6">
        <v>0.575006</v>
      </c>
      <c r="M43" s="13">
        <f t="shared" si="11"/>
        <v>21063.238072</v>
      </c>
      <c r="N43" s="17"/>
      <c r="O43" s="13">
        <f t="shared" si="12"/>
        <v>0</v>
      </c>
      <c r="P43" s="17">
        <v>0</v>
      </c>
      <c r="Q43" s="13">
        <f t="shared" si="13"/>
        <v>0</v>
      </c>
      <c r="R43" s="13">
        <f t="shared" si="14"/>
        <v>28408.435276</v>
      </c>
    </row>
    <row r="44" spans="1:18" ht="15.75" thickBot="1">
      <c r="A44" s="53" t="s">
        <v>113</v>
      </c>
      <c r="B44" s="54"/>
      <c r="C44" s="55"/>
      <c r="D44" s="56">
        <f>SUM(D32:D43)</f>
        <v>1771</v>
      </c>
      <c r="E44" s="56"/>
      <c r="F44" s="56">
        <f>SUM(F32:F43)</f>
        <v>0</v>
      </c>
      <c r="G44" s="56">
        <f>SUM(G32:G43)</f>
        <v>281151</v>
      </c>
      <c r="H44" s="58"/>
      <c r="I44" s="59"/>
      <c r="J44" s="60">
        <f>SUM(J32:J43)</f>
        <v>88618.38106700001</v>
      </c>
      <c r="K44" s="58"/>
      <c r="L44" s="59"/>
      <c r="M44" s="60">
        <f>SUM(M32:M43)</f>
        <v>254123.87990600002</v>
      </c>
      <c r="N44" s="61"/>
      <c r="O44" s="60">
        <f>SUM(O32:O43)</f>
        <v>0</v>
      </c>
      <c r="P44" s="61"/>
      <c r="Q44" s="60">
        <f>SUM(Q32:Q43)</f>
        <v>0</v>
      </c>
      <c r="R44" s="60">
        <f>SUM(R32:R43)</f>
        <v>342742.26097299997</v>
      </c>
    </row>
    <row r="45" spans="1:18" ht="15">
      <c r="A45" s="24"/>
      <c r="B45" s="51"/>
      <c r="C45" s="35"/>
      <c r="D45" s="36"/>
      <c r="E45" s="36"/>
      <c r="F45" s="38"/>
      <c r="G45" s="39"/>
      <c r="H45" s="12"/>
      <c r="I45" s="6"/>
      <c r="J45" s="13"/>
      <c r="K45" s="12"/>
      <c r="L45" s="6"/>
      <c r="M45" s="13"/>
      <c r="N45" s="17"/>
      <c r="O45" s="13"/>
      <c r="P45" s="17"/>
      <c r="Q45" s="13"/>
      <c r="R45" s="13"/>
    </row>
    <row r="46" spans="1:18" ht="15">
      <c r="A46" s="24" t="s">
        <v>112</v>
      </c>
      <c r="B46" s="51">
        <v>2003</v>
      </c>
      <c r="C46" s="35" t="s">
        <v>34</v>
      </c>
      <c r="D46" s="36">
        <f>'C-2 Customer Count'!F14</f>
        <v>9</v>
      </c>
      <c r="E46" s="36">
        <v>1</v>
      </c>
      <c r="F46" s="38"/>
      <c r="G46" s="39">
        <f>'C-1 Monthly Volumes'!M22</f>
        <v>14736</v>
      </c>
      <c r="H46" s="14">
        <v>24.352</v>
      </c>
      <c r="I46" s="6">
        <v>0.040186</v>
      </c>
      <c r="J46" s="13">
        <f>D46*E46*H46+(F46+G46)*I46</f>
        <v>811.348896</v>
      </c>
      <c r="K46" s="14">
        <v>69.8322</v>
      </c>
      <c r="L46" s="6">
        <v>0.115239</v>
      </c>
      <c r="M46" s="13">
        <f>D46*E46*K46+(F46+G46)*L46</f>
        <v>2326.651704</v>
      </c>
      <c r="N46" s="17"/>
      <c r="O46" s="13">
        <f>(F46+G46)*N46</f>
        <v>0</v>
      </c>
      <c r="P46" s="17">
        <v>0</v>
      </c>
      <c r="Q46" s="13">
        <f>(F46+G46)*P46</f>
        <v>0</v>
      </c>
      <c r="R46" s="13">
        <f>J46+M46+O46+Q46</f>
        <v>3138.0006</v>
      </c>
    </row>
    <row r="47" spans="1:18" ht="15">
      <c r="A47" s="24" t="s">
        <v>112</v>
      </c>
      <c r="B47" s="51">
        <v>2003</v>
      </c>
      <c r="C47" s="35" t="s">
        <v>35</v>
      </c>
      <c r="D47" s="36">
        <f>'C-2 Customer Count'!F15</f>
        <v>9</v>
      </c>
      <c r="E47" s="36">
        <v>1</v>
      </c>
      <c r="F47" s="38"/>
      <c r="G47" s="39">
        <f>'C-1 Monthly Volumes'!M23</f>
        <v>14594</v>
      </c>
      <c r="H47" s="14">
        <v>24.352</v>
      </c>
      <c r="I47" s="6">
        <v>0.040186</v>
      </c>
      <c r="J47" s="13">
        <f aca="true" t="shared" si="15" ref="J47:J57">D47*E47*H47+(F47+G47)*I47</f>
        <v>805.642484</v>
      </c>
      <c r="K47" s="14">
        <v>69.8322</v>
      </c>
      <c r="L47" s="6">
        <v>0.115239</v>
      </c>
      <c r="M47" s="13">
        <f aca="true" t="shared" si="16" ref="M47:M57">D47*E47*K47+(F47+G47)*L47</f>
        <v>2310.287766</v>
      </c>
      <c r="N47" s="17"/>
      <c r="O47" s="13">
        <f aca="true" t="shared" si="17" ref="O47:O57">(F47+G47)*N47</f>
        <v>0</v>
      </c>
      <c r="P47" s="17">
        <v>0</v>
      </c>
      <c r="Q47" s="13">
        <f aca="true" t="shared" si="18" ref="Q47:Q57">(F47+G47)*P47</f>
        <v>0</v>
      </c>
      <c r="R47" s="13">
        <f aca="true" t="shared" si="19" ref="R47:R57">J47+M47+O47+Q47</f>
        <v>3115.93025</v>
      </c>
    </row>
    <row r="48" spans="1:18" ht="15">
      <c r="A48" s="24" t="s">
        <v>112</v>
      </c>
      <c r="B48" s="51">
        <v>2003</v>
      </c>
      <c r="C48" s="35" t="s">
        <v>36</v>
      </c>
      <c r="D48" s="36">
        <f>'C-2 Customer Count'!F16</f>
        <v>9</v>
      </c>
      <c r="E48" s="36">
        <v>1</v>
      </c>
      <c r="F48" s="38"/>
      <c r="G48" s="39">
        <f>'C-1 Monthly Volumes'!M24</f>
        <v>12907</v>
      </c>
      <c r="H48" s="14">
        <v>24.352</v>
      </c>
      <c r="I48" s="6">
        <v>0.040186</v>
      </c>
      <c r="J48" s="13">
        <f t="shared" si="15"/>
        <v>737.848702</v>
      </c>
      <c r="K48" s="14">
        <v>69.8322</v>
      </c>
      <c r="L48" s="6">
        <v>0.115239</v>
      </c>
      <c r="M48" s="13">
        <f t="shared" si="16"/>
        <v>2115.879573</v>
      </c>
      <c r="N48" s="17"/>
      <c r="O48" s="13">
        <f t="shared" si="17"/>
        <v>0</v>
      </c>
      <c r="P48" s="17">
        <v>0</v>
      </c>
      <c r="Q48" s="13">
        <f t="shared" si="18"/>
        <v>0</v>
      </c>
      <c r="R48" s="13">
        <f t="shared" si="19"/>
        <v>2853.7282750000004</v>
      </c>
    </row>
    <row r="49" spans="1:18" ht="15">
      <c r="A49" s="24" t="s">
        <v>112</v>
      </c>
      <c r="B49" s="51">
        <v>2003</v>
      </c>
      <c r="C49" s="35" t="s">
        <v>37</v>
      </c>
      <c r="D49" s="36">
        <f>'C-2 Customer Count'!F17</f>
        <v>9</v>
      </c>
      <c r="E49" s="36">
        <v>1</v>
      </c>
      <c r="F49" s="38"/>
      <c r="G49" s="39">
        <f>'C-1 Monthly Volumes'!M25</f>
        <v>14591</v>
      </c>
      <c r="H49" s="14">
        <v>24.352</v>
      </c>
      <c r="I49" s="6">
        <v>0.040186</v>
      </c>
      <c r="J49" s="13">
        <f t="shared" si="15"/>
        <v>805.521926</v>
      </c>
      <c r="K49" s="14">
        <v>69.8322</v>
      </c>
      <c r="L49" s="6">
        <v>0.115239</v>
      </c>
      <c r="M49" s="13">
        <f t="shared" si="16"/>
        <v>2309.942049</v>
      </c>
      <c r="N49" s="17"/>
      <c r="O49" s="13">
        <f t="shared" si="17"/>
        <v>0</v>
      </c>
      <c r="P49" s="17">
        <v>0</v>
      </c>
      <c r="Q49" s="13">
        <f t="shared" si="18"/>
        <v>0</v>
      </c>
      <c r="R49" s="13">
        <f t="shared" si="19"/>
        <v>3115.463975</v>
      </c>
    </row>
    <row r="50" spans="1:18" ht="15">
      <c r="A50" s="24" t="s">
        <v>112</v>
      </c>
      <c r="B50" s="51">
        <v>2003</v>
      </c>
      <c r="C50" s="35" t="s">
        <v>30</v>
      </c>
      <c r="D50" s="36">
        <f>'C-2 Customer Count'!F18</f>
        <v>9</v>
      </c>
      <c r="E50" s="36">
        <v>1</v>
      </c>
      <c r="F50" s="38"/>
      <c r="G50" s="39">
        <f>'C-1 Monthly Volumes'!M26</f>
        <v>14827</v>
      </c>
      <c r="H50" s="14">
        <v>24.352</v>
      </c>
      <c r="I50" s="6">
        <v>0.040186</v>
      </c>
      <c r="J50" s="13">
        <f t="shared" si="15"/>
        <v>815.005822</v>
      </c>
      <c r="K50" s="14">
        <v>69.8322</v>
      </c>
      <c r="L50" s="6">
        <v>0.115239</v>
      </c>
      <c r="M50" s="13">
        <f t="shared" si="16"/>
        <v>2337.138453</v>
      </c>
      <c r="N50" s="17"/>
      <c r="O50" s="13">
        <f t="shared" si="17"/>
        <v>0</v>
      </c>
      <c r="P50" s="17">
        <v>0</v>
      </c>
      <c r="Q50" s="13">
        <f t="shared" si="18"/>
        <v>0</v>
      </c>
      <c r="R50" s="13">
        <f t="shared" si="19"/>
        <v>3152.144275</v>
      </c>
    </row>
    <row r="51" spans="1:18" ht="15">
      <c r="A51" s="24" t="s">
        <v>112</v>
      </c>
      <c r="B51" s="51">
        <v>2003</v>
      </c>
      <c r="C51" s="35" t="s">
        <v>38</v>
      </c>
      <c r="D51" s="36">
        <f>'C-2 Customer Count'!F19</f>
        <v>9</v>
      </c>
      <c r="E51" s="36">
        <v>1</v>
      </c>
      <c r="F51" s="38"/>
      <c r="G51" s="39">
        <f>'C-1 Monthly Volumes'!M27</f>
        <v>10486</v>
      </c>
      <c r="H51" s="14">
        <v>24.352</v>
      </c>
      <c r="I51" s="6">
        <v>0.040186</v>
      </c>
      <c r="J51" s="13">
        <f t="shared" si="15"/>
        <v>640.558396</v>
      </c>
      <c r="K51" s="14">
        <v>69.8322</v>
      </c>
      <c r="L51" s="6">
        <v>0.115239</v>
      </c>
      <c r="M51" s="13">
        <f t="shared" si="16"/>
        <v>1836.885954</v>
      </c>
      <c r="N51" s="17"/>
      <c r="O51" s="13">
        <f t="shared" si="17"/>
        <v>0</v>
      </c>
      <c r="P51" s="17">
        <v>0</v>
      </c>
      <c r="Q51" s="13">
        <f t="shared" si="18"/>
        <v>0</v>
      </c>
      <c r="R51" s="13">
        <f t="shared" si="19"/>
        <v>2477.44435</v>
      </c>
    </row>
    <row r="52" spans="1:18" ht="15">
      <c r="A52" s="24" t="s">
        <v>112</v>
      </c>
      <c r="B52" s="51">
        <v>2003</v>
      </c>
      <c r="C52" s="35" t="s">
        <v>39</v>
      </c>
      <c r="D52" s="36">
        <f>'C-2 Customer Count'!F20</f>
        <v>9</v>
      </c>
      <c r="E52" s="36">
        <v>1</v>
      </c>
      <c r="F52" s="38"/>
      <c r="G52" s="39">
        <f>'C-1 Monthly Volumes'!M28</f>
        <v>10276</v>
      </c>
      <c r="H52" s="14">
        <v>24.352</v>
      </c>
      <c r="I52" s="6">
        <v>0.040186</v>
      </c>
      <c r="J52" s="13">
        <f t="shared" si="15"/>
        <v>632.119336</v>
      </c>
      <c r="K52" s="14">
        <v>69.8322</v>
      </c>
      <c r="L52" s="6">
        <v>0.115239</v>
      </c>
      <c r="M52" s="13">
        <f t="shared" si="16"/>
        <v>1812.685764</v>
      </c>
      <c r="N52" s="17"/>
      <c r="O52" s="13">
        <f t="shared" si="17"/>
        <v>0</v>
      </c>
      <c r="P52" s="17">
        <v>0</v>
      </c>
      <c r="Q52" s="13">
        <f t="shared" si="18"/>
        <v>0</v>
      </c>
      <c r="R52" s="13">
        <f t="shared" si="19"/>
        <v>2444.8051</v>
      </c>
    </row>
    <row r="53" spans="1:18" ht="15">
      <c r="A53" s="24" t="s">
        <v>112</v>
      </c>
      <c r="B53" s="51">
        <v>2003</v>
      </c>
      <c r="C53" s="35" t="s">
        <v>40</v>
      </c>
      <c r="D53" s="36">
        <f>'C-2 Customer Count'!F21</f>
        <v>9</v>
      </c>
      <c r="E53" s="36">
        <v>1</v>
      </c>
      <c r="F53" s="38"/>
      <c r="G53" s="39">
        <f>'C-1 Monthly Volumes'!M29</f>
        <v>10281</v>
      </c>
      <c r="H53" s="14">
        <v>24.352</v>
      </c>
      <c r="I53" s="6">
        <v>0.040186</v>
      </c>
      <c r="J53" s="13">
        <f t="shared" si="15"/>
        <v>632.320266</v>
      </c>
      <c r="K53" s="14">
        <v>69.8322</v>
      </c>
      <c r="L53" s="6">
        <v>0.115239</v>
      </c>
      <c r="M53" s="13">
        <f t="shared" si="16"/>
        <v>1813.261959</v>
      </c>
      <c r="N53" s="17"/>
      <c r="O53" s="13">
        <f t="shared" si="17"/>
        <v>0</v>
      </c>
      <c r="P53" s="17">
        <v>0</v>
      </c>
      <c r="Q53" s="13">
        <f t="shared" si="18"/>
        <v>0</v>
      </c>
      <c r="R53" s="13">
        <f t="shared" si="19"/>
        <v>2445.582225</v>
      </c>
    </row>
    <row r="54" spans="1:18" ht="15">
      <c r="A54" s="24" t="s">
        <v>112</v>
      </c>
      <c r="B54" s="51">
        <v>2003</v>
      </c>
      <c r="C54" s="35" t="s">
        <v>41</v>
      </c>
      <c r="D54" s="36">
        <f>'C-2 Customer Count'!F22</f>
        <v>9</v>
      </c>
      <c r="E54" s="36">
        <v>1</v>
      </c>
      <c r="F54" s="38"/>
      <c r="G54" s="39">
        <f>'C-1 Monthly Volumes'!M30</f>
        <v>10276</v>
      </c>
      <c r="H54" s="14">
        <v>24.352</v>
      </c>
      <c r="I54" s="6">
        <v>0.040186</v>
      </c>
      <c r="J54" s="13">
        <f t="shared" si="15"/>
        <v>632.119336</v>
      </c>
      <c r="K54" s="14">
        <v>69.8322</v>
      </c>
      <c r="L54" s="6">
        <v>0.115239</v>
      </c>
      <c r="M54" s="13">
        <f t="shared" si="16"/>
        <v>1812.685764</v>
      </c>
      <c r="N54" s="17"/>
      <c r="O54" s="13">
        <f t="shared" si="17"/>
        <v>0</v>
      </c>
      <c r="P54" s="17">
        <v>0</v>
      </c>
      <c r="Q54" s="13">
        <f t="shared" si="18"/>
        <v>0</v>
      </c>
      <c r="R54" s="13">
        <f t="shared" si="19"/>
        <v>2444.8051</v>
      </c>
    </row>
    <row r="55" spans="1:18" ht="15">
      <c r="A55" s="24" t="s">
        <v>112</v>
      </c>
      <c r="B55" s="51">
        <v>2003</v>
      </c>
      <c r="C55" s="35" t="s">
        <v>42</v>
      </c>
      <c r="D55" s="36">
        <f>'C-2 Customer Count'!F23</f>
        <v>9</v>
      </c>
      <c r="E55" s="36">
        <v>1</v>
      </c>
      <c r="F55" s="38"/>
      <c r="G55" s="39">
        <f>'C-1 Monthly Volumes'!M31</f>
        <v>10370</v>
      </c>
      <c r="H55" s="14">
        <v>24.352</v>
      </c>
      <c r="I55" s="6">
        <v>0.040186</v>
      </c>
      <c r="J55" s="13">
        <f t="shared" si="15"/>
        <v>635.8968199999999</v>
      </c>
      <c r="K55" s="14">
        <v>69.8322</v>
      </c>
      <c r="L55" s="6">
        <v>0.115239</v>
      </c>
      <c r="M55" s="13">
        <f t="shared" si="16"/>
        <v>1823.51823</v>
      </c>
      <c r="N55" s="17"/>
      <c r="O55" s="13">
        <f t="shared" si="17"/>
        <v>0</v>
      </c>
      <c r="P55" s="17">
        <v>0</v>
      </c>
      <c r="Q55" s="13">
        <f t="shared" si="18"/>
        <v>0</v>
      </c>
      <c r="R55" s="13">
        <f t="shared" si="19"/>
        <v>2459.4150499999996</v>
      </c>
    </row>
    <row r="56" spans="1:18" ht="15">
      <c r="A56" s="24" t="s">
        <v>112</v>
      </c>
      <c r="B56" s="51">
        <v>2003</v>
      </c>
      <c r="C56" s="35" t="s">
        <v>43</v>
      </c>
      <c r="D56" s="36">
        <f>'C-2 Customer Count'!F24</f>
        <v>9</v>
      </c>
      <c r="E56" s="36">
        <v>1</v>
      </c>
      <c r="F56" s="38"/>
      <c r="G56" s="39">
        <f>'C-1 Monthly Volumes'!M32</f>
        <v>10274</v>
      </c>
      <c r="H56" s="14">
        <v>24.352</v>
      </c>
      <c r="I56" s="6">
        <v>0.040186</v>
      </c>
      <c r="J56" s="13">
        <f t="shared" si="15"/>
        <v>632.0389640000001</v>
      </c>
      <c r="K56" s="14">
        <v>69.8322</v>
      </c>
      <c r="L56" s="6">
        <v>0.115239</v>
      </c>
      <c r="M56" s="13">
        <f t="shared" si="16"/>
        <v>1812.455286</v>
      </c>
      <c r="N56" s="17"/>
      <c r="O56" s="13">
        <f t="shared" si="17"/>
        <v>0</v>
      </c>
      <c r="P56" s="17">
        <v>0</v>
      </c>
      <c r="Q56" s="13">
        <f t="shared" si="18"/>
        <v>0</v>
      </c>
      <c r="R56" s="13">
        <f t="shared" si="19"/>
        <v>2444.4942499999997</v>
      </c>
    </row>
    <row r="57" spans="1:18" ht="15.75" thickBot="1">
      <c r="A57" s="24" t="s">
        <v>112</v>
      </c>
      <c r="B57" s="51">
        <v>2003</v>
      </c>
      <c r="C57" s="35" t="s">
        <v>44</v>
      </c>
      <c r="D57" s="36">
        <f>'C-2 Customer Count'!F25</f>
        <v>9</v>
      </c>
      <c r="E57" s="36">
        <v>1</v>
      </c>
      <c r="F57" s="38"/>
      <c r="G57" s="39">
        <f>'C-1 Monthly Volumes'!M33</f>
        <v>10161</v>
      </c>
      <c r="H57" s="14">
        <v>24.352</v>
      </c>
      <c r="I57" s="6">
        <v>0.040186</v>
      </c>
      <c r="J57" s="13">
        <f t="shared" si="15"/>
        <v>627.497946</v>
      </c>
      <c r="K57" s="14">
        <v>69.8322</v>
      </c>
      <c r="L57" s="6">
        <v>0.115239</v>
      </c>
      <c r="M57" s="13">
        <f t="shared" si="16"/>
        <v>1799.433279</v>
      </c>
      <c r="N57" s="17"/>
      <c r="O57" s="13">
        <f t="shared" si="17"/>
        <v>0</v>
      </c>
      <c r="P57" s="17">
        <v>0</v>
      </c>
      <c r="Q57" s="13">
        <f t="shared" si="18"/>
        <v>0</v>
      </c>
      <c r="R57" s="13">
        <f t="shared" si="19"/>
        <v>2426.9312250000003</v>
      </c>
    </row>
    <row r="58" spans="1:18" ht="15.75" thickBot="1">
      <c r="A58" s="53" t="s">
        <v>114</v>
      </c>
      <c r="B58" s="54"/>
      <c r="C58" s="55"/>
      <c r="D58" s="56">
        <f>SUM(D46:D57)</f>
        <v>108</v>
      </c>
      <c r="E58" s="56"/>
      <c r="F58" s="56">
        <f>SUM(F46:F57)</f>
        <v>0</v>
      </c>
      <c r="G58" s="56">
        <f>SUM(G46:G57)</f>
        <v>143779</v>
      </c>
      <c r="H58" s="58"/>
      <c r="I58" s="59"/>
      <c r="J58" s="60">
        <f>SUM(J46:J57)</f>
        <v>8407.918893999999</v>
      </c>
      <c r="K58" s="58"/>
      <c r="L58" s="59"/>
      <c r="M58" s="60">
        <f>SUM(M46:M57)</f>
        <v>24110.825781000003</v>
      </c>
      <c r="N58" s="61"/>
      <c r="O58" s="60">
        <f>SUM(O46:O57)</f>
        <v>0</v>
      </c>
      <c r="P58" s="61"/>
      <c r="Q58" s="60">
        <f>SUM(Q46:Q57)</f>
        <v>0</v>
      </c>
      <c r="R58" s="60">
        <f>SUM(R46:R57)</f>
        <v>32518.744675000005</v>
      </c>
    </row>
    <row r="59" spans="1:18" ht="15">
      <c r="A59" s="24"/>
      <c r="B59" s="51"/>
      <c r="C59" s="35"/>
      <c r="D59" s="36"/>
      <c r="E59" s="36"/>
      <c r="F59" s="38"/>
      <c r="G59" s="39"/>
      <c r="H59" s="14"/>
      <c r="I59" s="6"/>
      <c r="J59" s="13"/>
      <c r="K59" s="14"/>
      <c r="L59" s="6"/>
      <c r="M59" s="13"/>
      <c r="N59" s="17"/>
      <c r="O59" s="13"/>
      <c r="P59" s="17"/>
      <c r="Q59" s="13"/>
      <c r="R59" s="13"/>
    </row>
    <row r="60" spans="1:18" ht="15">
      <c r="A60" s="24" t="s">
        <v>2</v>
      </c>
      <c r="B60" s="51">
        <v>2003</v>
      </c>
      <c r="C60" s="35" t="s">
        <v>34</v>
      </c>
      <c r="D60" s="36">
        <f>'C-2 Customer Count'!G14</f>
        <v>287</v>
      </c>
      <c r="E60" s="36">
        <v>1</v>
      </c>
      <c r="F60" s="38"/>
      <c r="G60" s="39">
        <f>'C-1 Monthly Volumes'!D41</f>
        <v>108</v>
      </c>
      <c r="H60" s="14">
        <v>0.2264</v>
      </c>
      <c r="I60" s="6">
        <v>0.308629</v>
      </c>
      <c r="J60" s="13">
        <f>D60*E60*H60+(F60+G60)*I60</f>
        <v>98.30873199999999</v>
      </c>
      <c r="K60" s="14">
        <v>0.6494</v>
      </c>
      <c r="L60" s="6">
        <v>0.885029</v>
      </c>
      <c r="M60" s="13">
        <f>D60*E60*K60+(F60+G60)*L60</f>
        <v>281.96093199999996</v>
      </c>
      <c r="N60" s="17"/>
      <c r="O60" s="13">
        <f>(F60+G60)*N60</f>
        <v>0</v>
      </c>
      <c r="P60" s="17">
        <v>0</v>
      </c>
      <c r="Q60" s="13">
        <f>(F60+G60)*P60</f>
        <v>0</v>
      </c>
      <c r="R60" s="13">
        <f>J60+M60+O60+Q60</f>
        <v>380.2696639999999</v>
      </c>
    </row>
    <row r="61" spans="1:18" ht="15">
      <c r="A61" s="24" t="s">
        <v>2</v>
      </c>
      <c r="B61" s="51">
        <v>2003</v>
      </c>
      <c r="C61" s="35" t="s">
        <v>35</v>
      </c>
      <c r="D61" s="36">
        <f>'C-2 Customer Count'!G15</f>
        <v>287</v>
      </c>
      <c r="E61" s="36">
        <v>1</v>
      </c>
      <c r="F61" s="38"/>
      <c r="G61" s="39">
        <f>'C-1 Monthly Volumes'!D42</f>
        <v>147</v>
      </c>
      <c r="H61" s="14">
        <v>0.2264</v>
      </c>
      <c r="I61" s="6">
        <v>0.308629</v>
      </c>
      <c r="J61" s="13">
        <f aca="true" t="shared" si="20" ref="J61:J71">D61*E61*H61+(F61+G61)*I61</f>
        <v>110.34526299999999</v>
      </c>
      <c r="K61" s="14">
        <v>0.6494</v>
      </c>
      <c r="L61" s="6">
        <v>0.885029</v>
      </c>
      <c r="M61" s="13">
        <f aca="true" t="shared" si="21" ref="M61:M71">D61*E61*K61+(F61+G61)*L61</f>
        <v>316.47706299999993</v>
      </c>
      <c r="N61" s="17"/>
      <c r="O61" s="13">
        <f aca="true" t="shared" si="22" ref="O61:O71">(F61+G61)*N61</f>
        <v>0</v>
      </c>
      <c r="P61" s="17">
        <v>0</v>
      </c>
      <c r="Q61" s="13">
        <f aca="true" t="shared" si="23" ref="Q61:Q71">(F61+G61)*P61</f>
        <v>0</v>
      </c>
      <c r="R61" s="13">
        <f aca="true" t="shared" si="24" ref="R61:R71">J61+M61+O61+Q61</f>
        <v>426.8223259999999</v>
      </c>
    </row>
    <row r="62" spans="1:18" ht="15">
      <c r="A62" s="24" t="s">
        <v>2</v>
      </c>
      <c r="B62" s="51">
        <v>2003</v>
      </c>
      <c r="C62" s="35" t="s">
        <v>36</v>
      </c>
      <c r="D62" s="36">
        <f>'C-2 Customer Count'!G16</f>
        <v>277</v>
      </c>
      <c r="E62" s="36">
        <v>1</v>
      </c>
      <c r="F62" s="38"/>
      <c r="G62" s="39">
        <f>'C-1 Monthly Volumes'!D43</f>
        <v>103</v>
      </c>
      <c r="H62" s="14">
        <v>0.2264</v>
      </c>
      <c r="I62" s="6">
        <v>0.308629</v>
      </c>
      <c r="J62" s="13">
        <f t="shared" si="20"/>
        <v>94.501587</v>
      </c>
      <c r="K62" s="14">
        <v>0.6494</v>
      </c>
      <c r="L62" s="6">
        <v>0.885029</v>
      </c>
      <c r="M62" s="13">
        <f t="shared" si="21"/>
        <v>271.041787</v>
      </c>
      <c r="N62" s="17"/>
      <c r="O62" s="13">
        <f t="shared" si="22"/>
        <v>0</v>
      </c>
      <c r="P62" s="17">
        <v>0</v>
      </c>
      <c r="Q62" s="13">
        <f t="shared" si="23"/>
        <v>0</v>
      </c>
      <c r="R62" s="13">
        <f t="shared" si="24"/>
        <v>365.543374</v>
      </c>
    </row>
    <row r="63" spans="1:18" ht="15">
      <c r="A63" s="24" t="s">
        <v>2</v>
      </c>
      <c r="B63" s="51">
        <v>2003</v>
      </c>
      <c r="C63" s="35" t="s">
        <v>37</v>
      </c>
      <c r="D63" s="36">
        <f>'C-2 Customer Count'!G17</f>
        <v>277</v>
      </c>
      <c r="E63" s="36">
        <v>1</v>
      </c>
      <c r="F63" s="38"/>
      <c r="G63" s="39">
        <f>'C-1 Monthly Volumes'!D44</f>
        <v>122</v>
      </c>
      <c r="H63" s="14">
        <v>0.2264</v>
      </c>
      <c r="I63" s="6">
        <v>0.308629</v>
      </c>
      <c r="J63" s="13">
        <f t="shared" si="20"/>
        <v>100.36553799999999</v>
      </c>
      <c r="K63" s="14">
        <v>0.6494</v>
      </c>
      <c r="L63" s="6">
        <v>0.885029</v>
      </c>
      <c r="M63" s="13">
        <f t="shared" si="21"/>
        <v>287.857338</v>
      </c>
      <c r="N63" s="17"/>
      <c r="O63" s="13">
        <f t="shared" si="22"/>
        <v>0</v>
      </c>
      <c r="P63" s="17">
        <v>0</v>
      </c>
      <c r="Q63" s="13">
        <f t="shared" si="23"/>
        <v>0</v>
      </c>
      <c r="R63" s="13">
        <f t="shared" si="24"/>
        <v>388.22287600000004</v>
      </c>
    </row>
    <row r="64" spans="1:18" ht="15">
      <c r="A64" s="24" t="s">
        <v>2</v>
      </c>
      <c r="B64" s="51">
        <v>2003</v>
      </c>
      <c r="C64" s="35" t="s">
        <v>30</v>
      </c>
      <c r="D64" s="36">
        <f>'C-2 Customer Count'!G18</f>
        <v>277</v>
      </c>
      <c r="E64" s="36">
        <v>1</v>
      </c>
      <c r="F64" s="38"/>
      <c r="G64" s="39">
        <f>'C-1 Monthly Volumes'!D45</f>
        <v>112</v>
      </c>
      <c r="H64" s="14">
        <v>0.2264</v>
      </c>
      <c r="I64" s="6">
        <v>0.308629</v>
      </c>
      <c r="J64" s="13">
        <f t="shared" si="20"/>
        <v>97.279248</v>
      </c>
      <c r="K64" s="14">
        <v>0.6494</v>
      </c>
      <c r="L64" s="6">
        <v>0.885029</v>
      </c>
      <c r="M64" s="13">
        <f t="shared" si="21"/>
        <v>279.007048</v>
      </c>
      <c r="N64" s="17"/>
      <c r="O64" s="13">
        <f t="shared" si="22"/>
        <v>0</v>
      </c>
      <c r="P64" s="17">
        <v>0</v>
      </c>
      <c r="Q64" s="13">
        <f t="shared" si="23"/>
        <v>0</v>
      </c>
      <c r="R64" s="13">
        <f t="shared" si="24"/>
        <v>376.286296</v>
      </c>
    </row>
    <row r="65" spans="1:18" ht="15">
      <c r="A65" s="24" t="s">
        <v>2</v>
      </c>
      <c r="B65" s="51">
        <v>2003</v>
      </c>
      <c r="C65" s="35" t="s">
        <v>38</v>
      </c>
      <c r="D65" s="36">
        <f>'C-2 Customer Count'!G19</f>
        <v>276</v>
      </c>
      <c r="E65" s="36">
        <v>1</v>
      </c>
      <c r="F65" s="38"/>
      <c r="G65" s="39">
        <f>'C-1 Monthly Volumes'!D46</f>
        <v>122</v>
      </c>
      <c r="H65" s="14">
        <v>0.2264</v>
      </c>
      <c r="I65" s="6">
        <v>0.308629</v>
      </c>
      <c r="J65" s="13">
        <f t="shared" si="20"/>
        <v>100.139138</v>
      </c>
      <c r="K65" s="14">
        <v>0.6494</v>
      </c>
      <c r="L65" s="6">
        <v>0.885029</v>
      </c>
      <c r="M65" s="13">
        <f t="shared" si="21"/>
        <v>287.207938</v>
      </c>
      <c r="N65" s="17"/>
      <c r="O65" s="13">
        <f t="shared" si="22"/>
        <v>0</v>
      </c>
      <c r="P65" s="17">
        <v>0</v>
      </c>
      <c r="Q65" s="13">
        <f t="shared" si="23"/>
        <v>0</v>
      </c>
      <c r="R65" s="13">
        <f t="shared" si="24"/>
        <v>387.347076</v>
      </c>
    </row>
    <row r="66" spans="1:18" ht="15">
      <c r="A66" s="24" t="s">
        <v>2</v>
      </c>
      <c r="B66" s="51">
        <v>2003</v>
      </c>
      <c r="C66" s="35" t="s">
        <v>39</v>
      </c>
      <c r="D66" s="36">
        <f>'C-2 Customer Count'!G20</f>
        <v>276</v>
      </c>
      <c r="E66" s="36">
        <v>1</v>
      </c>
      <c r="F66" s="38"/>
      <c r="G66" s="39">
        <f>'C-1 Monthly Volumes'!D47</f>
        <v>122</v>
      </c>
      <c r="H66" s="14">
        <v>0.2264</v>
      </c>
      <c r="I66" s="6">
        <v>0.308629</v>
      </c>
      <c r="J66" s="13">
        <f t="shared" si="20"/>
        <v>100.139138</v>
      </c>
      <c r="K66" s="14">
        <v>0.6494</v>
      </c>
      <c r="L66" s="6">
        <v>0.885029</v>
      </c>
      <c r="M66" s="13">
        <f t="shared" si="21"/>
        <v>287.207938</v>
      </c>
      <c r="N66" s="17"/>
      <c r="O66" s="13">
        <f t="shared" si="22"/>
        <v>0</v>
      </c>
      <c r="P66" s="17">
        <v>0</v>
      </c>
      <c r="Q66" s="13">
        <f t="shared" si="23"/>
        <v>0</v>
      </c>
      <c r="R66" s="13">
        <f t="shared" si="24"/>
        <v>387.347076</v>
      </c>
    </row>
    <row r="67" spans="1:18" ht="15">
      <c r="A67" s="24" t="s">
        <v>2</v>
      </c>
      <c r="B67" s="51">
        <v>2003</v>
      </c>
      <c r="C67" s="35" t="s">
        <v>40</v>
      </c>
      <c r="D67" s="36">
        <f>'C-2 Customer Count'!G21</f>
        <v>276</v>
      </c>
      <c r="E67" s="36">
        <v>1</v>
      </c>
      <c r="F67" s="38"/>
      <c r="G67" s="39">
        <f>'C-1 Monthly Volumes'!D48</f>
        <v>112</v>
      </c>
      <c r="H67" s="14">
        <v>0.2264</v>
      </c>
      <c r="I67" s="6">
        <v>0.308629</v>
      </c>
      <c r="J67" s="13">
        <f t="shared" si="20"/>
        <v>97.052848</v>
      </c>
      <c r="K67" s="14">
        <v>0.6494</v>
      </c>
      <c r="L67" s="6">
        <v>0.885029</v>
      </c>
      <c r="M67" s="13">
        <f t="shared" si="21"/>
        <v>278.357648</v>
      </c>
      <c r="N67" s="17"/>
      <c r="O67" s="13">
        <f t="shared" si="22"/>
        <v>0</v>
      </c>
      <c r="P67" s="17">
        <v>0</v>
      </c>
      <c r="Q67" s="13">
        <f t="shared" si="23"/>
        <v>0</v>
      </c>
      <c r="R67" s="13">
        <f t="shared" si="24"/>
        <v>375.41049599999997</v>
      </c>
    </row>
    <row r="68" spans="1:18" ht="15">
      <c r="A68" s="24" t="s">
        <v>2</v>
      </c>
      <c r="B68" s="51">
        <v>2003</v>
      </c>
      <c r="C68" s="35" t="s">
        <v>41</v>
      </c>
      <c r="D68" s="36">
        <f>'C-2 Customer Count'!G22</f>
        <v>276</v>
      </c>
      <c r="E68" s="36">
        <v>1</v>
      </c>
      <c r="F68" s="38"/>
      <c r="G68" s="39">
        <f>'C-1 Monthly Volumes'!D49</f>
        <v>106</v>
      </c>
      <c r="H68" s="14">
        <v>0.2264</v>
      </c>
      <c r="I68" s="6">
        <v>0.308629</v>
      </c>
      <c r="J68" s="13">
        <f t="shared" si="20"/>
        <v>95.20107399999999</v>
      </c>
      <c r="K68" s="14">
        <v>0.6494</v>
      </c>
      <c r="L68" s="6">
        <v>0.885029</v>
      </c>
      <c r="M68" s="13">
        <f t="shared" si="21"/>
        <v>273.04747399999997</v>
      </c>
      <c r="N68" s="17"/>
      <c r="O68" s="13">
        <f t="shared" si="22"/>
        <v>0</v>
      </c>
      <c r="P68" s="17">
        <v>0</v>
      </c>
      <c r="Q68" s="13">
        <f t="shared" si="23"/>
        <v>0</v>
      </c>
      <c r="R68" s="13">
        <f t="shared" si="24"/>
        <v>368.24854799999997</v>
      </c>
    </row>
    <row r="69" spans="1:18" ht="15">
      <c r="A69" s="24" t="s">
        <v>2</v>
      </c>
      <c r="B69" s="51">
        <v>2003</v>
      </c>
      <c r="C69" s="35" t="s">
        <v>42</v>
      </c>
      <c r="D69" s="36">
        <f>'C-2 Customer Count'!G23</f>
        <v>274</v>
      </c>
      <c r="E69" s="36">
        <v>1</v>
      </c>
      <c r="F69" s="38"/>
      <c r="G69" s="39">
        <f>'C-1 Monthly Volumes'!D50</f>
        <v>113</v>
      </c>
      <c r="H69" s="14">
        <v>0.2264</v>
      </c>
      <c r="I69" s="6">
        <v>0.308629</v>
      </c>
      <c r="J69" s="13">
        <f t="shared" si="20"/>
        <v>96.908677</v>
      </c>
      <c r="K69" s="14">
        <v>0.6494</v>
      </c>
      <c r="L69" s="6">
        <v>0.885029</v>
      </c>
      <c r="M69" s="13">
        <f t="shared" si="21"/>
        <v>277.943877</v>
      </c>
      <c r="N69" s="17"/>
      <c r="O69" s="13">
        <f t="shared" si="22"/>
        <v>0</v>
      </c>
      <c r="P69" s="17">
        <v>0</v>
      </c>
      <c r="Q69" s="13">
        <f t="shared" si="23"/>
        <v>0</v>
      </c>
      <c r="R69" s="13">
        <f t="shared" si="24"/>
        <v>374.852554</v>
      </c>
    </row>
    <row r="70" spans="1:18" ht="15">
      <c r="A70" s="24" t="s">
        <v>2</v>
      </c>
      <c r="B70" s="51">
        <v>2003</v>
      </c>
      <c r="C70" s="35" t="s">
        <v>43</v>
      </c>
      <c r="D70" s="36">
        <f>'C-2 Customer Count'!G24</f>
        <v>274</v>
      </c>
      <c r="E70" s="36">
        <v>1</v>
      </c>
      <c r="F70" s="38"/>
      <c r="G70" s="39">
        <f>'C-1 Monthly Volumes'!D51</f>
        <v>95</v>
      </c>
      <c r="H70" s="14">
        <v>0.2264</v>
      </c>
      <c r="I70" s="6">
        <v>0.308629</v>
      </c>
      <c r="J70" s="13">
        <f t="shared" si="20"/>
        <v>91.353355</v>
      </c>
      <c r="K70" s="14">
        <v>0.6494</v>
      </c>
      <c r="L70" s="6">
        <v>0.885029</v>
      </c>
      <c r="M70" s="13">
        <f t="shared" si="21"/>
        <v>262.013355</v>
      </c>
      <c r="N70" s="17"/>
      <c r="O70" s="13">
        <f t="shared" si="22"/>
        <v>0</v>
      </c>
      <c r="P70" s="17">
        <v>0</v>
      </c>
      <c r="Q70" s="13">
        <f t="shared" si="23"/>
        <v>0</v>
      </c>
      <c r="R70" s="13">
        <f t="shared" si="24"/>
        <v>353.36671</v>
      </c>
    </row>
    <row r="71" spans="1:18" ht="15.75" thickBot="1">
      <c r="A71" s="24" t="s">
        <v>2</v>
      </c>
      <c r="B71" s="51">
        <v>2003</v>
      </c>
      <c r="C71" s="35" t="s">
        <v>44</v>
      </c>
      <c r="D71" s="36">
        <f>'C-2 Customer Count'!G25</f>
        <v>274</v>
      </c>
      <c r="E71" s="36">
        <v>1</v>
      </c>
      <c r="F71" s="38"/>
      <c r="G71" s="39">
        <f>'C-1 Monthly Volumes'!D52</f>
        <v>114</v>
      </c>
      <c r="H71" s="14">
        <v>0.2264</v>
      </c>
      <c r="I71" s="6">
        <v>0.308629</v>
      </c>
      <c r="J71" s="13">
        <f t="shared" si="20"/>
        <v>97.21730600000001</v>
      </c>
      <c r="K71" s="14">
        <v>0.6494</v>
      </c>
      <c r="L71" s="6">
        <v>0.885029</v>
      </c>
      <c r="M71" s="13">
        <f t="shared" si="21"/>
        <v>278.82890599999996</v>
      </c>
      <c r="N71" s="17"/>
      <c r="O71" s="13">
        <f t="shared" si="22"/>
        <v>0</v>
      </c>
      <c r="P71" s="17">
        <v>0</v>
      </c>
      <c r="Q71" s="13">
        <f t="shared" si="23"/>
        <v>0</v>
      </c>
      <c r="R71" s="13">
        <f t="shared" si="24"/>
        <v>376.04621199999997</v>
      </c>
    </row>
    <row r="72" spans="1:18" ht="15.75" thickBot="1">
      <c r="A72" s="53" t="s">
        <v>54</v>
      </c>
      <c r="B72" s="54"/>
      <c r="C72" s="55"/>
      <c r="D72" s="56">
        <f>SUM(D60:D71)</f>
        <v>3331</v>
      </c>
      <c r="E72" s="56"/>
      <c r="F72" s="56">
        <f>SUM(F60:F71)</f>
        <v>0</v>
      </c>
      <c r="G72" s="56">
        <f>SUM(G60:G71)</f>
        <v>1376</v>
      </c>
      <c r="H72" s="58"/>
      <c r="I72" s="59"/>
      <c r="J72" s="60">
        <f>SUM(J60:J71)</f>
        <v>1178.811904</v>
      </c>
      <c r="K72" s="58"/>
      <c r="L72" s="59"/>
      <c r="M72" s="60">
        <f>SUM(M60:M71)</f>
        <v>3380.951304</v>
      </c>
      <c r="N72" s="61"/>
      <c r="O72" s="60">
        <f>SUM(O60:O71)</f>
        <v>0</v>
      </c>
      <c r="P72" s="61"/>
      <c r="Q72" s="60">
        <f>SUM(Q60:Q71)</f>
        <v>0</v>
      </c>
      <c r="R72" s="60">
        <f>SUM(R60:R71)</f>
        <v>4559.763208</v>
      </c>
    </row>
    <row r="73" spans="1:18" ht="15">
      <c r="A73" s="24"/>
      <c r="B73" s="51"/>
      <c r="C73" s="35"/>
      <c r="D73" s="36"/>
      <c r="E73" s="36"/>
      <c r="F73" s="38"/>
      <c r="G73" s="39"/>
      <c r="H73" s="14"/>
      <c r="I73" s="6"/>
      <c r="J73" s="13"/>
      <c r="K73" s="14"/>
      <c r="L73" s="6"/>
      <c r="M73" s="13"/>
      <c r="N73" s="17"/>
      <c r="O73" s="13"/>
      <c r="P73" s="17"/>
      <c r="Q73" s="13"/>
      <c r="R73" s="13"/>
    </row>
    <row r="74" spans="1:18" ht="15">
      <c r="A74" s="24" t="s">
        <v>3</v>
      </c>
      <c r="B74" s="51">
        <v>2003</v>
      </c>
      <c r="C74" s="35" t="s">
        <v>34</v>
      </c>
      <c r="D74" s="36">
        <f>'C-2 Customer Count'!H14</f>
        <v>3459</v>
      </c>
      <c r="E74" s="36">
        <v>1</v>
      </c>
      <c r="F74" s="38"/>
      <c r="G74" s="39">
        <f>'C-1 Monthly Volumes'!M41</f>
        <v>582</v>
      </c>
      <c r="H74" s="14">
        <v>0.0585</v>
      </c>
      <c r="I74" s="6">
        <v>0.121564</v>
      </c>
      <c r="J74" s="13">
        <f>D74*E74*H74+(F74+G74)*I74</f>
        <v>273.10174800000004</v>
      </c>
      <c r="K74" s="14">
        <v>0.1677</v>
      </c>
      <c r="L74" s="6">
        <v>0.348598</v>
      </c>
      <c r="M74" s="13">
        <f>D74*E74*K74+(F74+G74)*L74</f>
        <v>782.958336</v>
      </c>
      <c r="N74" s="17"/>
      <c r="O74" s="13">
        <f>(F74+G74)*N74</f>
        <v>0</v>
      </c>
      <c r="P74" s="17">
        <v>0</v>
      </c>
      <c r="Q74" s="13">
        <f>(F74+G74)*P74</f>
        <v>0</v>
      </c>
      <c r="R74" s="13">
        <f>J74+M74+O74+Q74</f>
        <v>1056.0600840000002</v>
      </c>
    </row>
    <row r="75" spans="1:18" ht="15">
      <c r="A75" s="24" t="s">
        <v>3</v>
      </c>
      <c r="B75" s="51">
        <v>2003</v>
      </c>
      <c r="C75" s="35" t="s">
        <v>35</v>
      </c>
      <c r="D75" s="36">
        <f>'C-2 Customer Count'!H15</f>
        <v>3460</v>
      </c>
      <c r="E75" s="36">
        <v>1</v>
      </c>
      <c r="F75" s="38"/>
      <c r="G75" s="39">
        <f>'C-1 Monthly Volumes'!M42</f>
        <v>581</v>
      </c>
      <c r="H75" s="14">
        <v>0.0585</v>
      </c>
      <c r="I75" s="6">
        <v>0.121564</v>
      </c>
      <c r="J75" s="13">
        <f aca="true" t="shared" si="25" ref="J75:J85">D75*E75*H75+(F75+G75)*I75</f>
        <v>273.03868400000005</v>
      </c>
      <c r="K75" s="14">
        <v>0.1677</v>
      </c>
      <c r="L75" s="6">
        <v>0.348598</v>
      </c>
      <c r="M75" s="13">
        <f aca="true" t="shared" si="26" ref="M75:M85">D75*E75*K75+(F75+G75)*L75</f>
        <v>782.777438</v>
      </c>
      <c r="N75" s="17"/>
      <c r="O75" s="13">
        <f aca="true" t="shared" si="27" ref="O75:O85">(F75+G75)*N75</f>
        <v>0</v>
      </c>
      <c r="P75" s="17">
        <v>0</v>
      </c>
      <c r="Q75" s="13">
        <f aca="true" t="shared" si="28" ref="Q75:Q85">(F75+G75)*P75</f>
        <v>0</v>
      </c>
      <c r="R75" s="13">
        <f aca="true" t="shared" si="29" ref="R75:R85">J75+M75+O75+Q75</f>
        <v>1055.816122</v>
      </c>
    </row>
    <row r="76" spans="1:18" ht="15">
      <c r="A76" s="24" t="s">
        <v>3</v>
      </c>
      <c r="B76" s="51">
        <v>2003</v>
      </c>
      <c r="C76" s="35" t="s">
        <v>36</v>
      </c>
      <c r="D76" s="36">
        <f>'C-2 Customer Count'!H16</f>
        <v>3460</v>
      </c>
      <c r="E76" s="36">
        <v>1</v>
      </c>
      <c r="F76" s="38"/>
      <c r="G76" s="39">
        <f>'C-1 Monthly Volumes'!M43</f>
        <v>582</v>
      </c>
      <c r="H76" s="14">
        <v>0.0585</v>
      </c>
      <c r="I76" s="6">
        <v>0.121564</v>
      </c>
      <c r="J76" s="13">
        <f t="shared" si="25"/>
        <v>273.160248</v>
      </c>
      <c r="K76" s="14">
        <v>0.1677</v>
      </c>
      <c r="L76" s="6">
        <v>0.348598</v>
      </c>
      <c r="M76" s="13">
        <f t="shared" si="26"/>
        <v>783.126036</v>
      </c>
      <c r="N76" s="17"/>
      <c r="O76" s="13">
        <f t="shared" si="27"/>
        <v>0</v>
      </c>
      <c r="P76" s="17">
        <v>0</v>
      </c>
      <c r="Q76" s="13">
        <f t="shared" si="28"/>
        <v>0</v>
      </c>
      <c r="R76" s="13">
        <f t="shared" si="29"/>
        <v>1056.286284</v>
      </c>
    </row>
    <row r="77" spans="1:18" ht="15">
      <c r="A77" s="24" t="s">
        <v>3</v>
      </c>
      <c r="B77" s="51">
        <v>2003</v>
      </c>
      <c r="C77" s="35" t="s">
        <v>37</v>
      </c>
      <c r="D77" s="36">
        <f>'C-2 Customer Count'!H17</f>
        <v>3460</v>
      </c>
      <c r="E77" s="36">
        <v>1</v>
      </c>
      <c r="F77" s="38"/>
      <c r="G77" s="39">
        <f>'C-1 Monthly Volumes'!M44</f>
        <v>582</v>
      </c>
      <c r="H77" s="14">
        <v>0.0585</v>
      </c>
      <c r="I77" s="6">
        <v>0.121564</v>
      </c>
      <c r="J77" s="13">
        <f t="shared" si="25"/>
        <v>273.160248</v>
      </c>
      <c r="K77" s="14">
        <v>0.1677</v>
      </c>
      <c r="L77" s="6">
        <v>0.348598</v>
      </c>
      <c r="M77" s="13">
        <f t="shared" si="26"/>
        <v>783.126036</v>
      </c>
      <c r="N77" s="17"/>
      <c r="O77" s="13">
        <f t="shared" si="27"/>
        <v>0</v>
      </c>
      <c r="P77" s="17">
        <v>0</v>
      </c>
      <c r="Q77" s="13">
        <f t="shared" si="28"/>
        <v>0</v>
      </c>
      <c r="R77" s="13">
        <f t="shared" si="29"/>
        <v>1056.286284</v>
      </c>
    </row>
    <row r="78" spans="1:18" ht="15">
      <c r="A78" s="24" t="s">
        <v>3</v>
      </c>
      <c r="B78" s="51">
        <v>2003</v>
      </c>
      <c r="C78" s="35" t="s">
        <v>30</v>
      </c>
      <c r="D78" s="36">
        <f>'C-2 Customer Count'!H18</f>
        <v>3460</v>
      </c>
      <c r="E78" s="36">
        <v>1</v>
      </c>
      <c r="F78" s="38"/>
      <c r="G78" s="39">
        <f>'C-1 Monthly Volumes'!M45</f>
        <v>582</v>
      </c>
      <c r="H78" s="14">
        <v>0.0585</v>
      </c>
      <c r="I78" s="6">
        <v>0.121564</v>
      </c>
      <c r="J78" s="13">
        <f t="shared" si="25"/>
        <v>273.160248</v>
      </c>
      <c r="K78" s="14">
        <v>0.1677</v>
      </c>
      <c r="L78" s="6">
        <v>0.348598</v>
      </c>
      <c r="M78" s="13">
        <f t="shared" si="26"/>
        <v>783.126036</v>
      </c>
      <c r="N78" s="17"/>
      <c r="O78" s="13">
        <f t="shared" si="27"/>
        <v>0</v>
      </c>
      <c r="P78" s="17">
        <v>0</v>
      </c>
      <c r="Q78" s="13">
        <f t="shared" si="28"/>
        <v>0</v>
      </c>
      <c r="R78" s="13">
        <f t="shared" si="29"/>
        <v>1056.286284</v>
      </c>
    </row>
    <row r="79" spans="1:18" ht="15">
      <c r="A79" s="24" t="s">
        <v>3</v>
      </c>
      <c r="B79" s="51">
        <v>2003</v>
      </c>
      <c r="C79" s="35" t="s">
        <v>38</v>
      </c>
      <c r="D79" s="36">
        <f>'C-2 Customer Count'!H19</f>
        <v>3460</v>
      </c>
      <c r="E79" s="36">
        <v>1</v>
      </c>
      <c r="F79" s="38"/>
      <c r="G79" s="39">
        <f>'C-1 Monthly Volumes'!M46</f>
        <v>582</v>
      </c>
      <c r="H79" s="14">
        <v>0.0585</v>
      </c>
      <c r="I79" s="6">
        <v>0.121564</v>
      </c>
      <c r="J79" s="13">
        <f t="shared" si="25"/>
        <v>273.160248</v>
      </c>
      <c r="K79" s="14">
        <v>0.1677</v>
      </c>
      <c r="L79" s="6">
        <v>0.348598</v>
      </c>
      <c r="M79" s="13">
        <f t="shared" si="26"/>
        <v>783.126036</v>
      </c>
      <c r="N79" s="17"/>
      <c r="O79" s="13">
        <f t="shared" si="27"/>
        <v>0</v>
      </c>
      <c r="P79" s="17">
        <v>0</v>
      </c>
      <c r="Q79" s="13">
        <f t="shared" si="28"/>
        <v>0</v>
      </c>
      <c r="R79" s="13">
        <f t="shared" si="29"/>
        <v>1056.286284</v>
      </c>
    </row>
    <row r="80" spans="1:18" ht="15">
      <c r="A80" s="24" t="s">
        <v>3</v>
      </c>
      <c r="B80" s="51">
        <v>2003</v>
      </c>
      <c r="C80" s="35" t="s">
        <v>39</v>
      </c>
      <c r="D80" s="36">
        <f>'C-2 Customer Count'!H20</f>
        <v>3460</v>
      </c>
      <c r="E80" s="36">
        <v>1</v>
      </c>
      <c r="F80" s="38"/>
      <c r="G80" s="39">
        <f>'C-1 Monthly Volumes'!M47</f>
        <v>582</v>
      </c>
      <c r="H80" s="14">
        <v>0.0585</v>
      </c>
      <c r="I80" s="6">
        <v>0.121564</v>
      </c>
      <c r="J80" s="13">
        <f t="shared" si="25"/>
        <v>273.160248</v>
      </c>
      <c r="K80" s="14">
        <v>0.1677</v>
      </c>
      <c r="L80" s="6">
        <v>0.348598</v>
      </c>
      <c r="M80" s="13">
        <f t="shared" si="26"/>
        <v>783.126036</v>
      </c>
      <c r="N80" s="17"/>
      <c r="O80" s="13">
        <f t="shared" si="27"/>
        <v>0</v>
      </c>
      <c r="P80" s="17">
        <v>0</v>
      </c>
      <c r="Q80" s="13">
        <f t="shared" si="28"/>
        <v>0</v>
      </c>
      <c r="R80" s="13">
        <f t="shared" si="29"/>
        <v>1056.286284</v>
      </c>
    </row>
    <row r="81" spans="1:18" ht="15">
      <c r="A81" s="24" t="s">
        <v>3</v>
      </c>
      <c r="B81" s="51">
        <v>2003</v>
      </c>
      <c r="C81" s="35" t="s">
        <v>40</v>
      </c>
      <c r="D81" s="36">
        <f>'C-2 Customer Count'!H21</f>
        <v>3460</v>
      </c>
      <c r="E81" s="36">
        <v>1</v>
      </c>
      <c r="F81" s="38"/>
      <c r="G81" s="39">
        <f>'C-1 Monthly Volumes'!M48</f>
        <v>582</v>
      </c>
      <c r="H81" s="14">
        <v>0.0585</v>
      </c>
      <c r="I81" s="6">
        <v>0.121564</v>
      </c>
      <c r="J81" s="13">
        <f t="shared" si="25"/>
        <v>273.160248</v>
      </c>
      <c r="K81" s="14">
        <v>0.1677</v>
      </c>
      <c r="L81" s="6">
        <v>0.348598</v>
      </c>
      <c r="M81" s="13">
        <f t="shared" si="26"/>
        <v>783.126036</v>
      </c>
      <c r="N81" s="17"/>
      <c r="O81" s="13">
        <f t="shared" si="27"/>
        <v>0</v>
      </c>
      <c r="P81" s="17">
        <v>0</v>
      </c>
      <c r="Q81" s="13">
        <f t="shared" si="28"/>
        <v>0</v>
      </c>
      <c r="R81" s="13">
        <f t="shared" si="29"/>
        <v>1056.286284</v>
      </c>
    </row>
    <row r="82" spans="1:18" ht="15">
      <c r="A82" s="24" t="s">
        <v>3</v>
      </c>
      <c r="B82" s="51">
        <v>2003</v>
      </c>
      <c r="C82" s="35" t="s">
        <v>41</v>
      </c>
      <c r="D82" s="36">
        <f>'C-2 Customer Count'!H22</f>
        <v>3460</v>
      </c>
      <c r="E82" s="36">
        <v>1</v>
      </c>
      <c r="F82" s="38"/>
      <c r="G82" s="39">
        <f>'C-1 Monthly Volumes'!M49</f>
        <v>582</v>
      </c>
      <c r="H82" s="14">
        <v>0.0585</v>
      </c>
      <c r="I82" s="6">
        <v>0.121564</v>
      </c>
      <c r="J82" s="13">
        <f t="shared" si="25"/>
        <v>273.160248</v>
      </c>
      <c r="K82" s="14">
        <v>0.1677</v>
      </c>
      <c r="L82" s="6">
        <v>0.348598</v>
      </c>
      <c r="M82" s="13">
        <f t="shared" si="26"/>
        <v>783.126036</v>
      </c>
      <c r="N82" s="17"/>
      <c r="O82" s="13">
        <f t="shared" si="27"/>
        <v>0</v>
      </c>
      <c r="P82" s="17">
        <v>0</v>
      </c>
      <c r="Q82" s="13">
        <f t="shared" si="28"/>
        <v>0</v>
      </c>
      <c r="R82" s="13">
        <f t="shared" si="29"/>
        <v>1056.286284</v>
      </c>
    </row>
    <row r="83" spans="1:18" ht="15">
      <c r="A83" s="24" t="s">
        <v>3</v>
      </c>
      <c r="B83" s="51">
        <v>2003</v>
      </c>
      <c r="C83" s="35" t="s">
        <v>42</v>
      </c>
      <c r="D83" s="36">
        <f>'C-2 Customer Count'!H23</f>
        <v>3460</v>
      </c>
      <c r="E83" s="36">
        <v>1</v>
      </c>
      <c r="F83" s="38"/>
      <c r="G83" s="39">
        <f>'C-1 Monthly Volumes'!M50</f>
        <v>582</v>
      </c>
      <c r="H83" s="14">
        <v>0.0585</v>
      </c>
      <c r="I83" s="6">
        <v>0.121564</v>
      </c>
      <c r="J83" s="13">
        <f t="shared" si="25"/>
        <v>273.160248</v>
      </c>
      <c r="K83" s="14">
        <v>0.1677</v>
      </c>
      <c r="L83" s="6">
        <v>0.348598</v>
      </c>
      <c r="M83" s="13">
        <f t="shared" si="26"/>
        <v>783.126036</v>
      </c>
      <c r="N83" s="17"/>
      <c r="O83" s="13">
        <f t="shared" si="27"/>
        <v>0</v>
      </c>
      <c r="P83" s="17">
        <v>0</v>
      </c>
      <c r="Q83" s="13">
        <f t="shared" si="28"/>
        <v>0</v>
      </c>
      <c r="R83" s="13">
        <f t="shared" si="29"/>
        <v>1056.286284</v>
      </c>
    </row>
    <row r="84" spans="1:18" ht="15">
      <c r="A84" s="24" t="s">
        <v>3</v>
      </c>
      <c r="B84" s="51">
        <v>2003</v>
      </c>
      <c r="C84" s="35" t="s">
        <v>43</v>
      </c>
      <c r="D84" s="36">
        <f>'C-2 Customer Count'!H24</f>
        <v>3462</v>
      </c>
      <c r="E84" s="36">
        <v>1</v>
      </c>
      <c r="F84" s="38"/>
      <c r="G84" s="39">
        <f>'C-1 Monthly Volumes'!M51</f>
        <v>581</v>
      </c>
      <c r="H84" s="14">
        <v>0.0585</v>
      </c>
      <c r="I84" s="6">
        <v>0.121564</v>
      </c>
      <c r="J84" s="13">
        <f t="shared" si="25"/>
        <v>273.155684</v>
      </c>
      <c r="K84" s="14">
        <v>0.1677</v>
      </c>
      <c r="L84" s="6">
        <v>0.348598</v>
      </c>
      <c r="M84" s="13">
        <f t="shared" si="26"/>
        <v>783.112838</v>
      </c>
      <c r="N84" s="17"/>
      <c r="O84" s="13">
        <f t="shared" si="27"/>
        <v>0</v>
      </c>
      <c r="P84" s="17">
        <v>0</v>
      </c>
      <c r="Q84" s="13">
        <f t="shared" si="28"/>
        <v>0</v>
      </c>
      <c r="R84" s="13">
        <f t="shared" si="29"/>
        <v>1056.268522</v>
      </c>
    </row>
    <row r="85" spans="1:18" ht="15.75" thickBot="1">
      <c r="A85" s="24" t="s">
        <v>3</v>
      </c>
      <c r="B85" s="51">
        <v>2003</v>
      </c>
      <c r="C85" s="35" t="s">
        <v>44</v>
      </c>
      <c r="D85" s="36">
        <f>'C-2 Customer Count'!H25</f>
        <v>3462</v>
      </c>
      <c r="E85" s="36">
        <v>1</v>
      </c>
      <c r="F85" s="38"/>
      <c r="G85" s="39">
        <f>'C-1 Monthly Volumes'!M52</f>
        <v>581</v>
      </c>
      <c r="H85" s="14">
        <v>0.0585</v>
      </c>
      <c r="I85" s="6">
        <v>0.121564</v>
      </c>
      <c r="J85" s="13">
        <f t="shared" si="25"/>
        <v>273.155684</v>
      </c>
      <c r="K85" s="14">
        <v>0.1677</v>
      </c>
      <c r="L85" s="6">
        <v>0.348598</v>
      </c>
      <c r="M85" s="13">
        <f t="shared" si="26"/>
        <v>783.112838</v>
      </c>
      <c r="N85" s="17"/>
      <c r="O85" s="13">
        <f t="shared" si="27"/>
        <v>0</v>
      </c>
      <c r="P85" s="17">
        <v>0</v>
      </c>
      <c r="Q85" s="13">
        <f t="shared" si="28"/>
        <v>0</v>
      </c>
      <c r="R85" s="13">
        <f t="shared" si="29"/>
        <v>1056.268522</v>
      </c>
    </row>
    <row r="86" spans="1:18" ht="15.75" thickBot="1">
      <c r="A86" s="53" t="s">
        <v>55</v>
      </c>
      <c r="B86" s="54"/>
      <c r="C86" s="55"/>
      <c r="D86" s="56">
        <f>SUM(D74:D85)</f>
        <v>41523</v>
      </c>
      <c r="E86" s="56"/>
      <c r="F86" s="56">
        <f>SUM(F74:F85)</f>
        <v>0</v>
      </c>
      <c r="G86" s="56">
        <f>SUM(G74:G85)</f>
        <v>6981</v>
      </c>
      <c r="H86" s="58"/>
      <c r="I86" s="59"/>
      <c r="J86" s="60">
        <f>SUM(J74:J85)</f>
        <v>3277.7337840000005</v>
      </c>
      <c r="K86" s="58"/>
      <c r="L86" s="59"/>
      <c r="M86" s="60">
        <f>SUM(M74:M85)</f>
        <v>9396.969738</v>
      </c>
      <c r="N86" s="61"/>
      <c r="O86" s="60">
        <f>SUM(O74:O85)</f>
        <v>0</v>
      </c>
      <c r="P86" s="61"/>
      <c r="Q86" s="60">
        <f>SUM(Q74:Q85)</f>
        <v>0</v>
      </c>
      <c r="R86" s="60">
        <f>SUM(R74:R85)</f>
        <v>12674.703522</v>
      </c>
    </row>
    <row r="87" spans="1:18" ht="15">
      <c r="A87" s="15"/>
      <c r="B87" s="3"/>
      <c r="C87" s="3"/>
      <c r="D87" s="62"/>
      <c r="E87" s="62"/>
      <c r="F87" s="62"/>
      <c r="G87" s="63"/>
      <c r="H87" s="14"/>
      <c r="I87" s="6"/>
      <c r="J87" s="13"/>
      <c r="K87" s="14"/>
      <c r="L87" s="6"/>
      <c r="M87" s="13"/>
      <c r="N87" s="17"/>
      <c r="O87" s="13"/>
      <c r="P87" s="17"/>
      <c r="Q87" s="13"/>
      <c r="R87" s="13"/>
    </row>
    <row r="88" spans="1:18" s="16" customFormat="1" ht="15.75" thickBot="1">
      <c r="A88" s="109" t="s">
        <v>20</v>
      </c>
      <c r="B88" s="110"/>
      <c r="C88" s="110"/>
      <c r="D88" s="111"/>
      <c r="E88" s="111"/>
      <c r="F88" s="111">
        <f>F15+F29+F44+F58+F72+F86</f>
        <v>162302100</v>
      </c>
      <c r="G88" s="111">
        <f>G15+G29+G44+G58+G72+G86</f>
        <v>433287</v>
      </c>
      <c r="H88" s="109"/>
      <c r="I88" s="110"/>
      <c r="J88" s="112">
        <f>J15+J29+J44+J58+J72+J86</f>
        <v>318762.689357</v>
      </c>
      <c r="K88" s="109"/>
      <c r="L88" s="110"/>
      <c r="M88" s="112">
        <f>M15+M29+M44+M58+M72+M86</f>
        <v>914113.9423729999</v>
      </c>
      <c r="N88" s="109"/>
      <c r="O88" s="112">
        <f>O15+O29+O44+O58+O72+O86</f>
        <v>0</v>
      </c>
      <c r="P88" s="109"/>
      <c r="Q88" s="112">
        <f>Q15+Q29+Q44+Q58+Q72+Q86</f>
        <v>0</v>
      </c>
      <c r="R88" s="112">
        <f>R15+R29+R44+R58+R72+R86</f>
        <v>1232876.63173</v>
      </c>
    </row>
    <row r="89" spans="1:18" ht="15">
      <c r="A89" s="3"/>
      <c r="B89" s="3"/>
      <c r="C89" s="3"/>
      <c r="D89" s="9"/>
      <c r="E89" s="9"/>
      <c r="F89" s="9"/>
      <c r="G89" s="9"/>
      <c r="H89" s="3"/>
      <c r="I89" s="3"/>
      <c r="J89" s="4"/>
      <c r="K89" s="3"/>
      <c r="L89" s="3"/>
      <c r="M89" s="4"/>
      <c r="N89" s="4"/>
      <c r="O89" s="4"/>
      <c r="P89" s="4"/>
      <c r="Q89" s="4"/>
      <c r="R89" s="4"/>
    </row>
    <row r="91" spans="6:11" ht="15">
      <c r="F91" s="10"/>
      <c r="J91" s="8"/>
      <c r="K91" s="2"/>
    </row>
    <row r="92" spans="10:11" ht="15">
      <c r="J92" s="8"/>
      <c r="K92" s="2"/>
    </row>
    <row r="93" spans="10:11" ht="15">
      <c r="J93" s="8"/>
      <c r="K93" s="2"/>
    </row>
    <row r="94" spans="10:11" ht="15">
      <c r="J94" s="8"/>
      <c r="K94" s="2"/>
    </row>
    <row r="95" spans="10:11" ht="15">
      <c r="J95" s="8"/>
      <c r="K95" s="2"/>
    </row>
    <row r="96" spans="10:11" ht="15">
      <c r="J96" s="8"/>
      <c r="K96" s="2"/>
    </row>
  </sheetData>
  <sheetProtection/>
  <printOptions horizontalCentered="1"/>
  <pageMargins left="0.5118110236220472" right="0.5118110236220472" top="0.9448818897637796" bottom="0.7086614173228347" header="0.31496062992125984" footer="0.31496062992125984"/>
  <pageSetup fitToHeight="2" horizontalDpi="600" verticalDpi="600" orientation="landscape" scale="70" r:id="rId1"/>
  <headerFooter>
    <oddHeader>&amp;ROrillia Power Distribution Corporation
EB-2011-0191
Filed: October 28, 2011
Appendix B</oddHeader>
    <oddFooter>&amp;C&amp;F
&amp;A&amp;RPage &amp;P
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R96"/>
  <sheetViews>
    <sheetView showGridLines="0" zoomScalePageLayoutView="0" workbookViewId="0" topLeftCell="A58">
      <selection activeCell="H29" sqref="A1:H29"/>
    </sheetView>
  </sheetViews>
  <sheetFormatPr defaultColWidth="9.140625" defaultRowHeight="15" outlineLevelCol="1"/>
  <cols>
    <col min="1" max="1" width="27.57421875" style="0" customWidth="1"/>
    <col min="2" max="2" width="7.57421875" style="0" customWidth="1"/>
    <col min="3" max="3" width="8.57421875" style="0" bestFit="1" customWidth="1"/>
    <col min="4" max="4" width="10.421875" style="0" bestFit="1" customWidth="1"/>
    <col min="5" max="5" width="7.57421875" style="0" customWidth="1"/>
    <col min="6" max="6" width="12.57421875" style="0" bestFit="1" customWidth="1"/>
    <col min="7" max="7" width="9.00390625" style="0" bestFit="1" customWidth="1"/>
    <col min="8" max="8" width="11.28125" style="0" bestFit="1" customWidth="1"/>
    <col min="9" max="9" width="11.00390625" style="0" bestFit="1" customWidth="1"/>
    <col min="10" max="11" width="12.57421875" style="0" bestFit="1" customWidth="1"/>
    <col min="12" max="12" width="11.421875" style="0" customWidth="1"/>
    <col min="13" max="13" width="12.57421875" style="0" bestFit="1" customWidth="1"/>
    <col min="14" max="14" width="11.00390625" style="0" bestFit="1" customWidth="1"/>
    <col min="15" max="15" width="12.57421875" style="0" bestFit="1" customWidth="1"/>
    <col min="16" max="16" width="9.8515625" style="0" hidden="1" customWidth="1" outlineLevel="1"/>
    <col min="17" max="17" width="14.57421875" style="0" hidden="1" customWidth="1" outlineLevel="1"/>
    <col min="18" max="18" width="14.28125" style="0" bestFit="1" customWidth="1" collapsed="1"/>
  </cols>
  <sheetData>
    <row r="1" s="1" customFormat="1" ht="15.75" thickBot="1"/>
    <row r="2" spans="1:18" s="20" customFormat="1" ht="75">
      <c r="A2" s="34" t="s">
        <v>19</v>
      </c>
      <c r="B2" s="50"/>
      <c r="C2" s="245" t="s">
        <v>18</v>
      </c>
      <c r="D2" s="245" t="s">
        <v>51</v>
      </c>
      <c r="E2" s="245" t="s">
        <v>22</v>
      </c>
      <c r="F2" s="245" t="s">
        <v>115</v>
      </c>
      <c r="G2" s="246" t="s">
        <v>116</v>
      </c>
      <c r="H2" s="247" t="s">
        <v>7</v>
      </c>
      <c r="I2" s="248" t="s">
        <v>14</v>
      </c>
      <c r="J2" s="249" t="s">
        <v>8</v>
      </c>
      <c r="K2" s="247" t="s">
        <v>78</v>
      </c>
      <c r="L2" s="248" t="s">
        <v>79</v>
      </c>
      <c r="M2" s="249" t="s">
        <v>80</v>
      </c>
      <c r="N2" s="247" t="s">
        <v>12</v>
      </c>
      <c r="O2" s="249" t="s">
        <v>13</v>
      </c>
      <c r="P2" s="247" t="s">
        <v>15</v>
      </c>
      <c r="Q2" s="249" t="s">
        <v>16</v>
      </c>
      <c r="R2" s="249" t="s">
        <v>4</v>
      </c>
    </row>
    <row r="3" spans="1:18" ht="15">
      <c r="A3" s="24" t="s">
        <v>0</v>
      </c>
      <c r="B3" s="51">
        <v>2004</v>
      </c>
      <c r="C3" s="35" t="s">
        <v>34</v>
      </c>
      <c r="D3" s="36">
        <f>'C-2 Customer Count'!C26</f>
        <v>10665</v>
      </c>
      <c r="E3" s="36">
        <v>1</v>
      </c>
      <c r="F3" s="36">
        <f>'C-1 Monthly Volumes'!E4</f>
        <v>10521352</v>
      </c>
      <c r="G3" s="37"/>
      <c r="H3" s="12">
        <v>0.7352</v>
      </c>
      <c r="I3" s="6">
        <v>0.000474</v>
      </c>
      <c r="J3" s="13">
        <f>D3*E3*H3+(F3+G3)*I3</f>
        <v>12828.028847999998</v>
      </c>
      <c r="K3" s="12">
        <v>2.1082</v>
      </c>
      <c r="L3" s="6">
        <v>0.001359</v>
      </c>
      <c r="M3" s="13">
        <f>D3*E3*K3+(F3+G3)*L3</f>
        <v>36782.470368</v>
      </c>
      <c r="N3" s="17"/>
      <c r="O3" s="13">
        <f>(F3+G3)*N3</f>
        <v>0</v>
      </c>
      <c r="P3" s="17">
        <v>0</v>
      </c>
      <c r="Q3" s="13">
        <f>(F3+G3)*P3</f>
        <v>0</v>
      </c>
      <c r="R3" s="13">
        <f>J3+M3+O3+Q3</f>
        <v>49610.499216</v>
      </c>
    </row>
    <row r="4" spans="1:18" ht="15">
      <c r="A4" s="24" t="s">
        <v>0</v>
      </c>
      <c r="B4" s="51">
        <v>2004</v>
      </c>
      <c r="C4" s="35" t="s">
        <v>35</v>
      </c>
      <c r="D4" s="36">
        <f>'C-2 Customer Count'!C27</f>
        <v>10674</v>
      </c>
      <c r="E4" s="36">
        <v>1</v>
      </c>
      <c r="F4" s="36">
        <f>'C-1 Monthly Volumes'!E5</f>
        <v>13822685</v>
      </c>
      <c r="G4" s="37"/>
      <c r="H4" s="12">
        <v>0.7352</v>
      </c>
      <c r="I4" s="6">
        <v>0.000474</v>
      </c>
      <c r="J4" s="13">
        <f>D4*E4*H4+(F4+G4)*I4</f>
        <v>14399.47749</v>
      </c>
      <c r="K4" s="12">
        <v>2.1082</v>
      </c>
      <c r="L4" s="6">
        <v>0.001359</v>
      </c>
      <c r="M4" s="13">
        <f>D4*E4*K4+(F4+G4)*L4</f>
        <v>41287.955715000004</v>
      </c>
      <c r="N4" s="17"/>
      <c r="O4" s="13">
        <f>(F4+G4)*N4</f>
        <v>0</v>
      </c>
      <c r="P4" s="17">
        <v>0</v>
      </c>
      <c r="Q4" s="13">
        <f>(F4+G4)*P4</f>
        <v>0</v>
      </c>
      <c r="R4" s="13">
        <f>J4+M4+O4+Q4</f>
        <v>55687.433205</v>
      </c>
    </row>
    <row r="5" spans="1:18" ht="15">
      <c r="A5" s="24" t="s">
        <v>0</v>
      </c>
      <c r="B5" s="51">
        <v>2004</v>
      </c>
      <c r="C5" s="35" t="s">
        <v>36</v>
      </c>
      <c r="D5" s="36">
        <f>'C-2 Customer Count'!C28</f>
        <v>10671</v>
      </c>
      <c r="E5" s="36">
        <v>1</v>
      </c>
      <c r="F5" s="36">
        <f>'C-1 Monthly Volumes'!E6</f>
        <v>24411133</v>
      </c>
      <c r="G5" s="37"/>
      <c r="H5" s="12">
        <v>0.7352</v>
      </c>
      <c r="I5" s="6">
        <v>0.000474</v>
      </c>
      <c r="J5" s="13">
        <f>D5*E5*H5+(F5+G5)*I5</f>
        <v>19416.196241999998</v>
      </c>
      <c r="K5" s="12">
        <v>2.1082</v>
      </c>
      <c r="L5" s="6">
        <v>0.001359</v>
      </c>
      <c r="M5" s="13">
        <f>D5*E5*K5+(F5+G5)*L5</f>
        <v>55671.331947</v>
      </c>
      <c r="N5" s="17"/>
      <c r="O5" s="13">
        <f>(F5+G5)*N5</f>
        <v>0</v>
      </c>
      <c r="P5" s="17">
        <v>0</v>
      </c>
      <c r="Q5" s="13">
        <f>(F5+G5)*P5</f>
        <v>0</v>
      </c>
      <c r="R5" s="13">
        <f>J5+M5+O5+Q5</f>
        <v>75087.528189</v>
      </c>
    </row>
    <row r="6" spans="1:18" ht="15">
      <c r="A6" s="24" t="s">
        <v>0</v>
      </c>
      <c r="B6" s="51">
        <v>2004</v>
      </c>
      <c r="C6" s="35" t="s">
        <v>37</v>
      </c>
      <c r="D6" s="36"/>
      <c r="E6" s="36"/>
      <c r="F6" s="36">
        <f>'C-1 Monthly Volumes'!E7</f>
        <v>88955</v>
      </c>
      <c r="G6" s="37"/>
      <c r="H6" s="12">
        <v>0</v>
      </c>
      <c r="I6" s="6">
        <v>0</v>
      </c>
      <c r="J6" s="13">
        <f>D6*E6*H6+(F6+G6)*I6</f>
        <v>0</v>
      </c>
      <c r="K6" s="12">
        <v>0</v>
      </c>
      <c r="L6" s="6">
        <v>0</v>
      </c>
      <c r="M6" s="13">
        <f>D6*E6*K6+(F6+G6)*L6</f>
        <v>0</v>
      </c>
      <c r="N6" s="17">
        <v>0.004277</v>
      </c>
      <c r="O6" s="13">
        <f>(F6+G6)*N6</f>
        <v>380.46053500000005</v>
      </c>
      <c r="P6" s="17">
        <v>0</v>
      </c>
      <c r="Q6" s="13">
        <f>(F6+G6)*P6</f>
        <v>0</v>
      </c>
      <c r="R6" s="13">
        <f>J6+M6+O6+Q6</f>
        <v>380.46053500000005</v>
      </c>
    </row>
    <row r="7" spans="1:18" ht="15">
      <c r="A7" s="24" t="s">
        <v>0</v>
      </c>
      <c r="B7" s="51">
        <v>2004</v>
      </c>
      <c r="C7" s="35" t="s">
        <v>30</v>
      </c>
      <c r="D7" s="36"/>
      <c r="E7" s="36"/>
      <c r="F7" s="36">
        <f>'C-1 Monthly Volumes'!E8</f>
        <v>5982030</v>
      </c>
      <c r="G7" s="37"/>
      <c r="H7" s="12">
        <v>0</v>
      </c>
      <c r="I7" s="6">
        <v>0</v>
      </c>
      <c r="J7" s="13">
        <f aca="true" t="shared" si="0" ref="J7:J14">D7*E7*H7+(F7+G7)*I7</f>
        <v>0</v>
      </c>
      <c r="K7" s="12">
        <v>0</v>
      </c>
      <c r="L7" s="6">
        <v>0</v>
      </c>
      <c r="M7" s="13">
        <f aca="true" t="shared" si="1" ref="M7:M14">D7*E7*K7+(F7+G7)*L7</f>
        <v>0</v>
      </c>
      <c r="N7" s="17">
        <v>0.004277</v>
      </c>
      <c r="O7" s="13">
        <f aca="true" t="shared" si="2" ref="O7:O14">(F7+G7)*N7</f>
        <v>25585.142310000003</v>
      </c>
      <c r="P7" s="17">
        <v>0</v>
      </c>
      <c r="Q7" s="13">
        <f aca="true" t="shared" si="3" ref="Q7:Q14">(F7+G7)*P7</f>
        <v>0</v>
      </c>
      <c r="R7" s="13">
        <f aca="true" t="shared" si="4" ref="R7:R14">J7+M7+O7+Q7</f>
        <v>25585.142310000003</v>
      </c>
    </row>
    <row r="8" spans="1:18" ht="15">
      <c r="A8" s="24" t="s">
        <v>0</v>
      </c>
      <c r="B8" s="51">
        <v>2004</v>
      </c>
      <c r="C8" s="35" t="s">
        <v>38</v>
      </c>
      <c r="D8" s="36"/>
      <c r="E8" s="36"/>
      <c r="F8" s="36">
        <f>'C-1 Monthly Volumes'!E9</f>
        <v>7474340</v>
      </c>
      <c r="G8" s="37"/>
      <c r="H8" s="12">
        <v>0</v>
      </c>
      <c r="I8" s="6">
        <v>0</v>
      </c>
      <c r="J8" s="13">
        <f t="shared" si="0"/>
        <v>0</v>
      </c>
      <c r="K8" s="12">
        <v>0</v>
      </c>
      <c r="L8" s="6">
        <v>0</v>
      </c>
      <c r="M8" s="13">
        <f t="shared" si="1"/>
        <v>0</v>
      </c>
      <c r="N8" s="17">
        <v>0.004277</v>
      </c>
      <c r="O8" s="13">
        <f t="shared" si="2"/>
        <v>31967.752180000003</v>
      </c>
      <c r="P8" s="17">
        <v>0</v>
      </c>
      <c r="Q8" s="13">
        <f t="shared" si="3"/>
        <v>0</v>
      </c>
      <c r="R8" s="13">
        <f t="shared" si="4"/>
        <v>31967.752180000003</v>
      </c>
    </row>
    <row r="9" spans="1:18" ht="15">
      <c r="A9" s="24" t="s">
        <v>0</v>
      </c>
      <c r="B9" s="51">
        <v>2004</v>
      </c>
      <c r="C9" s="35" t="s">
        <v>39</v>
      </c>
      <c r="D9" s="36"/>
      <c r="E9" s="36"/>
      <c r="F9" s="36">
        <f>'C-1 Monthly Volumes'!E10</f>
        <v>6811361</v>
      </c>
      <c r="G9" s="37"/>
      <c r="H9" s="12">
        <v>0</v>
      </c>
      <c r="I9" s="6">
        <v>0</v>
      </c>
      <c r="J9" s="13">
        <f t="shared" si="0"/>
        <v>0</v>
      </c>
      <c r="K9" s="12">
        <v>0</v>
      </c>
      <c r="L9" s="6">
        <v>0</v>
      </c>
      <c r="M9" s="13">
        <f t="shared" si="1"/>
        <v>0</v>
      </c>
      <c r="N9" s="17">
        <v>0.004277</v>
      </c>
      <c r="O9" s="13">
        <f t="shared" si="2"/>
        <v>29132.190997</v>
      </c>
      <c r="P9" s="17">
        <v>0</v>
      </c>
      <c r="Q9" s="13">
        <f t="shared" si="3"/>
        <v>0</v>
      </c>
      <c r="R9" s="13">
        <f t="shared" si="4"/>
        <v>29132.190997</v>
      </c>
    </row>
    <row r="10" spans="1:18" ht="15">
      <c r="A10" s="24" t="s">
        <v>0</v>
      </c>
      <c r="B10" s="51">
        <v>2004</v>
      </c>
      <c r="C10" s="35" t="s">
        <v>40</v>
      </c>
      <c r="D10" s="36"/>
      <c r="E10" s="36"/>
      <c r="F10" s="36">
        <f>'C-1 Monthly Volumes'!E11</f>
        <v>7296239</v>
      </c>
      <c r="G10" s="37"/>
      <c r="H10" s="12">
        <v>0</v>
      </c>
      <c r="I10" s="6">
        <v>0</v>
      </c>
      <c r="J10" s="13">
        <f t="shared" si="0"/>
        <v>0</v>
      </c>
      <c r="K10" s="12">
        <v>0</v>
      </c>
      <c r="L10" s="6">
        <v>0</v>
      </c>
      <c r="M10" s="13">
        <f t="shared" si="1"/>
        <v>0</v>
      </c>
      <c r="N10" s="17">
        <v>0.004277</v>
      </c>
      <c r="O10" s="13">
        <f t="shared" si="2"/>
        <v>31206.014203000002</v>
      </c>
      <c r="P10" s="17">
        <v>0</v>
      </c>
      <c r="Q10" s="13">
        <f t="shared" si="3"/>
        <v>0</v>
      </c>
      <c r="R10" s="13">
        <f t="shared" si="4"/>
        <v>31206.014203000002</v>
      </c>
    </row>
    <row r="11" spans="1:18" ht="15">
      <c r="A11" s="24" t="s">
        <v>0</v>
      </c>
      <c r="B11" s="51">
        <v>2004</v>
      </c>
      <c r="C11" s="35" t="s">
        <v>41</v>
      </c>
      <c r="D11" s="36"/>
      <c r="E11" s="36"/>
      <c r="F11" s="36">
        <f>'C-1 Monthly Volumes'!E12</f>
        <v>7706226</v>
      </c>
      <c r="G11" s="37"/>
      <c r="H11" s="12">
        <v>0</v>
      </c>
      <c r="I11" s="6">
        <v>0</v>
      </c>
      <c r="J11" s="13">
        <f t="shared" si="0"/>
        <v>0</v>
      </c>
      <c r="K11" s="12">
        <v>0</v>
      </c>
      <c r="L11" s="6">
        <v>0</v>
      </c>
      <c r="M11" s="13">
        <f t="shared" si="1"/>
        <v>0</v>
      </c>
      <c r="N11" s="17">
        <v>0.004277</v>
      </c>
      <c r="O11" s="13">
        <f t="shared" si="2"/>
        <v>32959.528602000006</v>
      </c>
      <c r="P11" s="17">
        <v>0</v>
      </c>
      <c r="Q11" s="13">
        <f t="shared" si="3"/>
        <v>0</v>
      </c>
      <c r="R11" s="13">
        <f t="shared" si="4"/>
        <v>32959.528602000006</v>
      </c>
    </row>
    <row r="12" spans="1:18" ht="15">
      <c r="A12" s="24" t="s">
        <v>0</v>
      </c>
      <c r="B12" s="51">
        <v>2004</v>
      </c>
      <c r="C12" s="35" t="s">
        <v>42</v>
      </c>
      <c r="D12" s="36"/>
      <c r="E12" s="36"/>
      <c r="F12" s="36">
        <f>'C-1 Monthly Volumes'!E13</f>
        <v>7289543</v>
      </c>
      <c r="G12" s="37"/>
      <c r="H12" s="12">
        <v>0</v>
      </c>
      <c r="I12" s="6">
        <v>0</v>
      </c>
      <c r="J12" s="13">
        <f t="shared" si="0"/>
        <v>0</v>
      </c>
      <c r="K12" s="12">
        <v>0</v>
      </c>
      <c r="L12" s="6">
        <v>0</v>
      </c>
      <c r="M12" s="13">
        <f t="shared" si="1"/>
        <v>0</v>
      </c>
      <c r="N12" s="17">
        <v>0.004277</v>
      </c>
      <c r="O12" s="13">
        <f t="shared" si="2"/>
        <v>31177.375411000005</v>
      </c>
      <c r="P12" s="17">
        <v>0</v>
      </c>
      <c r="Q12" s="13">
        <f t="shared" si="3"/>
        <v>0</v>
      </c>
      <c r="R12" s="13">
        <f t="shared" si="4"/>
        <v>31177.375411000005</v>
      </c>
    </row>
    <row r="13" spans="1:18" ht="15">
      <c r="A13" s="24" t="s">
        <v>0</v>
      </c>
      <c r="B13" s="51">
        <v>2004</v>
      </c>
      <c r="C13" s="35" t="s">
        <v>43</v>
      </c>
      <c r="D13" s="36"/>
      <c r="E13" s="36"/>
      <c r="F13" s="36">
        <f>'C-1 Monthly Volumes'!E14</f>
        <v>6857247</v>
      </c>
      <c r="G13" s="37"/>
      <c r="H13" s="12">
        <v>0</v>
      </c>
      <c r="I13" s="6">
        <v>0</v>
      </c>
      <c r="J13" s="13">
        <f t="shared" si="0"/>
        <v>0</v>
      </c>
      <c r="K13" s="12">
        <v>0</v>
      </c>
      <c r="L13" s="6">
        <v>0</v>
      </c>
      <c r="M13" s="13">
        <f t="shared" si="1"/>
        <v>0</v>
      </c>
      <c r="N13" s="17">
        <v>0.004277</v>
      </c>
      <c r="O13" s="13">
        <f t="shared" si="2"/>
        <v>29328.445419000003</v>
      </c>
      <c r="P13" s="17">
        <v>0</v>
      </c>
      <c r="Q13" s="13">
        <f t="shared" si="3"/>
        <v>0</v>
      </c>
      <c r="R13" s="13">
        <f t="shared" si="4"/>
        <v>29328.445419000003</v>
      </c>
    </row>
    <row r="14" spans="1:18" ht="15.75" thickBot="1">
      <c r="A14" s="24" t="s">
        <v>0</v>
      </c>
      <c r="B14" s="51">
        <v>2004</v>
      </c>
      <c r="C14" s="35" t="s">
        <v>44</v>
      </c>
      <c r="D14" s="36"/>
      <c r="E14" s="36"/>
      <c r="F14" s="36">
        <f>'C-1 Monthly Volumes'!E15</f>
        <v>8808683</v>
      </c>
      <c r="G14" s="37"/>
      <c r="H14" s="12">
        <v>0</v>
      </c>
      <c r="I14" s="6">
        <v>0</v>
      </c>
      <c r="J14" s="13">
        <f t="shared" si="0"/>
        <v>0</v>
      </c>
      <c r="K14" s="12">
        <v>0</v>
      </c>
      <c r="L14" s="6">
        <v>0</v>
      </c>
      <c r="M14" s="13">
        <f t="shared" si="1"/>
        <v>0</v>
      </c>
      <c r="N14" s="17">
        <v>0.004277</v>
      </c>
      <c r="O14" s="13">
        <f t="shared" si="2"/>
        <v>37674.737191</v>
      </c>
      <c r="P14" s="17">
        <v>0</v>
      </c>
      <c r="Q14" s="13">
        <f t="shared" si="3"/>
        <v>0</v>
      </c>
      <c r="R14" s="13">
        <f t="shared" si="4"/>
        <v>37674.737191</v>
      </c>
    </row>
    <row r="15" spans="1:18" ht="15.75" thickBot="1">
      <c r="A15" s="53" t="s">
        <v>52</v>
      </c>
      <c r="B15" s="54"/>
      <c r="C15" s="55"/>
      <c r="D15" s="56">
        <f>SUM(D3:D14)</f>
        <v>32010</v>
      </c>
      <c r="E15" s="56"/>
      <c r="F15" s="56">
        <f>SUM(F3:F14)</f>
        <v>107069794</v>
      </c>
      <c r="G15" s="57">
        <f>SUM(G3:G14)</f>
        <v>0</v>
      </c>
      <c r="H15" s="58"/>
      <c r="I15" s="59"/>
      <c r="J15" s="60">
        <f>SUM(J3:J14)</f>
        <v>46643.70258</v>
      </c>
      <c r="K15" s="58"/>
      <c r="L15" s="59"/>
      <c r="M15" s="60">
        <f>SUM(M3:M14)</f>
        <v>133741.75803</v>
      </c>
      <c r="N15" s="61"/>
      <c r="O15" s="60">
        <f>SUM(O3:O14)</f>
        <v>249411.646848</v>
      </c>
      <c r="P15" s="61"/>
      <c r="Q15" s="60">
        <f>SUM(Q3:Q14)</f>
        <v>0</v>
      </c>
      <c r="R15" s="60">
        <f>SUM(R3:R14)</f>
        <v>429797.1074580001</v>
      </c>
    </row>
    <row r="16" spans="1:18" ht="15">
      <c r="A16" s="24"/>
      <c r="B16" s="51"/>
      <c r="C16" s="35"/>
      <c r="D16" s="36"/>
      <c r="E16" s="36"/>
      <c r="F16" s="36"/>
      <c r="G16" s="37"/>
      <c r="H16" s="12"/>
      <c r="I16" s="6"/>
      <c r="J16" s="13"/>
      <c r="K16" s="12"/>
      <c r="L16" s="6"/>
      <c r="M16" s="13"/>
      <c r="N16" s="17"/>
      <c r="O16" s="13"/>
      <c r="P16" s="17"/>
      <c r="Q16" s="13"/>
      <c r="R16" s="13"/>
    </row>
    <row r="17" spans="1:18" ht="15">
      <c r="A17" s="24" t="s">
        <v>1</v>
      </c>
      <c r="B17" s="51">
        <v>2004</v>
      </c>
      <c r="C17" s="35" t="s">
        <v>34</v>
      </c>
      <c r="D17" s="36">
        <f>'C-2 Customer Count'!D26</f>
        <v>1483</v>
      </c>
      <c r="E17" s="36">
        <v>1</v>
      </c>
      <c r="F17" s="36">
        <f>'C-1 Monthly Volumes'!E22</f>
        <v>4380013</v>
      </c>
      <c r="G17" s="37"/>
      <c r="H17" s="12">
        <v>1.9663</v>
      </c>
      <c r="I17" s="6">
        <v>0.000712</v>
      </c>
      <c r="J17" s="13">
        <f>D17*E17*H17+(F17+G17)*I17</f>
        <v>6034.592156</v>
      </c>
      <c r="K17" s="12">
        <v>5.6385</v>
      </c>
      <c r="L17" s="6">
        <v>0.002043</v>
      </c>
      <c r="M17" s="13">
        <f>D17*E17*K17+(F17+G17)*L17</f>
        <v>17310.262059</v>
      </c>
      <c r="N17" s="17"/>
      <c r="O17" s="13">
        <f>(F17+G17)*N17</f>
        <v>0</v>
      </c>
      <c r="P17" s="17">
        <v>0</v>
      </c>
      <c r="Q17" s="13">
        <f>(F17+G17)*P17</f>
        <v>0</v>
      </c>
      <c r="R17" s="13">
        <f>J17+M17+O17+Q17</f>
        <v>23344.854215</v>
      </c>
    </row>
    <row r="18" spans="1:18" ht="15">
      <c r="A18" s="24" t="s">
        <v>1</v>
      </c>
      <c r="B18" s="51">
        <v>2004</v>
      </c>
      <c r="C18" s="35" t="s">
        <v>35</v>
      </c>
      <c r="D18" s="36">
        <f>'C-2 Customer Count'!D27</f>
        <v>1485</v>
      </c>
      <c r="E18" s="36">
        <v>1</v>
      </c>
      <c r="F18" s="36">
        <f>'C-1 Monthly Volumes'!E23</f>
        <v>5162809</v>
      </c>
      <c r="G18" s="37"/>
      <c r="H18" s="12">
        <v>1.9663</v>
      </c>
      <c r="I18" s="6">
        <v>0.000712</v>
      </c>
      <c r="J18" s="13">
        <f>D18*E18*H18+(F18+G18)*I18</f>
        <v>6595.875507999999</v>
      </c>
      <c r="K18" s="12">
        <v>5.6385</v>
      </c>
      <c r="L18" s="6">
        <v>0.002043</v>
      </c>
      <c r="M18" s="13">
        <f>D18*E18*K18+(F18+G18)*L18</f>
        <v>18920.791287</v>
      </c>
      <c r="N18" s="17"/>
      <c r="O18" s="13">
        <f>(F18+G18)*N18</f>
        <v>0</v>
      </c>
      <c r="P18" s="17">
        <v>0</v>
      </c>
      <c r="Q18" s="13">
        <f>(F18+G18)*P18</f>
        <v>0</v>
      </c>
      <c r="R18" s="13">
        <f>J18+M18+O18+Q18</f>
        <v>25516.666794999997</v>
      </c>
    </row>
    <row r="19" spans="1:18" ht="15">
      <c r="A19" s="24" t="s">
        <v>1</v>
      </c>
      <c r="B19" s="51">
        <v>2004</v>
      </c>
      <c r="C19" s="35" t="s">
        <v>36</v>
      </c>
      <c r="D19" s="36">
        <f>'C-2 Customer Count'!D28</f>
        <v>1485</v>
      </c>
      <c r="E19" s="36">
        <v>1</v>
      </c>
      <c r="F19" s="36">
        <f>'C-1 Monthly Volumes'!E24</f>
        <v>10866626</v>
      </c>
      <c r="G19" s="37"/>
      <c r="H19" s="12">
        <v>1.9663</v>
      </c>
      <c r="I19" s="6">
        <v>0.000712</v>
      </c>
      <c r="J19" s="13">
        <f>D19*E19*H19+(F19+G19)*I19</f>
        <v>10656.993212</v>
      </c>
      <c r="K19" s="12">
        <v>5.6385</v>
      </c>
      <c r="L19" s="6">
        <v>0.002043</v>
      </c>
      <c r="M19" s="13">
        <f>D19*E19*K19+(F19+G19)*L19</f>
        <v>30573.689418</v>
      </c>
      <c r="N19" s="17"/>
      <c r="O19" s="13">
        <f>(F19+G19)*N19</f>
        <v>0</v>
      </c>
      <c r="P19" s="17">
        <v>0</v>
      </c>
      <c r="Q19" s="13">
        <f>(F19+G19)*P19</f>
        <v>0</v>
      </c>
      <c r="R19" s="13">
        <f>J19+M19+O19+Q19</f>
        <v>41230.68263</v>
      </c>
    </row>
    <row r="20" spans="1:18" ht="15">
      <c r="A20" s="24" t="s">
        <v>1</v>
      </c>
      <c r="B20" s="51">
        <v>2004</v>
      </c>
      <c r="C20" s="35" t="s">
        <v>37</v>
      </c>
      <c r="D20" s="36"/>
      <c r="E20" s="36"/>
      <c r="F20" s="36">
        <f>'C-1 Monthly Volumes'!E25</f>
        <v>17350</v>
      </c>
      <c r="G20" s="37"/>
      <c r="H20" s="12">
        <v>0</v>
      </c>
      <c r="I20" s="6">
        <v>0</v>
      </c>
      <c r="J20" s="13">
        <f>D20*E20*H20+(F20+G20)*I20</f>
        <v>0</v>
      </c>
      <c r="K20" s="12">
        <v>0</v>
      </c>
      <c r="L20" s="6">
        <v>0</v>
      </c>
      <c r="M20" s="13">
        <f>D20*E20*K20+(F20+G20)*L20</f>
        <v>0</v>
      </c>
      <c r="N20" s="17">
        <v>0.004035</v>
      </c>
      <c r="O20" s="13">
        <f>(F20+G20)*N20</f>
        <v>70.00725000000001</v>
      </c>
      <c r="P20" s="17">
        <v>0</v>
      </c>
      <c r="Q20" s="13">
        <f>(F20+G20)*P20</f>
        <v>0</v>
      </c>
      <c r="R20" s="13">
        <f>J20+M20+O20+Q20</f>
        <v>70.00725000000001</v>
      </c>
    </row>
    <row r="21" spans="1:18" ht="15">
      <c r="A21" s="24" t="s">
        <v>1</v>
      </c>
      <c r="B21" s="51">
        <v>2004</v>
      </c>
      <c r="C21" s="35" t="s">
        <v>30</v>
      </c>
      <c r="D21" s="36"/>
      <c r="E21" s="36"/>
      <c r="F21" s="36">
        <f>'C-1 Monthly Volumes'!E26</f>
        <v>2424397</v>
      </c>
      <c r="G21" s="37"/>
      <c r="H21" s="12">
        <v>0</v>
      </c>
      <c r="I21" s="6">
        <v>0</v>
      </c>
      <c r="J21" s="13">
        <f aca="true" t="shared" si="5" ref="J21:J28">D21*E21*H21+(F21+G21)*I21</f>
        <v>0</v>
      </c>
      <c r="K21" s="12">
        <v>0</v>
      </c>
      <c r="L21" s="6">
        <v>0</v>
      </c>
      <c r="M21" s="13">
        <f aca="true" t="shared" si="6" ref="M21:M28">D21*E21*K21+(F21+G21)*L21</f>
        <v>0</v>
      </c>
      <c r="N21" s="17">
        <v>0.004035</v>
      </c>
      <c r="O21" s="13">
        <f aca="true" t="shared" si="7" ref="O21:O28">(F21+G21)*N21</f>
        <v>9782.441895000002</v>
      </c>
      <c r="P21" s="17">
        <v>0</v>
      </c>
      <c r="Q21" s="13">
        <f aca="true" t="shared" si="8" ref="Q21:Q28">(F21+G21)*P21</f>
        <v>0</v>
      </c>
      <c r="R21" s="13">
        <f aca="true" t="shared" si="9" ref="R21:R28">J21+M21+O21+Q21</f>
        <v>9782.441895000002</v>
      </c>
    </row>
    <row r="22" spans="1:18" ht="15">
      <c r="A22" s="24" t="s">
        <v>1</v>
      </c>
      <c r="B22" s="51">
        <v>2004</v>
      </c>
      <c r="C22" s="35" t="s">
        <v>38</v>
      </c>
      <c r="D22" s="36"/>
      <c r="E22" s="36"/>
      <c r="F22" s="36">
        <f>'C-1 Monthly Volumes'!E27</f>
        <v>3860616</v>
      </c>
      <c r="G22" s="37"/>
      <c r="H22" s="12">
        <v>0</v>
      </c>
      <c r="I22" s="6">
        <v>0</v>
      </c>
      <c r="J22" s="13">
        <f t="shared" si="5"/>
        <v>0</v>
      </c>
      <c r="K22" s="12">
        <v>0</v>
      </c>
      <c r="L22" s="6">
        <v>0</v>
      </c>
      <c r="M22" s="13">
        <f t="shared" si="6"/>
        <v>0</v>
      </c>
      <c r="N22" s="17">
        <v>0.004035</v>
      </c>
      <c r="O22" s="13">
        <f t="shared" si="7"/>
        <v>15577.585560000001</v>
      </c>
      <c r="P22" s="17">
        <v>0</v>
      </c>
      <c r="Q22" s="13">
        <f t="shared" si="8"/>
        <v>0</v>
      </c>
      <c r="R22" s="13">
        <f t="shared" si="9"/>
        <v>15577.585560000001</v>
      </c>
    </row>
    <row r="23" spans="1:18" ht="15">
      <c r="A23" s="24" t="s">
        <v>1</v>
      </c>
      <c r="B23" s="51">
        <v>2004</v>
      </c>
      <c r="C23" s="35" t="s">
        <v>39</v>
      </c>
      <c r="D23" s="36"/>
      <c r="E23" s="36"/>
      <c r="F23" s="36">
        <f>'C-1 Monthly Volumes'!E28</f>
        <v>3642459</v>
      </c>
      <c r="G23" s="37"/>
      <c r="H23" s="12">
        <v>0</v>
      </c>
      <c r="I23" s="6">
        <v>0</v>
      </c>
      <c r="J23" s="13">
        <f t="shared" si="5"/>
        <v>0</v>
      </c>
      <c r="K23" s="12">
        <v>0</v>
      </c>
      <c r="L23" s="6">
        <v>0</v>
      </c>
      <c r="M23" s="13">
        <f t="shared" si="6"/>
        <v>0</v>
      </c>
      <c r="N23" s="17">
        <v>0.004035</v>
      </c>
      <c r="O23" s="13">
        <f t="shared" si="7"/>
        <v>14697.322065000002</v>
      </c>
      <c r="P23" s="17">
        <v>0</v>
      </c>
      <c r="Q23" s="13">
        <f t="shared" si="8"/>
        <v>0</v>
      </c>
      <c r="R23" s="13">
        <f t="shared" si="9"/>
        <v>14697.322065000002</v>
      </c>
    </row>
    <row r="24" spans="1:18" ht="15">
      <c r="A24" s="24" t="s">
        <v>1</v>
      </c>
      <c r="B24" s="51">
        <v>2004</v>
      </c>
      <c r="C24" s="35" t="s">
        <v>40</v>
      </c>
      <c r="D24" s="36"/>
      <c r="E24" s="36"/>
      <c r="F24" s="36">
        <f>'C-1 Monthly Volumes'!E29</f>
        <v>3884765</v>
      </c>
      <c r="G24" s="37"/>
      <c r="H24" s="12">
        <v>0</v>
      </c>
      <c r="I24" s="6">
        <v>0</v>
      </c>
      <c r="J24" s="13">
        <f t="shared" si="5"/>
        <v>0</v>
      </c>
      <c r="K24" s="12">
        <v>0</v>
      </c>
      <c r="L24" s="6">
        <v>0</v>
      </c>
      <c r="M24" s="13">
        <f t="shared" si="6"/>
        <v>0</v>
      </c>
      <c r="N24" s="17">
        <v>0.004035</v>
      </c>
      <c r="O24" s="13">
        <f t="shared" si="7"/>
        <v>15675.026775000002</v>
      </c>
      <c r="P24" s="17">
        <v>0</v>
      </c>
      <c r="Q24" s="13">
        <f t="shared" si="8"/>
        <v>0</v>
      </c>
      <c r="R24" s="13">
        <f t="shared" si="9"/>
        <v>15675.026775000002</v>
      </c>
    </row>
    <row r="25" spans="1:18" ht="15">
      <c r="A25" s="24" t="s">
        <v>1</v>
      </c>
      <c r="B25" s="51">
        <v>2004</v>
      </c>
      <c r="C25" s="35" t="s">
        <v>41</v>
      </c>
      <c r="D25" s="36"/>
      <c r="E25" s="36"/>
      <c r="F25" s="36">
        <f>'C-1 Monthly Volumes'!E30</f>
        <v>4288179</v>
      </c>
      <c r="G25" s="37"/>
      <c r="H25" s="12">
        <v>0</v>
      </c>
      <c r="I25" s="6">
        <v>0</v>
      </c>
      <c r="J25" s="13">
        <f t="shared" si="5"/>
        <v>0</v>
      </c>
      <c r="K25" s="12">
        <v>0</v>
      </c>
      <c r="L25" s="6">
        <v>0</v>
      </c>
      <c r="M25" s="13">
        <f t="shared" si="6"/>
        <v>0</v>
      </c>
      <c r="N25" s="17">
        <v>0.004035</v>
      </c>
      <c r="O25" s="13">
        <f t="shared" si="7"/>
        <v>17302.802265000002</v>
      </c>
      <c r="P25" s="17">
        <v>0</v>
      </c>
      <c r="Q25" s="13">
        <f t="shared" si="8"/>
        <v>0</v>
      </c>
      <c r="R25" s="13">
        <f t="shared" si="9"/>
        <v>17302.802265000002</v>
      </c>
    </row>
    <row r="26" spans="1:18" ht="15">
      <c r="A26" s="24" t="s">
        <v>1</v>
      </c>
      <c r="B26" s="51">
        <v>2004</v>
      </c>
      <c r="C26" s="35" t="s">
        <v>42</v>
      </c>
      <c r="D26" s="36"/>
      <c r="E26" s="36"/>
      <c r="F26" s="36">
        <f>'C-1 Monthly Volumes'!E31</f>
        <v>4209445</v>
      </c>
      <c r="G26" s="37"/>
      <c r="H26" s="12">
        <v>0</v>
      </c>
      <c r="I26" s="6">
        <v>0</v>
      </c>
      <c r="J26" s="13">
        <f t="shared" si="5"/>
        <v>0</v>
      </c>
      <c r="K26" s="12">
        <v>0</v>
      </c>
      <c r="L26" s="6">
        <v>0</v>
      </c>
      <c r="M26" s="13">
        <f t="shared" si="6"/>
        <v>0</v>
      </c>
      <c r="N26" s="17">
        <v>0.004035</v>
      </c>
      <c r="O26" s="13">
        <f t="shared" si="7"/>
        <v>16985.110575000002</v>
      </c>
      <c r="P26" s="17">
        <v>0</v>
      </c>
      <c r="Q26" s="13">
        <f t="shared" si="8"/>
        <v>0</v>
      </c>
      <c r="R26" s="13">
        <f t="shared" si="9"/>
        <v>16985.110575000002</v>
      </c>
    </row>
    <row r="27" spans="1:18" ht="15">
      <c r="A27" s="24" t="s">
        <v>1</v>
      </c>
      <c r="B27" s="51">
        <v>2004</v>
      </c>
      <c r="C27" s="35" t="s">
        <v>43</v>
      </c>
      <c r="D27" s="36"/>
      <c r="E27" s="36"/>
      <c r="F27" s="36">
        <f>'C-1 Monthly Volumes'!E32</f>
        <v>3584780</v>
      </c>
      <c r="G27" s="37"/>
      <c r="H27" s="12">
        <v>0</v>
      </c>
      <c r="I27" s="6">
        <v>0</v>
      </c>
      <c r="J27" s="13">
        <f t="shared" si="5"/>
        <v>0</v>
      </c>
      <c r="K27" s="12">
        <v>0</v>
      </c>
      <c r="L27" s="6">
        <v>0</v>
      </c>
      <c r="M27" s="13">
        <f t="shared" si="6"/>
        <v>0</v>
      </c>
      <c r="N27" s="17">
        <v>0.004035</v>
      </c>
      <c r="O27" s="13">
        <f t="shared" si="7"/>
        <v>14464.587300000001</v>
      </c>
      <c r="P27" s="17">
        <v>0</v>
      </c>
      <c r="Q27" s="13">
        <f t="shared" si="8"/>
        <v>0</v>
      </c>
      <c r="R27" s="13">
        <f t="shared" si="9"/>
        <v>14464.587300000001</v>
      </c>
    </row>
    <row r="28" spans="1:18" ht="15.75" thickBot="1">
      <c r="A28" s="24" t="s">
        <v>1</v>
      </c>
      <c r="B28" s="51">
        <v>2004</v>
      </c>
      <c r="C28" s="35" t="s">
        <v>44</v>
      </c>
      <c r="D28" s="36"/>
      <c r="E28" s="36"/>
      <c r="F28" s="36">
        <f>'C-1 Monthly Volumes'!E33</f>
        <v>4128045</v>
      </c>
      <c r="G28" s="37"/>
      <c r="H28" s="12">
        <v>0</v>
      </c>
      <c r="I28" s="6">
        <v>0</v>
      </c>
      <c r="J28" s="13">
        <f t="shared" si="5"/>
        <v>0</v>
      </c>
      <c r="K28" s="12">
        <v>0</v>
      </c>
      <c r="L28" s="6">
        <v>0</v>
      </c>
      <c r="M28" s="13">
        <f t="shared" si="6"/>
        <v>0</v>
      </c>
      <c r="N28" s="17">
        <v>0.004035</v>
      </c>
      <c r="O28" s="13">
        <f t="shared" si="7"/>
        <v>16656.661575000002</v>
      </c>
      <c r="P28" s="17">
        <v>0</v>
      </c>
      <c r="Q28" s="13">
        <f t="shared" si="8"/>
        <v>0</v>
      </c>
      <c r="R28" s="13">
        <f t="shared" si="9"/>
        <v>16656.661575000002</v>
      </c>
    </row>
    <row r="29" spans="1:18" ht="15.75" thickBot="1">
      <c r="A29" s="53" t="s">
        <v>53</v>
      </c>
      <c r="B29" s="54"/>
      <c r="C29" s="55"/>
      <c r="D29" s="56">
        <f>SUM(D17:D28)</f>
        <v>4453</v>
      </c>
      <c r="E29" s="56"/>
      <c r="F29" s="56">
        <f>SUM(F17:F28)</f>
        <v>50449484</v>
      </c>
      <c r="G29" s="57">
        <f>SUM(G17:G28)</f>
        <v>0</v>
      </c>
      <c r="H29" s="58"/>
      <c r="I29" s="59"/>
      <c r="J29" s="60">
        <f>SUM(J17:J28)</f>
        <v>23287.460875999997</v>
      </c>
      <c r="K29" s="58"/>
      <c r="L29" s="59"/>
      <c r="M29" s="60">
        <f>SUM(M17:M28)</f>
        <v>66804.742764</v>
      </c>
      <c r="N29" s="61"/>
      <c r="O29" s="60">
        <f>SUM(O17:O28)</f>
        <v>121211.54526000001</v>
      </c>
      <c r="P29" s="61"/>
      <c r="Q29" s="60">
        <f>SUM(Q17:Q28)</f>
        <v>0</v>
      </c>
      <c r="R29" s="60">
        <f>SUM(R17:R28)</f>
        <v>211303.7489</v>
      </c>
    </row>
    <row r="30" spans="1:18" ht="15">
      <c r="A30" s="24" t="s">
        <v>125</v>
      </c>
      <c r="B30" s="51"/>
      <c r="C30" s="35"/>
      <c r="D30" s="36"/>
      <c r="E30" s="36"/>
      <c r="F30" s="38"/>
      <c r="G30" s="52"/>
      <c r="H30" s="12"/>
      <c r="I30" s="6"/>
      <c r="J30" s="13"/>
      <c r="K30" s="12"/>
      <c r="L30" s="6"/>
      <c r="M30" s="13"/>
      <c r="N30" s="17"/>
      <c r="O30" s="13"/>
      <c r="P30" s="17"/>
      <c r="Q30" s="13"/>
      <c r="R30" s="13"/>
    </row>
    <row r="31" spans="1:18" ht="15">
      <c r="A31" s="24"/>
      <c r="B31" s="51"/>
      <c r="C31" s="35"/>
      <c r="D31" s="36"/>
      <c r="E31" s="36"/>
      <c r="F31" s="38"/>
      <c r="G31" s="52"/>
      <c r="H31" s="12"/>
      <c r="I31" s="6"/>
      <c r="J31" s="13"/>
      <c r="K31" s="12"/>
      <c r="L31" s="6"/>
      <c r="M31" s="13"/>
      <c r="N31" s="17"/>
      <c r="O31" s="13"/>
      <c r="P31" s="17"/>
      <c r="Q31" s="13"/>
      <c r="R31" s="13"/>
    </row>
    <row r="32" spans="1:18" ht="15">
      <c r="A32" s="24" t="s">
        <v>111</v>
      </c>
      <c r="B32" s="51">
        <v>2004</v>
      </c>
      <c r="C32" s="35" t="s">
        <v>34</v>
      </c>
      <c r="D32" s="36">
        <f>'C-2 Customer Count'!E26</f>
        <v>151</v>
      </c>
      <c r="E32" s="36">
        <v>1</v>
      </c>
      <c r="F32" s="38"/>
      <c r="G32" s="39">
        <f>'C-1 Monthly Volumes'!N4</f>
        <v>23415</v>
      </c>
      <c r="H32" s="12">
        <v>18.206</v>
      </c>
      <c r="I32" s="6">
        <v>0.200517</v>
      </c>
      <c r="J32" s="13">
        <f>D32*E32*H32+(F32+G32)*I32</f>
        <v>7444.211555</v>
      </c>
      <c r="K32" s="12">
        <v>52.208</v>
      </c>
      <c r="L32" s="6">
        <v>0.575006</v>
      </c>
      <c r="M32" s="13">
        <f aca="true" t="shared" si="10" ref="M32:M43">D32*E32*K32+(F32+G32)*L32</f>
        <v>21347.17349</v>
      </c>
      <c r="N32" s="17"/>
      <c r="O32" s="13">
        <f aca="true" t="shared" si="11" ref="O32:O43">(F32+G32)*N32</f>
        <v>0</v>
      </c>
      <c r="P32" s="17">
        <v>0</v>
      </c>
      <c r="Q32" s="13">
        <f aca="true" t="shared" si="12" ref="Q32:Q43">(F32+G32)*P32</f>
        <v>0</v>
      </c>
      <c r="R32" s="13">
        <f aca="true" t="shared" si="13" ref="R32:R43">J32+M32+O32+Q32</f>
        <v>28791.385045000003</v>
      </c>
    </row>
    <row r="33" spans="1:18" ht="15">
      <c r="A33" s="24" t="s">
        <v>111</v>
      </c>
      <c r="B33" s="51">
        <v>2004</v>
      </c>
      <c r="C33" s="35" t="s">
        <v>35</v>
      </c>
      <c r="D33" s="36">
        <f>'C-2 Customer Count'!E27</f>
        <v>151</v>
      </c>
      <c r="E33" s="36">
        <v>1</v>
      </c>
      <c r="F33" s="38"/>
      <c r="G33" s="39">
        <f>'C-1 Monthly Volumes'!N5</f>
        <v>24238</v>
      </c>
      <c r="H33" s="12">
        <v>18.206</v>
      </c>
      <c r="I33" s="6">
        <v>0.200517</v>
      </c>
      <c r="J33" s="13">
        <f aca="true" t="shared" si="14" ref="J33:J43">D33*E33*H33+(F33+G33)*I33</f>
        <v>7609.237046</v>
      </c>
      <c r="K33" s="12">
        <v>52.208</v>
      </c>
      <c r="L33" s="6">
        <v>0.575006</v>
      </c>
      <c r="M33" s="13">
        <f t="shared" si="10"/>
        <v>21820.403427999998</v>
      </c>
      <c r="N33" s="17"/>
      <c r="O33" s="13">
        <f t="shared" si="11"/>
        <v>0</v>
      </c>
      <c r="P33" s="17">
        <v>0</v>
      </c>
      <c r="Q33" s="13">
        <f t="shared" si="12"/>
        <v>0</v>
      </c>
      <c r="R33" s="13">
        <f t="shared" si="13"/>
        <v>29429.640474</v>
      </c>
    </row>
    <row r="34" spans="1:18" ht="15">
      <c r="A34" s="24" t="s">
        <v>111</v>
      </c>
      <c r="B34" s="51">
        <v>2004</v>
      </c>
      <c r="C34" s="35" t="s">
        <v>36</v>
      </c>
      <c r="D34" s="36">
        <f>'C-2 Customer Count'!E28</f>
        <v>150</v>
      </c>
      <c r="E34" s="36">
        <v>1</v>
      </c>
      <c r="F34" s="38"/>
      <c r="G34" s="39">
        <f>'C-1 Monthly Volumes'!N6</f>
        <v>53024</v>
      </c>
      <c r="H34" s="12">
        <v>18.206</v>
      </c>
      <c r="I34" s="6">
        <v>0.200517</v>
      </c>
      <c r="J34" s="13">
        <f t="shared" si="14"/>
        <v>13363.113408</v>
      </c>
      <c r="K34" s="12">
        <v>52.208</v>
      </c>
      <c r="L34" s="6">
        <v>0.575006</v>
      </c>
      <c r="M34" s="13">
        <f t="shared" si="10"/>
        <v>38320.318144</v>
      </c>
      <c r="N34" s="17"/>
      <c r="O34" s="13">
        <f t="shared" si="11"/>
        <v>0</v>
      </c>
      <c r="P34" s="17">
        <v>0</v>
      </c>
      <c r="Q34" s="13">
        <f t="shared" si="12"/>
        <v>0</v>
      </c>
      <c r="R34" s="13">
        <f t="shared" si="13"/>
        <v>51683.431551999995</v>
      </c>
    </row>
    <row r="35" spans="1:18" ht="15">
      <c r="A35" s="24" t="s">
        <v>111</v>
      </c>
      <c r="B35" s="51">
        <v>2004</v>
      </c>
      <c r="C35" s="35" t="s">
        <v>37</v>
      </c>
      <c r="D35" s="36"/>
      <c r="E35" s="36"/>
      <c r="F35" s="38"/>
      <c r="G35" s="39">
        <f>'C-1 Monthly Volumes'!N7</f>
        <v>51</v>
      </c>
      <c r="H35" s="12">
        <v>0</v>
      </c>
      <c r="I35" s="6">
        <v>0</v>
      </c>
      <c r="J35" s="13">
        <f t="shared" si="14"/>
        <v>0</v>
      </c>
      <c r="K35" s="12">
        <v>0</v>
      </c>
      <c r="L35" s="6">
        <v>0</v>
      </c>
      <c r="M35" s="13">
        <f t="shared" si="10"/>
        <v>0</v>
      </c>
      <c r="N35" s="17">
        <v>1.459603</v>
      </c>
      <c r="O35" s="13">
        <f>(F35+G35)*N35</f>
        <v>74.439753</v>
      </c>
      <c r="P35" s="17">
        <v>0</v>
      </c>
      <c r="Q35" s="13">
        <f t="shared" si="12"/>
        <v>0</v>
      </c>
      <c r="R35" s="13">
        <f t="shared" si="13"/>
        <v>74.439753</v>
      </c>
    </row>
    <row r="36" spans="1:18" ht="15">
      <c r="A36" s="24" t="s">
        <v>111</v>
      </c>
      <c r="B36" s="51">
        <v>2004</v>
      </c>
      <c r="C36" s="35" t="s">
        <v>30</v>
      </c>
      <c r="D36" s="36"/>
      <c r="E36" s="36"/>
      <c r="F36" s="38"/>
      <c r="G36" s="39">
        <f>'C-1 Monthly Volumes'!N8</f>
        <v>12378</v>
      </c>
      <c r="H36" s="12">
        <v>0</v>
      </c>
      <c r="I36" s="6">
        <v>0</v>
      </c>
      <c r="J36" s="13">
        <f t="shared" si="14"/>
        <v>0</v>
      </c>
      <c r="K36" s="12">
        <v>0</v>
      </c>
      <c r="L36" s="6">
        <v>0</v>
      </c>
      <c r="M36" s="13">
        <f t="shared" si="10"/>
        <v>0</v>
      </c>
      <c r="N36" s="17">
        <v>1.459603</v>
      </c>
      <c r="O36" s="13">
        <f t="shared" si="11"/>
        <v>18066.965934</v>
      </c>
      <c r="P36" s="17">
        <v>0</v>
      </c>
      <c r="Q36" s="13">
        <f t="shared" si="12"/>
        <v>0</v>
      </c>
      <c r="R36" s="13">
        <f>J36+M36+O36+Q36</f>
        <v>18066.965934</v>
      </c>
    </row>
    <row r="37" spans="1:18" ht="15">
      <c r="A37" s="24" t="s">
        <v>111</v>
      </c>
      <c r="B37" s="51">
        <v>2004</v>
      </c>
      <c r="C37" s="35" t="s">
        <v>38</v>
      </c>
      <c r="D37" s="36"/>
      <c r="E37" s="36"/>
      <c r="F37" s="38"/>
      <c r="G37" s="39">
        <f>'C-1 Monthly Volumes'!N9</f>
        <v>21477</v>
      </c>
      <c r="H37" s="12">
        <v>0</v>
      </c>
      <c r="I37" s="6">
        <v>0</v>
      </c>
      <c r="J37" s="13">
        <f t="shared" si="14"/>
        <v>0</v>
      </c>
      <c r="K37" s="12">
        <v>0</v>
      </c>
      <c r="L37" s="6">
        <v>0</v>
      </c>
      <c r="M37" s="13">
        <f t="shared" si="10"/>
        <v>0</v>
      </c>
      <c r="N37" s="17">
        <v>1.459603</v>
      </c>
      <c r="O37" s="13">
        <f t="shared" si="11"/>
        <v>31347.893631</v>
      </c>
      <c r="P37" s="17">
        <v>0</v>
      </c>
      <c r="Q37" s="13">
        <f t="shared" si="12"/>
        <v>0</v>
      </c>
      <c r="R37" s="13">
        <f t="shared" si="13"/>
        <v>31347.893631</v>
      </c>
    </row>
    <row r="38" spans="1:18" ht="15">
      <c r="A38" s="24" t="s">
        <v>111</v>
      </c>
      <c r="B38" s="51">
        <v>2004</v>
      </c>
      <c r="C38" s="35" t="s">
        <v>39</v>
      </c>
      <c r="D38" s="36"/>
      <c r="E38" s="36"/>
      <c r="F38" s="38"/>
      <c r="G38" s="39">
        <f>'C-1 Monthly Volumes'!N10</f>
        <v>21429</v>
      </c>
      <c r="H38" s="12">
        <v>0</v>
      </c>
      <c r="I38" s="6">
        <v>0</v>
      </c>
      <c r="J38" s="13">
        <f t="shared" si="14"/>
        <v>0</v>
      </c>
      <c r="K38" s="12">
        <v>0</v>
      </c>
      <c r="L38" s="6">
        <v>0</v>
      </c>
      <c r="M38" s="13">
        <f t="shared" si="10"/>
        <v>0</v>
      </c>
      <c r="N38" s="17">
        <v>1.459603</v>
      </c>
      <c r="O38" s="13">
        <f t="shared" si="11"/>
        <v>31277.832687</v>
      </c>
      <c r="P38" s="17">
        <v>0</v>
      </c>
      <c r="Q38" s="13">
        <f t="shared" si="12"/>
        <v>0</v>
      </c>
      <c r="R38" s="13">
        <f t="shared" si="13"/>
        <v>31277.832687</v>
      </c>
    </row>
    <row r="39" spans="1:18" ht="15">
      <c r="A39" s="24" t="s">
        <v>111</v>
      </c>
      <c r="B39" s="51">
        <v>2004</v>
      </c>
      <c r="C39" s="35" t="s">
        <v>40</v>
      </c>
      <c r="D39" s="36"/>
      <c r="E39" s="36"/>
      <c r="F39" s="38"/>
      <c r="G39" s="39">
        <f>'C-1 Monthly Volumes'!N11</f>
        <v>20984</v>
      </c>
      <c r="H39" s="12">
        <v>0</v>
      </c>
      <c r="I39" s="6">
        <v>0</v>
      </c>
      <c r="J39" s="13">
        <f t="shared" si="14"/>
        <v>0</v>
      </c>
      <c r="K39" s="12">
        <v>0</v>
      </c>
      <c r="L39" s="6">
        <v>0</v>
      </c>
      <c r="M39" s="13">
        <f t="shared" si="10"/>
        <v>0</v>
      </c>
      <c r="N39" s="17">
        <v>1.459603</v>
      </c>
      <c r="O39" s="13">
        <f t="shared" si="11"/>
        <v>30628.309352</v>
      </c>
      <c r="P39" s="17">
        <v>0</v>
      </c>
      <c r="Q39" s="13">
        <f t="shared" si="12"/>
        <v>0</v>
      </c>
      <c r="R39" s="13">
        <f t="shared" si="13"/>
        <v>30628.309352</v>
      </c>
    </row>
    <row r="40" spans="1:18" ht="15">
      <c r="A40" s="24" t="s">
        <v>111</v>
      </c>
      <c r="B40" s="51">
        <v>2004</v>
      </c>
      <c r="C40" s="35" t="s">
        <v>41</v>
      </c>
      <c r="D40" s="36"/>
      <c r="E40" s="36"/>
      <c r="F40" s="38"/>
      <c r="G40" s="39">
        <f>'C-1 Monthly Volumes'!N12</f>
        <v>19887</v>
      </c>
      <c r="H40" s="12">
        <v>0</v>
      </c>
      <c r="I40" s="6">
        <v>0</v>
      </c>
      <c r="J40" s="13">
        <f t="shared" si="14"/>
        <v>0</v>
      </c>
      <c r="K40" s="12">
        <v>0</v>
      </c>
      <c r="L40" s="6">
        <v>0</v>
      </c>
      <c r="M40" s="13">
        <f t="shared" si="10"/>
        <v>0</v>
      </c>
      <c r="N40" s="17">
        <v>1.459603</v>
      </c>
      <c r="O40" s="13">
        <f t="shared" si="11"/>
        <v>29027.124861</v>
      </c>
      <c r="P40" s="17">
        <v>0</v>
      </c>
      <c r="Q40" s="13">
        <f t="shared" si="12"/>
        <v>0</v>
      </c>
      <c r="R40" s="13">
        <f t="shared" si="13"/>
        <v>29027.124861</v>
      </c>
    </row>
    <row r="41" spans="1:18" ht="15">
      <c r="A41" s="24" t="s">
        <v>111</v>
      </c>
      <c r="B41" s="51">
        <v>2004</v>
      </c>
      <c r="C41" s="35" t="s">
        <v>42</v>
      </c>
      <c r="D41" s="36"/>
      <c r="E41" s="36"/>
      <c r="F41" s="38"/>
      <c r="G41" s="39">
        <f>'C-1 Monthly Volumes'!N13</f>
        <v>21134</v>
      </c>
      <c r="H41" s="12">
        <v>0</v>
      </c>
      <c r="I41" s="6">
        <v>0</v>
      </c>
      <c r="J41" s="13">
        <f t="shared" si="14"/>
        <v>0</v>
      </c>
      <c r="K41" s="12">
        <v>0</v>
      </c>
      <c r="L41" s="6">
        <v>0</v>
      </c>
      <c r="M41" s="13">
        <f t="shared" si="10"/>
        <v>0</v>
      </c>
      <c r="N41" s="17">
        <v>1.459603</v>
      </c>
      <c r="O41" s="13">
        <f t="shared" si="11"/>
        <v>30847.249802</v>
      </c>
      <c r="P41" s="17">
        <v>0</v>
      </c>
      <c r="Q41" s="13">
        <f t="shared" si="12"/>
        <v>0</v>
      </c>
      <c r="R41" s="13">
        <f t="shared" si="13"/>
        <v>30847.249802</v>
      </c>
    </row>
    <row r="42" spans="1:18" ht="15">
      <c r="A42" s="24" t="s">
        <v>111</v>
      </c>
      <c r="B42" s="51">
        <v>2004</v>
      </c>
      <c r="C42" s="35" t="s">
        <v>43</v>
      </c>
      <c r="D42" s="36"/>
      <c r="E42" s="36"/>
      <c r="F42" s="38"/>
      <c r="G42" s="39">
        <f>'C-1 Monthly Volumes'!N14</f>
        <v>20761</v>
      </c>
      <c r="H42" s="12">
        <v>0</v>
      </c>
      <c r="I42" s="6">
        <v>0</v>
      </c>
      <c r="J42" s="13">
        <f t="shared" si="14"/>
        <v>0</v>
      </c>
      <c r="K42" s="12">
        <v>0</v>
      </c>
      <c r="L42" s="6">
        <v>0</v>
      </c>
      <c r="M42" s="13">
        <f t="shared" si="10"/>
        <v>0</v>
      </c>
      <c r="N42" s="17">
        <v>1.459603</v>
      </c>
      <c r="O42" s="13">
        <f t="shared" si="11"/>
        <v>30302.817883</v>
      </c>
      <c r="P42" s="17">
        <v>0</v>
      </c>
      <c r="Q42" s="13">
        <f t="shared" si="12"/>
        <v>0</v>
      </c>
      <c r="R42" s="13">
        <f t="shared" si="13"/>
        <v>30302.817883</v>
      </c>
    </row>
    <row r="43" spans="1:18" ht="15.75" thickBot="1">
      <c r="A43" s="24" t="s">
        <v>111</v>
      </c>
      <c r="B43" s="51">
        <v>2004</v>
      </c>
      <c r="C43" s="35" t="s">
        <v>44</v>
      </c>
      <c r="D43" s="36"/>
      <c r="E43" s="36"/>
      <c r="F43" s="38"/>
      <c r="G43" s="39">
        <f>'C-1 Monthly Volumes'!N15</f>
        <v>21055</v>
      </c>
      <c r="H43" s="12">
        <v>0</v>
      </c>
      <c r="I43" s="6">
        <v>0</v>
      </c>
      <c r="J43" s="13">
        <f t="shared" si="14"/>
        <v>0</v>
      </c>
      <c r="K43" s="12">
        <v>0</v>
      </c>
      <c r="L43" s="6">
        <v>0</v>
      </c>
      <c r="M43" s="13">
        <f t="shared" si="10"/>
        <v>0</v>
      </c>
      <c r="N43" s="17">
        <v>1.459603</v>
      </c>
      <c r="O43" s="13">
        <f t="shared" si="11"/>
        <v>30731.941165</v>
      </c>
      <c r="P43" s="17">
        <v>0</v>
      </c>
      <c r="Q43" s="13">
        <f t="shared" si="12"/>
        <v>0</v>
      </c>
      <c r="R43" s="13">
        <f t="shared" si="13"/>
        <v>30731.941165</v>
      </c>
    </row>
    <row r="44" spans="1:18" ht="15.75" thickBot="1">
      <c r="A44" s="53" t="s">
        <v>113</v>
      </c>
      <c r="B44" s="54"/>
      <c r="C44" s="55"/>
      <c r="D44" s="56">
        <f>SUM(D32:D43)</f>
        <v>452</v>
      </c>
      <c r="E44" s="56"/>
      <c r="F44" s="56">
        <f>SUM(F32:F43)</f>
        <v>0</v>
      </c>
      <c r="G44" s="57">
        <f>SUM(G32:G43)</f>
        <v>259833</v>
      </c>
      <c r="H44" s="58"/>
      <c r="I44" s="59"/>
      <c r="J44" s="60">
        <f>SUM(J32:J43)</f>
        <v>28416.562009</v>
      </c>
      <c r="K44" s="58"/>
      <c r="L44" s="59"/>
      <c r="M44" s="60">
        <f>SUM(M32:M43)</f>
        <v>81487.895062</v>
      </c>
      <c r="N44" s="61"/>
      <c r="O44" s="60">
        <f>SUM(O32:O43)</f>
        <v>232304.575068</v>
      </c>
      <c r="P44" s="61"/>
      <c r="Q44" s="60">
        <f>SUM(Q32:Q43)</f>
        <v>0</v>
      </c>
      <c r="R44" s="60">
        <f>SUM(R32:R43)</f>
        <v>342209.032139</v>
      </c>
    </row>
    <row r="45" spans="1:18" ht="15">
      <c r="A45" s="24"/>
      <c r="B45" s="51"/>
      <c r="C45" s="35"/>
      <c r="D45" s="36"/>
      <c r="E45" s="36"/>
      <c r="F45" s="38"/>
      <c r="G45" s="39"/>
      <c r="H45" s="12"/>
      <c r="I45" s="6"/>
      <c r="J45" s="13"/>
      <c r="K45" s="12"/>
      <c r="L45" s="6"/>
      <c r="M45" s="13"/>
      <c r="N45" s="17"/>
      <c r="O45" s="13"/>
      <c r="P45" s="17"/>
      <c r="Q45" s="13"/>
      <c r="R45" s="13"/>
    </row>
    <row r="46" spans="1:18" ht="15">
      <c r="A46" s="24" t="s">
        <v>112</v>
      </c>
      <c r="B46" s="51">
        <v>2004</v>
      </c>
      <c r="C46" s="35" t="s">
        <v>34</v>
      </c>
      <c r="D46" s="36">
        <f>'C-2 Customer Count'!F26</f>
        <v>9</v>
      </c>
      <c r="E46" s="36">
        <v>1</v>
      </c>
      <c r="F46" s="38"/>
      <c r="G46" s="39">
        <f>'C-1 Monthly Volumes'!N22</f>
        <v>10467</v>
      </c>
      <c r="H46" s="14">
        <v>24.352</v>
      </c>
      <c r="I46" s="6">
        <v>0.040186</v>
      </c>
      <c r="J46" s="13">
        <f>D46*E46*H46+(F46+G46)*I46</f>
        <v>639.794862</v>
      </c>
      <c r="K46" s="14">
        <v>69.8322</v>
      </c>
      <c r="L46" s="6">
        <v>0.115239</v>
      </c>
      <c r="M46" s="13">
        <f>D46*E46*K46+(F46+G46)*L46</f>
        <v>1834.696413</v>
      </c>
      <c r="N46" s="17"/>
      <c r="O46" s="13">
        <f>(F46+G46)*N46</f>
        <v>0</v>
      </c>
      <c r="P46" s="17">
        <v>0</v>
      </c>
      <c r="Q46" s="13">
        <f>(F46+G46)*P46</f>
        <v>0</v>
      </c>
      <c r="R46" s="13">
        <f>J46+M46+O46+Q46</f>
        <v>2474.491275</v>
      </c>
    </row>
    <row r="47" spans="1:18" ht="15">
      <c r="A47" s="24" t="s">
        <v>112</v>
      </c>
      <c r="B47" s="51">
        <v>2004</v>
      </c>
      <c r="C47" s="35" t="s">
        <v>35</v>
      </c>
      <c r="D47" s="36">
        <f>'C-2 Customer Count'!F27</f>
        <v>9</v>
      </c>
      <c r="E47" s="36">
        <v>1</v>
      </c>
      <c r="F47" s="38"/>
      <c r="G47" s="39">
        <f>'C-1 Monthly Volumes'!N23</f>
        <v>10282</v>
      </c>
      <c r="H47" s="14">
        <v>24.352</v>
      </c>
      <c r="I47" s="6">
        <v>0.040186</v>
      </c>
      <c r="J47" s="13">
        <f>D47*E47*H47+(F47+G47)*I47</f>
        <v>632.360452</v>
      </c>
      <c r="K47" s="14">
        <v>69.8322</v>
      </c>
      <c r="L47" s="6">
        <v>0.115239</v>
      </c>
      <c r="M47" s="13">
        <f>D47*E47*K47+(F47+G47)*L47</f>
        <v>1813.377198</v>
      </c>
      <c r="N47" s="17"/>
      <c r="O47" s="13">
        <f>(F47+G47)*N47</f>
        <v>0</v>
      </c>
      <c r="P47" s="17">
        <v>0</v>
      </c>
      <c r="Q47" s="13">
        <f>(F47+G47)*P47</f>
        <v>0</v>
      </c>
      <c r="R47" s="13">
        <f>J47+M47+O47+Q47</f>
        <v>2445.73765</v>
      </c>
    </row>
    <row r="48" spans="1:18" ht="15">
      <c r="A48" s="24" t="s">
        <v>112</v>
      </c>
      <c r="B48" s="51">
        <v>2004</v>
      </c>
      <c r="C48" s="35" t="s">
        <v>36</v>
      </c>
      <c r="D48" s="36">
        <f>'C-2 Customer Count'!F28</f>
        <v>9</v>
      </c>
      <c r="E48" s="36">
        <v>1</v>
      </c>
      <c r="F48" s="38"/>
      <c r="G48" s="39">
        <f>'C-1 Monthly Volumes'!N24</f>
        <v>21175</v>
      </c>
      <c r="H48" s="14">
        <v>24.352</v>
      </c>
      <c r="I48" s="6">
        <v>0.040186</v>
      </c>
      <c r="J48" s="13">
        <f>D48*E48*H48+(F48+G48)*I48</f>
        <v>1070.10655</v>
      </c>
      <c r="K48" s="14">
        <v>69.8322</v>
      </c>
      <c r="L48" s="6">
        <v>0.115239</v>
      </c>
      <c r="M48" s="13">
        <f>D48*E48*K48+(F48+G48)*L48</f>
        <v>3068.675625</v>
      </c>
      <c r="N48" s="17"/>
      <c r="O48" s="13">
        <f>(F48+G48)*N48</f>
        <v>0</v>
      </c>
      <c r="P48" s="17">
        <v>0</v>
      </c>
      <c r="Q48" s="13">
        <f>(F48+G48)*P48</f>
        <v>0</v>
      </c>
      <c r="R48" s="13">
        <f>J48+M48+O48+Q48</f>
        <v>4138.782175</v>
      </c>
    </row>
    <row r="49" spans="1:18" ht="15">
      <c r="A49" s="24" t="s">
        <v>112</v>
      </c>
      <c r="B49" s="51">
        <v>2004</v>
      </c>
      <c r="C49" s="35" t="s">
        <v>37</v>
      </c>
      <c r="D49" s="36"/>
      <c r="E49" s="36"/>
      <c r="F49" s="38"/>
      <c r="G49" s="39">
        <f>'C-1 Monthly Volumes'!N25</f>
        <v>0</v>
      </c>
      <c r="H49" s="12">
        <v>0</v>
      </c>
      <c r="I49" s="6">
        <v>0</v>
      </c>
      <c r="J49" s="13">
        <f>D49*E49*H49+(F49+G49)*I49</f>
        <v>0</v>
      </c>
      <c r="K49" s="12">
        <v>0</v>
      </c>
      <c r="L49" s="6">
        <v>0</v>
      </c>
      <c r="M49" s="13">
        <f>D49*E49*K49+(F49+G49)*L49</f>
        <v>0</v>
      </c>
      <c r="N49" s="17">
        <v>0.207926</v>
      </c>
      <c r="O49" s="13">
        <f>(F49+G49)*N49</f>
        <v>0</v>
      </c>
      <c r="P49" s="17">
        <v>0</v>
      </c>
      <c r="Q49" s="13">
        <f>(F49+G49)*P49</f>
        <v>0</v>
      </c>
      <c r="R49" s="13">
        <f>J49+M49+O49+Q49</f>
        <v>0</v>
      </c>
    </row>
    <row r="50" spans="1:18" ht="15">
      <c r="A50" s="24" t="s">
        <v>112</v>
      </c>
      <c r="B50" s="51">
        <v>2004</v>
      </c>
      <c r="C50" s="35" t="s">
        <v>30</v>
      </c>
      <c r="D50" s="36"/>
      <c r="E50" s="36"/>
      <c r="F50" s="38"/>
      <c r="G50" s="39">
        <f>'C-1 Monthly Volumes'!N26</f>
        <v>11285</v>
      </c>
      <c r="H50" s="12">
        <v>0</v>
      </c>
      <c r="I50" s="6">
        <v>0</v>
      </c>
      <c r="J50" s="13">
        <f aca="true" t="shared" si="15" ref="J50:J57">D50*E50*H50+(F50+G50)*I50</f>
        <v>0</v>
      </c>
      <c r="K50" s="12">
        <v>0</v>
      </c>
      <c r="L50" s="6">
        <v>0</v>
      </c>
      <c r="M50" s="13">
        <f aca="true" t="shared" si="16" ref="M50:M57">D50*E50*K50+(F50+G50)*L50</f>
        <v>0</v>
      </c>
      <c r="N50" s="17">
        <v>0.207926</v>
      </c>
      <c r="O50" s="13">
        <f aca="true" t="shared" si="17" ref="O50:O57">(F50+G50)*N50</f>
        <v>2346.44491</v>
      </c>
      <c r="P50" s="17">
        <v>0</v>
      </c>
      <c r="Q50" s="13">
        <f aca="true" t="shared" si="18" ref="Q50:Q57">(F50+G50)*P50</f>
        <v>0</v>
      </c>
      <c r="R50" s="13">
        <f aca="true" t="shared" si="19" ref="R50:R57">J50+M50+O50+Q50</f>
        <v>2346.44491</v>
      </c>
    </row>
    <row r="51" spans="1:18" ht="15">
      <c r="A51" s="24" t="s">
        <v>112</v>
      </c>
      <c r="B51" s="51">
        <v>2004</v>
      </c>
      <c r="C51" s="35" t="s">
        <v>38</v>
      </c>
      <c r="D51" s="36"/>
      <c r="E51" s="36"/>
      <c r="F51" s="38"/>
      <c r="G51" s="39">
        <f>'C-1 Monthly Volumes'!N27</f>
        <v>11104</v>
      </c>
      <c r="H51" s="12">
        <v>0</v>
      </c>
      <c r="I51" s="6">
        <v>0</v>
      </c>
      <c r="J51" s="13">
        <f t="shared" si="15"/>
        <v>0</v>
      </c>
      <c r="K51" s="12">
        <v>0</v>
      </c>
      <c r="L51" s="6">
        <v>0</v>
      </c>
      <c r="M51" s="13">
        <f t="shared" si="16"/>
        <v>0</v>
      </c>
      <c r="N51" s="17">
        <v>0.207926</v>
      </c>
      <c r="O51" s="13">
        <f t="shared" si="17"/>
        <v>2308.810304</v>
      </c>
      <c r="P51" s="17">
        <v>0</v>
      </c>
      <c r="Q51" s="13">
        <f t="shared" si="18"/>
        <v>0</v>
      </c>
      <c r="R51" s="13">
        <f t="shared" si="19"/>
        <v>2308.810304</v>
      </c>
    </row>
    <row r="52" spans="1:18" ht="15">
      <c r="A52" s="24" t="s">
        <v>112</v>
      </c>
      <c r="B52" s="51">
        <v>2004</v>
      </c>
      <c r="C52" s="35" t="s">
        <v>39</v>
      </c>
      <c r="D52" s="36"/>
      <c r="E52" s="36"/>
      <c r="F52" s="38"/>
      <c r="G52" s="39">
        <f>'C-1 Monthly Volumes'!N28</f>
        <v>11178</v>
      </c>
      <c r="H52" s="12">
        <v>0</v>
      </c>
      <c r="I52" s="6">
        <v>0</v>
      </c>
      <c r="J52" s="13">
        <f t="shared" si="15"/>
        <v>0</v>
      </c>
      <c r="K52" s="12">
        <v>0</v>
      </c>
      <c r="L52" s="6">
        <v>0</v>
      </c>
      <c r="M52" s="13">
        <f t="shared" si="16"/>
        <v>0</v>
      </c>
      <c r="N52" s="17">
        <v>0.207926</v>
      </c>
      <c r="O52" s="13">
        <f t="shared" si="17"/>
        <v>2324.196828</v>
      </c>
      <c r="P52" s="17">
        <v>0</v>
      </c>
      <c r="Q52" s="13">
        <f t="shared" si="18"/>
        <v>0</v>
      </c>
      <c r="R52" s="13">
        <f t="shared" si="19"/>
        <v>2324.196828</v>
      </c>
    </row>
    <row r="53" spans="1:18" ht="15">
      <c r="A53" s="24" t="s">
        <v>112</v>
      </c>
      <c r="B53" s="51">
        <v>2004</v>
      </c>
      <c r="C53" s="35" t="s">
        <v>40</v>
      </c>
      <c r="D53" s="36"/>
      <c r="E53" s="36"/>
      <c r="F53" s="38"/>
      <c r="G53" s="39">
        <f>'C-1 Monthly Volumes'!N29</f>
        <v>11512</v>
      </c>
      <c r="H53" s="12">
        <v>0</v>
      </c>
      <c r="I53" s="6">
        <v>0</v>
      </c>
      <c r="J53" s="13">
        <f t="shared" si="15"/>
        <v>0</v>
      </c>
      <c r="K53" s="12">
        <v>0</v>
      </c>
      <c r="L53" s="6">
        <v>0</v>
      </c>
      <c r="M53" s="13">
        <f t="shared" si="16"/>
        <v>0</v>
      </c>
      <c r="N53" s="17">
        <v>0.207926</v>
      </c>
      <c r="O53" s="13">
        <f t="shared" si="17"/>
        <v>2393.644112</v>
      </c>
      <c r="P53" s="17">
        <v>0</v>
      </c>
      <c r="Q53" s="13">
        <f t="shared" si="18"/>
        <v>0</v>
      </c>
      <c r="R53" s="13">
        <f t="shared" si="19"/>
        <v>2393.644112</v>
      </c>
    </row>
    <row r="54" spans="1:18" ht="15">
      <c r="A54" s="24" t="s">
        <v>112</v>
      </c>
      <c r="B54" s="51">
        <v>2004</v>
      </c>
      <c r="C54" s="35" t="s">
        <v>41</v>
      </c>
      <c r="D54" s="36"/>
      <c r="E54" s="36"/>
      <c r="F54" s="38"/>
      <c r="G54" s="39">
        <f>'C-1 Monthly Volumes'!N30</f>
        <v>11623</v>
      </c>
      <c r="H54" s="12">
        <v>0</v>
      </c>
      <c r="I54" s="6">
        <v>0</v>
      </c>
      <c r="J54" s="13">
        <f t="shared" si="15"/>
        <v>0</v>
      </c>
      <c r="K54" s="12">
        <v>0</v>
      </c>
      <c r="L54" s="6">
        <v>0</v>
      </c>
      <c r="M54" s="13">
        <f t="shared" si="16"/>
        <v>0</v>
      </c>
      <c r="N54" s="17">
        <v>0.207926</v>
      </c>
      <c r="O54" s="13">
        <f t="shared" si="17"/>
        <v>2416.723898</v>
      </c>
      <c r="P54" s="17">
        <v>0</v>
      </c>
      <c r="Q54" s="13">
        <f t="shared" si="18"/>
        <v>0</v>
      </c>
      <c r="R54" s="13">
        <f t="shared" si="19"/>
        <v>2416.723898</v>
      </c>
    </row>
    <row r="55" spans="1:18" ht="15">
      <c r="A55" s="24" t="s">
        <v>112</v>
      </c>
      <c r="B55" s="51">
        <v>2004</v>
      </c>
      <c r="C55" s="35" t="s">
        <v>42</v>
      </c>
      <c r="D55" s="36"/>
      <c r="E55" s="36"/>
      <c r="F55" s="38"/>
      <c r="G55" s="39">
        <f>'C-1 Monthly Volumes'!N31</f>
        <v>11326</v>
      </c>
      <c r="H55" s="12">
        <v>0</v>
      </c>
      <c r="I55" s="6">
        <v>0</v>
      </c>
      <c r="J55" s="13">
        <f t="shared" si="15"/>
        <v>0</v>
      </c>
      <c r="K55" s="12">
        <v>0</v>
      </c>
      <c r="L55" s="6">
        <v>0</v>
      </c>
      <c r="M55" s="13">
        <f t="shared" si="16"/>
        <v>0</v>
      </c>
      <c r="N55" s="17">
        <v>0.207926</v>
      </c>
      <c r="O55" s="13">
        <f>(F55+G55)*N55</f>
        <v>2354.969876</v>
      </c>
      <c r="P55" s="17">
        <v>0</v>
      </c>
      <c r="Q55" s="13">
        <f t="shared" si="18"/>
        <v>0</v>
      </c>
      <c r="R55" s="13">
        <f t="shared" si="19"/>
        <v>2354.969876</v>
      </c>
    </row>
    <row r="56" spans="1:18" ht="15">
      <c r="A56" s="24" t="s">
        <v>112</v>
      </c>
      <c r="B56" s="51">
        <v>2004</v>
      </c>
      <c r="C56" s="35" t="s">
        <v>43</v>
      </c>
      <c r="D56" s="36"/>
      <c r="E56" s="36"/>
      <c r="F56" s="38"/>
      <c r="G56" s="39">
        <f>'C-1 Monthly Volumes'!N32</f>
        <v>11002</v>
      </c>
      <c r="H56" s="12">
        <v>0</v>
      </c>
      <c r="I56" s="6">
        <v>0</v>
      </c>
      <c r="J56" s="13">
        <f t="shared" si="15"/>
        <v>0</v>
      </c>
      <c r="K56" s="12">
        <v>0</v>
      </c>
      <c r="L56" s="6">
        <v>0</v>
      </c>
      <c r="M56" s="13">
        <f t="shared" si="16"/>
        <v>0</v>
      </c>
      <c r="N56" s="17">
        <v>0.207926</v>
      </c>
      <c r="O56" s="13">
        <f t="shared" si="17"/>
        <v>2287.601852</v>
      </c>
      <c r="P56" s="17">
        <v>0</v>
      </c>
      <c r="Q56" s="13">
        <f t="shared" si="18"/>
        <v>0</v>
      </c>
      <c r="R56" s="13">
        <f t="shared" si="19"/>
        <v>2287.601852</v>
      </c>
    </row>
    <row r="57" spans="1:18" ht="15.75" thickBot="1">
      <c r="A57" s="24" t="s">
        <v>112</v>
      </c>
      <c r="B57" s="51">
        <v>2004</v>
      </c>
      <c r="C57" s="35" t="s">
        <v>44</v>
      </c>
      <c r="D57" s="36"/>
      <c r="E57" s="36"/>
      <c r="F57" s="38"/>
      <c r="G57" s="39">
        <f>'C-1 Monthly Volumes'!N33</f>
        <v>11053</v>
      </c>
      <c r="H57" s="12">
        <v>0</v>
      </c>
      <c r="I57" s="6">
        <v>0</v>
      </c>
      <c r="J57" s="13">
        <f t="shared" si="15"/>
        <v>0</v>
      </c>
      <c r="K57" s="12">
        <v>0</v>
      </c>
      <c r="L57" s="6">
        <v>0</v>
      </c>
      <c r="M57" s="13">
        <f t="shared" si="16"/>
        <v>0</v>
      </c>
      <c r="N57" s="17">
        <v>0.207926</v>
      </c>
      <c r="O57" s="13">
        <f t="shared" si="17"/>
        <v>2298.206078</v>
      </c>
      <c r="P57" s="17">
        <v>0</v>
      </c>
      <c r="Q57" s="13">
        <f t="shared" si="18"/>
        <v>0</v>
      </c>
      <c r="R57" s="13">
        <f t="shared" si="19"/>
        <v>2298.206078</v>
      </c>
    </row>
    <row r="58" spans="1:18" ht="15.75" thickBot="1">
      <c r="A58" s="53" t="s">
        <v>114</v>
      </c>
      <c r="B58" s="54"/>
      <c r="C58" s="55"/>
      <c r="D58" s="56">
        <f>SUM(D46:D57)</f>
        <v>27</v>
      </c>
      <c r="E58" s="56"/>
      <c r="F58" s="56">
        <f>SUM(F46:F57)</f>
        <v>0</v>
      </c>
      <c r="G58" s="57">
        <f>SUM(G46:G57)</f>
        <v>132007</v>
      </c>
      <c r="H58" s="58"/>
      <c r="I58" s="59"/>
      <c r="J58" s="60">
        <f>SUM(J46:J57)</f>
        <v>2342.261864</v>
      </c>
      <c r="K58" s="58"/>
      <c r="L58" s="59"/>
      <c r="M58" s="60">
        <f>SUM(M46:M57)</f>
        <v>6716.749236</v>
      </c>
      <c r="N58" s="61"/>
      <c r="O58" s="60">
        <f>SUM(O46:O57)</f>
        <v>18730.597858</v>
      </c>
      <c r="P58" s="61"/>
      <c r="Q58" s="60">
        <f>SUM(Q46:Q57)</f>
        <v>0</v>
      </c>
      <c r="R58" s="60">
        <f>SUM(R46:R57)</f>
        <v>27789.608958</v>
      </c>
    </row>
    <row r="59" spans="1:18" ht="15">
      <c r="A59" s="24"/>
      <c r="B59" s="51"/>
      <c r="C59" s="35"/>
      <c r="D59" s="36"/>
      <c r="E59" s="36"/>
      <c r="F59" s="38"/>
      <c r="G59" s="39"/>
      <c r="H59" s="14"/>
      <c r="I59" s="6"/>
      <c r="J59" s="13"/>
      <c r="K59" s="14"/>
      <c r="L59" s="6"/>
      <c r="M59" s="13"/>
      <c r="N59" s="17"/>
      <c r="O59" s="13"/>
      <c r="P59" s="17"/>
      <c r="Q59" s="13"/>
      <c r="R59" s="13"/>
    </row>
    <row r="60" spans="1:18" ht="15">
      <c r="A60" s="24" t="s">
        <v>2</v>
      </c>
      <c r="B60" s="51">
        <v>2004</v>
      </c>
      <c r="C60" s="35" t="s">
        <v>34</v>
      </c>
      <c r="D60" s="36">
        <f>'C-2 Customer Count'!G26</f>
        <v>274</v>
      </c>
      <c r="E60" s="36">
        <v>1</v>
      </c>
      <c r="F60" s="38"/>
      <c r="G60" s="39">
        <f>'C-1 Monthly Volumes'!E41</f>
        <v>110</v>
      </c>
      <c r="H60" s="14">
        <v>0.2264</v>
      </c>
      <c r="I60" s="6">
        <v>0.308629</v>
      </c>
      <c r="J60" s="13">
        <f>D60*E60*H60+(F60+G60)*I60</f>
        <v>95.98279</v>
      </c>
      <c r="K60" s="14">
        <v>0.6494</v>
      </c>
      <c r="L60" s="6">
        <v>0.885029</v>
      </c>
      <c r="M60" s="13">
        <f>D60*E60*K60+(F60+G60)*L60</f>
        <v>275.28879</v>
      </c>
      <c r="N60" s="17"/>
      <c r="O60" s="13">
        <f>(F60+G60)*N60</f>
        <v>0</v>
      </c>
      <c r="P60" s="17">
        <v>0</v>
      </c>
      <c r="Q60" s="13">
        <f>(F60+G60)*P60</f>
        <v>0</v>
      </c>
      <c r="R60" s="13">
        <f>J60+M60+O60+Q60</f>
        <v>371.27158</v>
      </c>
    </row>
    <row r="61" spans="1:18" ht="15">
      <c r="A61" s="24" t="s">
        <v>2</v>
      </c>
      <c r="B61" s="51">
        <v>2004</v>
      </c>
      <c r="C61" s="35" t="s">
        <v>35</v>
      </c>
      <c r="D61" s="36">
        <f>'C-2 Customer Count'!G27</f>
        <v>274</v>
      </c>
      <c r="E61" s="36">
        <v>1</v>
      </c>
      <c r="F61" s="38"/>
      <c r="G61" s="39">
        <f>'C-1 Monthly Volumes'!E42</f>
        <v>116</v>
      </c>
      <c r="H61" s="14">
        <v>0.2264</v>
      </c>
      <c r="I61" s="6">
        <v>0.308629</v>
      </c>
      <c r="J61" s="13">
        <f>D61*E61*H61+(F61+G61)*I61</f>
        <v>97.834564</v>
      </c>
      <c r="K61" s="14">
        <v>0.6494</v>
      </c>
      <c r="L61" s="6">
        <v>0.885029</v>
      </c>
      <c r="M61" s="13">
        <f>D61*E61*K61+(F61+G61)*L61</f>
        <v>280.598964</v>
      </c>
      <c r="N61" s="17"/>
      <c r="O61" s="13">
        <f>(F61+G61)*N61</f>
        <v>0</v>
      </c>
      <c r="P61" s="17">
        <v>0</v>
      </c>
      <c r="Q61" s="13">
        <f>(F61+G61)*P61</f>
        <v>0</v>
      </c>
      <c r="R61" s="13">
        <f>J61+M61+O61+Q61</f>
        <v>378.433528</v>
      </c>
    </row>
    <row r="62" spans="1:18" ht="15">
      <c r="A62" s="24" t="s">
        <v>2</v>
      </c>
      <c r="B62" s="51">
        <v>2004</v>
      </c>
      <c r="C62" s="35" t="s">
        <v>36</v>
      </c>
      <c r="D62" s="36">
        <f>'C-2 Customer Count'!G28</f>
        <v>274</v>
      </c>
      <c r="E62" s="36">
        <v>1</v>
      </c>
      <c r="F62" s="38"/>
      <c r="G62" s="39">
        <f>'C-1 Monthly Volumes'!E43</f>
        <v>242</v>
      </c>
      <c r="H62" s="14">
        <v>0.2264</v>
      </c>
      <c r="I62" s="6">
        <v>0.308629</v>
      </c>
      <c r="J62" s="13">
        <f>D62*E62*H62+(F62+G62)*I62</f>
        <v>136.72181799999998</v>
      </c>
      <c r="K62" s="14">
        <v>0.6494</v>
      </c>
      <c r="L62" s="6">
        <v>0.885029</v>
      </c>
      <c r="M62" s="13">
        <f>D62*E62*K62+(F62+G62)*L62</f>
        <v>392.112618</v>
      </c>
      <c r="N62" s="17"/>
      <c r="O62" s="13">
        <f>(F62+G62)*N62</f>
        <v>0</v>
      </c>
      <c r="P62" s="17">
        <v>0</v>
      </c>
      <c r="Q62" s="13">
        <f>(F62+G62)*P62</f>
        <v>0</v>
      </c>
      <c r="R62" s="13">
        <f>J62+M62+O62+Q62</f>
        <v>528.834436</v>
      </c>
    </row>
    <row r="63" spans="1:18" ht="15">
      <c r="A63" s="24" t="s">
        <v>2</v>
      </c>
      <c r="B63" s="51">
        <v>2004</v>
      </c>
      <c r="C63" s="35" t="s">
        <v>37</v>
      </c>
      <c r="D63" s="36"/>
      <c r="E63" s="36"/>
      <c r="F63" s="38"/>
      <c r="G63" s="39">
        <f>'C-1 Monthly Volumes'!E44</f>
        <v>0</v>
      </c>
      <c r="H63" s="12">
        <v>0</v>
      </c>
      <c r="I63" s="6">
        <v>0</v>
      </c>
      <c r="J63" s="13">
        <f>D63*E63*H63+(F63+G63)*I63</f>
        <v>0</v>
      </c>
      <c r="K63" s="12">
        <v>0</v>
      </c>
      <c r="L63" s="6">
        <v>0</v>
      </c>
      <c r="M63" s="13">
        <f>D63*E63*K63+(F63+G63)*L63</f>
        <v>0</v>
      </c>
      <c r="N63" s="225">
        <v>2.452184</v>
      </c>
      <c r="O63" s="13">
        <f>(F63+G63)*N63</f>
        <v>0</v>
      </c>
      <c r="P63" s="17">
        <v>0</v>
      </c>
      <c r="Q63" s="13">
        <f>(F63+G63)*P63</f>
        <v>0</v>
      </c>
      <c r="R63" s="13">
        <f>J63+M63+O63+Q63</f>
        <v>0</v>
      </c>
    </row>
    <row r="64" spans="1:18" ht="15">
      <c r="A64" s="24" t="s">
        <v>2</v>
      </c>
      <c r="B64" s="51">
        <v>2004</v>
      </c>
      <c r="C64" s="35" t="s">
        <v>30</v>
      </c>
      <c r="D64" s="36"/>
      <c r="E64" s="36"/>
      <c r="F64" s="38"/>
      <c r="G64" s="39">
        <f>'C-1 Monthly Volumes'!E45</f>
        <v>80</v>
      </c>
      <c r="H64" s="12">
        <v>0</v>
      </c>
      <c r="I64" s="6">
        <v>0</v>
      </c>
      <c r="J64" s="13">
        <f aca="true" t="shared" si="20" ref="J64:J71">D64*E64*H64+(F64+G64)*I64</f>
        <v>0</v>
      </c>
      <c r="K64" s="12">
        <v>0</v>
      </c>
      <c r="L64" s="6">
        <v>0</v>
      </c>
      <c r="M64" s="13">
        <f aca="true" t="shared" si="21" ref="M64:M71">D64*E64*K64+(F64+G64)*L64</f>
        <v>0</v>
      </c>
      <c r="N64" s="225">
        <v>2.452184</v>
      </c>
      <c r="O64" s="13">
        <f>(F64+G64)*N64</f>
        <v>196.17471999999998</v>
      </c>
      <c r="P64" s="17">
        <v>0</v>
      </c>
      <c r="Q64" s="13">
        <f aca="true" t="shared" si="22" ref="Q64:Q71">(F64+G64)*P64</f>
        <v>0</v>
      </c>
      <c r="R64" s="13">
        <f aca="true" t="shared" si="23" ref="R64:R71">J64+M64+O64+Q64</f>
        <v>196.17471999999998</v>
      </c>
    </row>
    <row r="65" spans="1:18" ht="15">
      <c r="A65" s="24" t="s">
        <v>2</v>
      </c>
      <c r="B65" s="51">
        <v>2004</v>
      </c>
      <c r="C65" s="35" t="s">
        <v>38</v>
      </c>
      <c r="D65" s="36"/>
      <c r="E65" s="36"/>
      <c r="F65" s="38"/>
      <c r="G65" s="39">
        <f>'C-1 Monthly Volumes'!E46</f>
        <v>111</v>
      </c>
      <c r="H65" s="12">
        <v>0</v>
      </c>
      <c r="I65" s="6">
        <v>0</v>
      </c>
      <c r="J65" s="13">
        <f t="shared" si="20"/>
        <v>0</v>
      </c>
      <c r="K65" s="12">
        <v>0</v>
      </c>
      <c r="L65" s="6">
        <v>0</v>
      </c>
      <c r="M65" s="13">
        <f t="shared" si="21"/>
        <v>0</v>
      </c>
      <c r="N65" s="225">
        <v>2.452184</v>
      </c>
      <c r="O65" s="13">
        <f aca="true" t="shared" si="24" ref="O65:O71">(F65+G65)*N65</f>
        <v>272.192424</v>
      </c>
      <c r="P65" s="17">
        <v>0</v>
      </c>
      <c r="Q65" s="13">
        <f t="shared" si="22"/>
        <v>0</v>
      </c>
      <c r="R65" s="13">
        <f t="shared" si="23"/>
        <v>272.192424</v>
      </c>
    </row>
    <row r="66" spans="1:18" ht="15">
      <c r="A66" s="24" t="s">
        <v>2</v>
      </c>
      <c r="B66" s="51">
        <v>2004</v>
      </c>
      <c r="C66" s="35" t="s">
        <v>39</v>
      </c>
      <c r="D66" s="36"/>
      <c r="E66" s="36"/>
      <c r="F66" s="38"/>
      <c r="G66" s="39">
        <f>'C-1 Monthly Volumes'!E47</f>
        <v>99</v>
      </c>
      <c r="H66" s="12">
        <v>0</v>
      </c>
      <c r="I66" s="6">
        <v>0</v>
      </c>
      <c r="J66" s="13">
        <f t="shared" si="20"/>
        <v>0</v>
      </c>
      <c r="K66" s="12">
        <v>0</v>
      </c>
      <c r="L66" s="6">
        <v>0</v>
      </c>
      <c r="M66" s="13">
        <f t="shared" si="21"/>
        <v>0</v>
      </c>
      <c r="N66" s="225">
        <v>2.452184</v>
      </c>
      <c r="O66" s="13">
        <f t="shared" si="24"/>
        <v>242.766216</v>
      </c>
      <c r="P66" s="17">
        <v>0</v>
      </c>
      <c r="Q66" s="13">
        <f t="shared" si="22"/>
        <v>0</v>
      </c>
      <c r="R66" s="13">
        <f t="shared" si="23"/>
        <v>242.766216</v>
      </c>
    </row>
    <row r="67" spans="1:18" ht="15">
      <c r="A67" s="24" t="s">
        <v>2</v>
      </c>
      <c r="B67" s="51">
        <v>2004</v>
      </c>
      <c r="C67" s="35" t="s">
        <v>40</v>
      </c>
      <c r="D67" s="36"/>
      <c r="E67" s="36"/>
      <c r="F67" s="38"/>
      <c r="G67" s="39">
        <f>'C-1 Monthly Volumes'!E48</f>
        <v>102</v>
      </c>
      <c r="H67" s="12">
        <v>0</v>
      </c>
      <c r="I67" s="6">
        <v>0</v>
      </c>
      <c r="J67" s="13">
        <f t="shared" si="20"/>
        <v>0</v>
      </c>
      <c r="K67" s="12">
        <v>0</v>
      </c>
      <c r="L67" s="6">
        <v>0</v>
      </c>
      <c r="M67" s="13">
        <f t="shared" si="21"/>
        <v>0</v>
      </c>
      <c r="N67" s="225">
        <v>2.452184</v>
      </c>
      <c r="O67" s="13">
        <f t="shared" si="24"/>
        <v>250.12276799999998</v>
      </c>
      <c r="P67" s="17">
        <v>0</v>
      </c>
      <c r="Q67" s="13">
        <f t="shared" si="22"/>
        <v>0</v>
      </c>
      <c r="R67" s="13">
        <f t="shared" si="23"/>
        <v>250.12276799999998</v>
      </c>
    </row>
    <row r="68" spans="1:18" ht="15">
      <c r="A68" s="24" t="s">
        <v>2</v>
      </c>
      <c r="B68" s="51">
        <v>2004</v>
      </c>
      <c r="C68" s="35" t="s">
        <v>41</v>
      </c>
      <c r="D68" s="36"/>
      <c r="E68" s="36"/>
      <c r="F68" s="38"/>
      <c r="G68" s="39">
        <f>'C-1 Monthly Volumes'!E49</f>
        <v>111</v>
      </c>
      <c r="H68" s="12">
        <v>0</v>
      </c>
      <c r="I68" s="6">
        <v>0</v>
      </c>
      <c r="J68" s="13">
        <f t="shared" si="20"/>
        <v>0</v>
      </c>
      <c r="K68" s="12">
        <v>0</v>
      </c>
      <c r="L68" s="6">
        <v>0</v>
      </c>
      <c r="M68" s="13">
        <f t="shared" si="21"/>
        <v>0</v>
      </c>
      <c r="N68" s="225">
        <v>2.452184</v>
      </c>
      <c r="O68" s="13">
        <f t="shared" si="24"/>
        <v>272.192424</v>
      </c>
      <c r="P68" s="17">
        <v>0</v>
      </c>
      <c r="Q68" s="13">
        <f t="shared" si="22"/>
        <v>0</v>
      </c>
      <c r="R68" s="13">
        <f t="shared" si="23"/>
        <v>272.192424</v>
      </c>
    </row>
    <row r="69" spans="1:18" ht="15">
      <c r="A69" s="24" t="s">
        <v>2</v>
      </c>
      <c r="B69" s="51">
        <v>2004</v>
      </c>
      <c r="C69" s="35" t="s">
        <v>42</v>
      </c>
      <c r="D69" s="36"/>
      <c r="E69" s="36"/>
      <c r="F69" s="38"/>
      <c r="G69" s="39">
        <f>'C-1 Monthly Volumes'!E50</f>
        <v>101</v>
      </c>
      <c r="H69" s="12">
        <v>0</v>
      </c>
      <c r="I69" s="6">
        <v>0</v>
      </c>
      <c r="J69" s="13">
        <f t="shared" si="20"/>
        <v>0</v>
      </c>
      <c r="K69" s="12">
        <v>0</v>
      </c>
      <c r="L69" s="6">
        <v>0</v>
      </c>
      <c r="M69" s="13">
        <f t="shared" si="21"/>
        <v>0</v>
      </c>
      <c r="N69" s="225">
        <v>2.452184</v>
      </c>
      <c r="O69" s="13">
        <f t="shared" si="24"/>
        <v>247.670584</v>
      </c>
      <c r="P69" s="17">
        <v>0</v>
      </c>
      <c r="Q69" s="13">
        <f t="shared" si="22"/>
        <v>0</v>
      </c>
      <c r="R69" s="13">
        <f t="shared" si="23"/>
        <v>247.670584</v>
      </c>
    </row>
    <row r="70" spans="1:18" ht="15">
      <c r="A70" s="24" t="s">
        <v>2</v>
      </c>
      <c r="B70" s="51">
        <v>2004</v>
      </c>
      <c r="C70" s="35" t="s">
        <v>43</v>
      </c>
      <c r="D70" s="36"/>
      <c r="E70" s="36"/>
      <c r="F70" s="38"/>
      <c r="G70" s="39">
        <f>'C-1 Monthly Volumes'!E51</f>
        <v>97</v>
      </c>
      <c r="H70" s="12">
        <v>0</v>
      </c>
      <c r="I70" s="6">
        <v>0</v>
      </c>
      <c r="J70" s="13">
        <f t="shared" si="20"/>
        <v>0</v>
      </c>
      <c r="K70" s="12">
        <v>0</v>
      </c>
      <c r="L70" s="6">
        <v>0</v>
      </c>
      <c r="M70" s="13">
        <f t="shared" si="21"/>
        <v>0</v>
      </c>
      <c r="N70" s="225">
        <v>2.452184</v>
      </c>
      <c r="O70" s="13">
        <f t="shared" si="24"/>
        <v>237.86184799999998</v>
      </c>
      <c r="P70" s="17">
        <v>0</v>
      </c>
      <c r="Q70" s="13">
        <f t="shared" si="22"/>
        <v>0</v>
      </c>
      <c r="R70" s="13">
        <f t="shared" si="23"/>
        <v>237.86184799999998</v>
      </c>
    </row>
    <row r="71" spans="1:18" ht="15.75" thickBot="1">
      <c r="A71" s="24" t="s">
        <v>2</v>
      </c>
      <c r="B71" s="51">
        <v>2004</v>
      </c>
      <c r="C71" s="35" t="s">
        <v>44</v>
      </c>
      <c r="D71" s="36"/>
      <c r="E71" s="36"/>
      <c r="F71" s="38"/>
      <c r="G71" s="39">
        <f>'C-1 Monthly Volumes'!E52</f>
        <v>104</v>
      </c>
      <c r="H71" s="12">
        <v>0</v>
      </c>
      <c r="I71" s="6">
        <v>0</v>
      </c>
      <c r="J71" s="13">
        <f t="shared" si="20"/>
        <v>0</v>
      </c>
      <c r="K71" s="12">
        <v>0</v>
      </c>
      <c r="L71" s="6">
        <v>0</v>
      </c>
      <c r="M71" s="13">
        <f t="shared" si="21"/>
        <v>0</v>
      </c>
      <c r="N71" s="225">
        <v>2.452184</v>
      </c>
      <c r="O71" s="13">
        <f t="shared" si="24"/>
        <v>255.02713599999998</v>
      </c>
      <c r="P71" s="17">
        <v>0</v>
      </c>
      <c r="Q71" s="13">
        <f t="shared" si="22"/>
        <v>0</v>
      </c>
      <c r="R71" s="13">
        <f t="shared" si="23"/>
        <v>255.02713599999998</v>
      </c>
    </row>
    <row r="72" spans="1:18" ht="15.75" thickBot="1">
      <c r="A72" s="53" t="s">
        <v>54</v>
      </c>
      <c r="B72" s="54"/>
      <c r="C72" s="55"/>
      <c r="D72" s="56">
        <f>SUM(D60:D71)</f>
        <v>822</v>
      </c>
      <c r="E72" s="56"/>
      <c r="F72" s="56">
        <f>SUM(F60:F71)</f>
        <v>0</v>
      </c>
      <c r="G72" s="57">
        <f>SUM(G60:G71)</f>
        <v>1273</v>
      </c>
      <c r="H72" s="58"/>
      <c r="I72" s="59"/>
      <c r="J72" s="60">
        <f>SUM(J60:J71)</f>
        <v>330.539172</v>
      </c>
      <c r="K72" s="58"/>
      <c r="L72" s="59"/>
      <c r="M72" s="60">
        <f>SUM(M60:M71)</f>
        <v>948.0003720000001</v>
      </c>
      <c r="N72" s="61"/>
      <c r="O72" s="60">
        <f>SUM(O60:O71)</f>
        <v>1974.00812</v>
      </c>
      <c r="P72" s="61"/>
      <c r="Q72" s="60">
        <f>SUM(Q60:Q71)</f>
        <v>0</v>
      </c>
      <c r="R72" s="60">
        <f>SUM(R60:R71)</f>
        <v>3252.547664</v>
      </c>
    </row>
    <row r="73" spans="1:18" ht="15">
      <c r="A73" s="24"/>
      <c r="B73" s="51"/>
      <c r="C73" s="35"/>
      <c r="D73" s="36"/>
      <c r="E73" s="36"/>
      <c r="F73" s="38"/>
      <c r="G73" s="39"/>
      <c r="H73" s="14"/>
      <c r="I73" s="6"/>
      <c r="J73" s="13"/>
      <c r="K73" s="14"/>
      <c r="L73" s="6"/>
      <c r="M73" s="13"/>
      <c r="N73" s="17"/>
      <c r="O73" s="13"/>
      <c r="P73" s="17"/>
      <c r="Q73" s="13"/>
      <c r="R73" s="13"/>
    </row>
    <row r="74" spans="1:18" ht="15">
      <c r="A74" s="24" t="s">
        <v>3</v>
      </c>
      <c r="B74" s="51">
        <v>2004</v>
      </c>
      <c r="C74" s="35" t="s">
        <v>34</v>
      </c>
      <c r="D74" s="36">
        <f>'C-2 Customer Count'!H26</f>
        <v>3481</v>
      </c>
      <c r="E74" s="36">
        <v>1</v>
      </c>
      <c r="F74" s="38"/>
      <c r="G74" s="39">
        <f>'C-1 Monthly Volumes'!N41</f>
        <v>581</v>
      </c>
      <c r="H74" s="14">
        <v>0.0585</v>
      </c>
      <c r="I74" s="6">
        <v>0.121564</v>
      </c>
      <c r="J74" s="13">
        <f>D74*E74*H74+(F74+G74)*I74</f>
        <v>274.26718400000004</v>
      </c>
      <c r="K74" s="14">
        <v>0.1677</v>
      </c>
      <c r="L74" s="6">
        <v>0.348598</v>
      </c>
      <c r="M74" s="13">
        <f>D74*E74*K74+(F74+G74)*L74</f>
        <v>786.299138</v>
      </c>
      <c r="N74" s="17"/>
      <c r="O74" s="13">
        <f>(F74+G74)*N74</f>
        <v>0</v>
      </c>
      <c r="P74" s="17">
        <v>0</v>
      </c>
      <c r="Q74" s="13">
        <f>(F74+G74)*P74</f>
        <v>0</v>
      </c>
      <c r="R74" s="13">
        <f aca="true" t="shared" si="25" ref="R74:R85">J74+M74+O74+Q74</f>
        <v>1060.5663220000001</v>
      </c>
    </row>
    <row r="75" spans="1:18" ht="15">
      <c r="A75" s="24" t="s">
        <v>3</v>
      </c>
      <c r="B75" s="51">
        <v>2004</v>
      </c>
      <c r="C75" s="35" t="s">
        <v>35</v>
      </c>
      <c r="D75" s="36">
        <f>'C-2 Customer Count'!H27</f>
        <v>3481</v>
      </c>
      <c r="E75" s="36">
        <v>1</v>
      </c>
      <c r="F75" s="38"/>
      <c r="G75" s="39">
        <f>'C-1 Monthly Volumes'!N42</f>
        <v>583</v>
      </c>
      <c r="H75" s="14">
        <v>0.0585</v>
      </c>
      <c r="I75" s="6">
        <v>0.121564</v>
      </c>
      <c r="J75" s="13">
        <f>D75*E75*H75+(F75+G75)*I75</f>
        <v>274.510312</v>
      </c>
      <c r="K75" s="14">
        <v>0.1677</v>
      </c>
      <c r="L75" s="6">
        <v>0.348598</v>
      </c>
      <c r="M75" s="13">
        <f>D75*E75*K75+(F75+G75)*L75</f>
        <v>786.9963339999999</v>
      </c>
      <c r="N75" s="17"/>
      <c r="O75" s="13">
        <f>(F75+G75)*N75</f>
        <v>0</v>
      </c>
      <c r="P75" s="17">
        <v>0</v>
      </c>
      <c r="Q75" s="13">
        <f>(F75+G75)*P75</f>
        <v>0</v>
      </c>
      <c r="R75" s="13">
        <f t="shared" si="25"/>
        <v>1061.5066459999998</v>
      </c>
    </row>
    <row r="76" spans="1:18" ht="15">
      <c r="A76" s="24" t="s">
        <v>3</v>
      </c>
      <c r="B76" s="51">
        <v>2004</v>
      </c>
      <c r="C76" s="35" t="s">
        <v>36</v>
      </c>
      <c r="D76" s="36">
        <f>'C-2 Customer Count'!H28</f>
        <v>3481</v>
      </c>
      <c r="E76" s="36">
        <v>1</v>
      </c>
      <c r="F76" s="38"/>
      <c r="G76" s="39">
        <f>'C-1 Monthly Volumes'!N43</f>
        <v>1167</v>
      </c>
      <c r="H76" s="14">
        <v>0.0585</v>
      </c>
      <c r="I76" s="6">
        <v>0.121564</v>
      </c>
      <c r="J76" s="13">
        <f>D76*E76*H76+(F76+G76)*I76</f>
        <v>345.503688</v>
      </c>
      <c r="K76" s="14">
        <v>0.1677</v>
      </c>
      <c r="L76" s="6">
        <v>0.348598</v>
      </c>
      <c r="M76" s="13">
        <f>D76*E76*K76+(F76+G76)*L76</f>
        <v>990.5775659999999</v>
      </c>
      <c r="N76" s="17"/>
      <c r="O76" s="13">
        <f>(F76+G76)*N76</f>
        <v>0</v>
      </c>
      <c r="P76" s="17">
        <v>0</v>
      </c>
      <c r="Q76" s="13">
        <f>(F76+G76)*P76</f>
        <v>0</v>
      </c>
      <c r="R76" s="13">
        <f t="shared" si="25"/>
        <v>1336.081254</v>
      </c>
    </row>
    <row r="77" spans="1:18" ht="15">
      <c r="A77" s="24" t="s">
        <v>3</v>
      </c>
      <c r="B77" s="51">
        <v>2004</v>
      </c>
      <c r="C77" s="35" t="s">
        <v>37</v>
      </c>
      <c r="D77" s="36"/>
      <c r="E77" s="36"/>
      <c r="F77" s="38"/>
      <c r="G77" s="39">
        <f>'C-1 Monthly Volumes'!N44</f>
        <v>0</v>
      </c>
      <c r="H77" s="12">
        <v>0</v>
      </c>
      <c r="I77" s="6">
        <v>0</v>
      </c>
      <c r="J77" s="13">
        <f>D77*E77*H77+(F77+G77)*I77</f>
        <v>0</v>
      </c>
      <c r="K77" s="12">
        <v>0</v>
      </c>
      <c r="L77" s="6">
        <v>0</v>
      </c>
      <c r="M77" s="13">
        <f>D77*E77*K77+(F77+G77)*L77</f>
        <v>0</v>
      </c>
      <c r="N77" s="17">
        <v>1.681426</v>
      </c>
      <c r="O77" s="13">
        <f>(F77+G77)*N77</f>
        <v>0</v>
      </c>
      <c r="P77" s="17">
        <v>0</v>
      </c>
      <c r="Q77" s="13">
        <f>(F77+G77)*P77</f>
        <v>0</v>
      </c>
      <c r="R77" s="13">
        <f t="shared" si="25"/>
        <v>0</v>
      </c>
    </row>
    <row r="78" spans="1:18" ht="15">
      <c r="A78" s="24" t="s">
        <v>3</v>
      </c>
      <c r="B78" s="51">
        <v>2004</v>
      </c>
      <c r="C78" s="35" t="s">
        <v>30</v>
      </c>
      <c r="D78" s="36"/>
      <c r="E78" s="36"/>
      <c r="F78" s="38"/>
      <c r="G78" s="39">
        <f>'C-1 Monthly Volumes'!N45</f>
        <v>583</v>
      </c>
      <c r="H78" s="12">
        <v>0</v>
      </c>
      <c r="I78" s="6">
        <v>0</v>
      </c>
      <c r="J78" s="13">
        <f aca="true" t="shared" si="26" ref="J78:J85">D78*E78*H78+(F78+G78)*I78</f>
        <v>0</v>
      </c>
      <c r="K78" s="12">
        <v>0</v>
      </c>
      <c r="L78" s="6">
        <v>0</v>
      </c>
      <c r="M78" s="13">
        <f aca="true" t="shared" si="27" ref="M78:M85">D78*E78*K78+(F78+G78)*L78</f>
        <v>0</v>
      </c>
      <c r="N78" s="17">
        <v>1.681426</v>
      </c>
      <c r="O78" s="13">
        <f aca="true" t="shared" si="28" ref="O78:O85">(F78+G78)*N78</f>
        <v>980.2713580000001</v>
      </c>
      <c r="P78" s="17">
        <v>0</v>
      </c>
      <c r="Q78" s="13">
        <f aca="true" t="shared" si="29" ref="Q78:Q85">(F78+G78)*P78</f>
        <v>0</v>
      </c>
      <c r="R78" s="13">
        <f t="shared" si="25"/>
        <v>980.2713580000001</v>
      </c>
    </row>
    <row r="79" spans="1:18" ht="15">
      <c r="A79" s="24" t="s">
        <v>3</v>
      </c>
      <c r="B79" s="51">
        <v>2004</v>
      </c>
      <c r="C79" s="35" t="s">
        <v>38</v>
      </c>
      <c r="D79" s="36"/>
      <c r="E79" s="36"/>
      <c r="F79" s="38"/>
      <c r="G79" s="39">
        <f>'C-1 Monthly Volumes'!N46</f>
        <v>585</v>
      </c>
      <c r="H79" s="12">
        <v>0</v>
      </c>
      <c r="I79" s="6">
        <v>0</v>
      </c>
      <c r="J79" s="13">
        <f t="shared" si="26"/>
        <v>0</v>
      </c>
      <c r="K79" s="12">
        <v>0</v>
      </c>
      <c r="L79" s="6">
        <v>0</v>
      </c>
      <c r="M79" s="13">
        <f t="shared" si="27"/>
        <v>0</v>
      </c>
      <c r="N79" s="17">
        <v>1.681426</v>
      </c>
      <c r="O79" s="13">
        <f t="shared" si="28"/>
        <v>983.63421</v>
      </c>
      <c r="P79" s="17">
        <v>0</v>
      </c>
      <c r="Q79" s="13">
        <f t="shared" si="29"/>
        <v>0</v>
      </c>
      <c r="R79" s="13">
        <f t="shared" si="25"/>
        <v>983.63421</v>
      </c>
    </row>
    <row r="80" spans="1:18" ht="15">
      <c r="A80" s="24" t="s">
        <v>3</v>
      </c>
      <c r="B80" s="51">
        <v>2004</v>
      </c>
      <c r="C80" s="35" t="s">
        <v>39</v>
      </c>
      <c r="D80" s="36"/>
      <c r="E80" s="36"/>
      <c r="F80" s="38"/>
      <c r="G80" s="39">
        <f>'C-1 Monthly Volumes'!N47</f>
        <v>584</v>
      </c>
      <c r="H80" s="12">
        <v>0</v>
      </c>
      <c r="I80" s="6">
        <v>0</v>
      </c>
      <c r="J80" s="13">
        <f t="shared" si="26"/>
        <v>0</v>
      </c>
      <c r="K80" s="12">
        <v>0</v>
      </c>
      <c r="L80" s="6">
        <v>0</v>
      </c>
      <c r="M80" s="13">
        <f t="shared" si="27"/>
        <v>0</v>
      </c>
      <c r="N80" s="17">
        <v>1.681426</v>
      </c>
      <c r="O80" s="13">
        <f t="shared" si="28"/>
        <v>981.9527840000001</v>
      </c>
      <c r="P80" s="17">
        <v>0</v>
      </c>
      <c r="Q80" s="13">
        <f t="shared" si="29"/>
        <v>0</v>
      </c>
      <c r="R80" s="13">
        <f t="shared" si="25"/>
        <v>981.9527840000001</v>
      </c>
    </row>
    <row r="81" spans="1:18" ht="15">
      <c r="A81" s="24" t="s">
        <v>3</v>
      </c>
      <c r="B81" s="51">
        <v>2004</v>
      </c>
      <c r="C81" s="35" t="s">
        <v>40</v>
      </c>
      <c r="D81" s="36"/>
      <c r="E81" s="36"/>
      <c r="F81" s="38"/>
      <c r="G81" s="39">
        <f>'C-1 Monthly Volumes'!N48</f>
        <v>585</v>
      </c>
      <c r="H81" s="12">
        <v>0</v>
      </c>
      <c r="I81" s="6">
        <v>0</v>
      </c>
      <c r="J81" s="13">
        <f t="shared" si="26"/>
        <v>0</v>
      </c>
      <c r="K81" s="12">
        <v>0</v>
      </c>
      <c r="L81" s="6">
        <v>0</v>
      </c>
      <c r="M81" s="13">
        <f t="shared" si="27"/>
        <v>0</v>
      </c>
      <c r="N81" s="17">
        <v>1.681426</v>
      </c>
      <c r="O81" s="13">
        <f t="shared" si="28"/>
        <v>983.63421</v>
      </c>
      <c r="P81" s="17">
        <v>0</v>
      </c>
      <c r="Q81" s="13">
        <f t="shared" si="29"/>
        <v>0</v>
      </c>
      <c r="R81" s="13">
        <f t="shared" si="25"/>
        <v>983.63421</v>
      </c>
    </row>
    <row r="82" spans="1:18" ht="15">
      <c r="A82" s="24" t="s">
        <v>3</v>
      </c>
      <c r="B82" s="51">
        <v>2004</v>
      </c>
      <c r="C82" s="35" t="s">
        <v>41</v>
      </c>
      <c r="D82" s="36"/>
      <c r="E82" s="36"/>
      <c r="F82" s="38"/>
      <c r="G82" s="39">
        <f>'C-1 Monthly Volumes'!N49</f>
        <v>585</v>
      </c>
      <c r="H82" s="12">
        <v>0</v>
      </c>
      <c r="I82" s="6">
        <v>0</v>
      </c>
      <c r="J82" s="13">
        <f t="shared" si="26"/>
        <v>0</v>
      </c>
      <c r="K82" s="12">
        <v>0</v>
      </c>
      <c r="L82" s="6">
        <v>0</v>
      </c>
      <c r="M82" s="13">
        <f t="shared" si="27"/>
        <v>0</v>
      </c>
      <c r="N82" s="17">
        <v>1.681426</v>
      </c>
      <c r="O82" s="13">
        <f t="shared" si="28"/>
        <v>983.63421</v>
      </c>
      <c r="P82" s="17">
        <v>0</v>
      </c>
      <c r="Q82" s="13">
        <f t="shared" si="29"/>
        <v>0</v>
      </c>
      <c r="R82" s="13">
        <f t="shared" si="25"/>
        <v>983.63421</v>
      </c>
    </row>
    <row r="83" spans="1:18" ht="15">
      <c r="A83" s="24" t="s">
        <v>3</v>
      </c>
      <c r="B83" s="51">
        <v>2004</v>
      </c>
      <c r="C83" s="35" t="s">
        <v>42</v>
      </c>
      <c r="D83" s="36"/>
      <c r="E83" s="36"/>
      <c r="F83" s="38"/>
      <c r="G83" s="39">
        <f>'C-1 Monthly Volumes'!N50</f>
        <v>584</v>
      </c>
      <c r="H83" s="12">
        <v>0</v>
      </c>
      <c r="I83" s="6">
        <v>0</v>
      </c>
      <c r="J83" s="13">
        <f t="shared" si="26"/>
        <v>0</v>
      </c>
      <c r="K83" s="12">
        <v>0</v>
      </c>
      <c r="L83" s="6">
        <v>0</v>
      </c>
      <c r="M83" s="13">
        <f t="shared" si="27"/>
        <v>0</v>
      </c>
      <c r="N83" s="17">
        <v>1.681426</v>
      </c>
      <c r="O83" s="13">
        <f t="shared" si="28"/>
        <v>981.9527840000001</v>
      </c>
      <c r="P83" s="17">
        <v>0</v>
      </c>
      <c r="Q83" s="13">
        <f t="shared" si="29"/>
        <v>0</v>
      </c>
      <c r="R83" s="13">
        <f t="shared" si="25"/>
        <v>981.9527840000001</v>
      </c>
    </row>
    <row r="84" spans="1:18" ht="15">
      <c r="A84" s="24" t="s">
        <v>3</v>
      </c>
      <c r="B84" s="51">
        <v>2004</v>
      </c>
      <c r="C84" s="35" t="s">
        <v>43</v>
      </c>
      <c r="D84" s="36"/>
      <c r="E84" s="36"/>
      <c r="F84" s="38"/>
      <c r="G84" s="39">
        <f>'C-1 Monthly Volumes'!N51</f>
        <v>585</v>
      </c>
      <c r="H84" s="12">
        <v>0</v>
      </c>
      <c r="I84" s="6">
        <v>0</v>
      </c>
      <c r="J84" s="13">
        <f t="shared" si="26"/>
        <v>0</v>
      </c>
      <c r="K84" s="12">
        <v>0</v>
      </c>
      <c r="L84" s="6">
        <v>0</v>
      </c>
      <c r="M84" s="13">
        <f t="shared" si="27"/>
        <v>0</v>
      </c>
      <c r="N84" s="17">
        <v>1.681426</v>
      </c>
      <c r="O84" s="13">
        <f t="shared" si="28"/>
        <v>983.63421</v>
      </c>
      <c r="P84" s="17">
        <v>0</v>
      </c>
      <c r="Q84" s="13">
        <f t="shared" si="29"/>
        <v>0</v>
      </c>
      <c r="R84" s="13">
        <f t="shared" si="25"/>
        <v>983.63421</v>
      </c>
    </row>
    <row r="85" spans="1:18" ht="15.75" thickBot="1">
      <c r="A85" s="24" t="s">
        <v>3</v>
      </c>
      <c r="B85" s="51">
        <v>2004</v>
      </c>
      <c r="C85" s="35" t="s">
        <v>44</v>
      </c>
      <c r="D85" s="36"/>
      <c r="E85" s="36"/>
      <c r="F85" s="38"/>
      <c r="G85" s="39">
        <f>'C-1 Monthly Volumes'!N52</f>
        <v>584</v>
      </c>
      <c r="H85" s="12">
        <v>0</v>
      </c>
      <c r="I85" s="6">
        <v>0</v>
      </c>
      <c r="J85" s="13">
        <f t="shared" si="26"/>
        <v>0</v>
      </c>
      <c r="K85" s="12">
        <v>0</v>
      </c>
      <c r="L85" s="6">
        <v>0</v>
      </c>
      <c r="M85" s="13">
        <f t="shared" si="27"/>
        <v>0</v>
      </c>
      <c r="N85" s="17">
        <v>1.681426</v>
      </c>
      <c r="O85" s="13">
        <f t="shared" si="28"/>
        <v>981.9527840000001</v>
      </c>
      <c r="P85" s="17">
        <v>0</v>
      </c>
      <c r="Q85" s="13">
        <f t="shared" si="29"/>
        <v>0</v>
      </c>
      <c r="R85" s="13">
        <f t="shared" si="25"/>
        <v>981.9527840000001</v>
      </c>
    </row>
    <row r="86" spans="1:18" ht="15.75" thickBot="1">
      <c r="A86" s="53" t="s">
        <v>55</v>
      </c>
      <c r="B86" s="54"/>
      <c r="C86" s="55"/>
      <c r="D86" s="56">
        <f>SUM(D74:D85)</f>
        <v>10443</v>
      </c>
      <c r="E86" s="56"/>
      <c r="F86" s="56">
        <f>SUM(F74:F85)</f>
        <v>0</v>
      </c>
      <c r="G86" s="57">
        <f>SUM(G74:G85)</f>
        <v>7006</v>
      </c>
      <c r="H86" s="58"/>
      <c r="I86" s="59"/>
      <c r="J86" s="60">
        <f>SUM(J74:J85)</f>
        <v>894.281184</v>
      </c>
      <c r="K86" s="58"/>
      <c r="L86" s="59"/>
      <c r="M86" s="60">
        <f>SUM(M74:M85)</f>
        <v>2563.8730379999997</v>
      </c>
      <c r="N86" s="61"/>
      <c r="O86" s="60">
        <f>SUM(O74:O85)</f>
        <v>7860.666550000001</v>
      </c>
      <c r="P86" s="61"/>
      <c r="Q86" s="60">
        <f>SUM(Q74:Q85)</f>
        <v>0</v>
      </c>
      <c r="R86" s="60">
        <f>SUM(R74:R85)</f>
        <v>11318.820772000003</v>
      </c>
    </row>
    <row r="87" spans="1:18" ht="15">
      <c r="A87" s="15"/>
      <c r="B87" s="3"/>
      <c r="C87" s="3"/>
      <c r="D87" s="62"/>
      <c r="E87" s="62"/>
      <c r="F87" s="62"/>
      <c r="G87" s="63"/>
      <c r="H87" s="14"/>
      <c r="I87" s="6"/>
      <c r="J87" s="13"/>
      <c r="K87" s="14"/>
      <c r="L87" s="6"/>
      <c r="M87" s="13"/>
      <c r="N87" s="17"/>
      <c r="O87" s="13"/>
      <c r="P87" s="17"/>
      <c r="Q87" s="13"/>
      <c r="R87" s="13"/>
    </row>
    <row r="88" spans="1:18" s="16" customFormat="1" ht="15.75" thickBot="1">
      <c r="A88" s="109" t="s">
        <v>21</v>
      </c>
      <c r="B88" s="110"/>
      <c r="C88" s="110"/>
      <c r="D88" s="111"/>
      <c r="E88" s="111"/>
      <c r="F88" s="111">
        <f>F15+F29+F44+F58+F72+F86</f>
        <v>157519278</v>
      </c>
      <c r="G88" s="111">
        <f>G15+G29+G44+G58+G72+G86</f>
        <v>400119</v>
      </c>
      <c r="H88" s="109"/>
      <c r="I88" s="110"/>
      <c r="J88" s="112">
        <f>J15+J29+J44+J58+J72+J86</f>
        <v>101914.807685</v>
      </c>
      <c r="K88" s="109"/>
      <c r="L88" s="110"/>
      <c r="M88" s="112">
        <f>M15+M29+M44+M58+M72+M86</f>
        <v>292263.018502</v>
      </c>
      <c r="N88" s="109"/>
      <c r="O88" s="112">
        <f>O15+O29+O44+O58+O72+O86</f>
        <v>631493.039704</v>
      </c>
      <c r="P88" s="109"/>
      <c r="Q88" s="112">
        <f>Q15+Q29+Q44+Q58+Q72+Q86</f>
        <v>0</v>
      </c>
      <c r="R88" s="112">
        <f>R15+R29+R44+R58+R72+R86</f>
        <v>1025670.865891</v>
      </c>
    </row>
    <row r="89" spans="1:18" ht="15">
      <c r="A89" s="3"/>
      <c r="B89" s="3"/>
      <c r="C89" s="3"/>
      <c r="D89" s="9"/>
      <c r="E89" s="9"/>
      <c r="F89" s="9"/>
      <c r="G89" s="9"/>
      <c r="H89" s="3"/>
      <c r="I89" s="3"/>
      <c r="J89" s="4"/>
      <c r="K89" s="3"/>
      <c r="L89" s="3"/>
      <c r="M89" s="4"/>
      <c r="N89" s="4"/>
      <c r="O89" s="4"/>
      <c r="P89" s="4"/>
      <c r="Q89" s="4"/>
      <c r="R89" s="4"/>
    </row>
    <row r="91" ht="15">
      <c r="F91" s="10"/>
    </row>
    <row r="94" spans="1:3" ht="15">
      <c r="A94" s="7"/>
      <c r="B94" s="7"/>
      <c r="C94" s="7"/>
    </row>
    <row r="95" spans="10:11" ht="15">
      <c r="J95" s="8"/>
      <c r="K95" s="2"/>
    </row>
    <row r="96" spans="10:11" ht="15">
      <c r="J96" s="8"/>
      <c r="K96" s="2"/>
    </row>
  </sheetData>
  <sheetProtection/>
  <printOptions horizontalCentered="1"/>
  <pageMargins left="0.1968503937007874" right="0.1968503937007874" top="0.9448818897637796" bottom="0.7086614173228347" header="0.31496062992125984" footer="0.31496062992125984"/>
  <pageSetup fitToHeight="2" horizontalDpi="600" verticalDpi="600" orientation="landscape" scale="70" r:id="rId1"/>
  <headerFooter>
    <oddHeader>&amp;ROrillia Power Distribution Corporation
EB-2011-0191
Filed: October 28, 2011
Appendix B</oddHeader>
    <oddFooter>&amp;C&amp;F
&amp;A&amp;RPage &amp;P
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R94"/>
  <sheetViews>
    <sheetView showGridLines="0" zoomScalePageLayoutView="0" workbookViewId="0" topLeftCell="A67">
      <selection activeCell="H29" sqref="A1:H29"/>
    </sheetView>
  </sheetViews>
  <sheetFormatPr defaultColWidth="9.140625" defaultRowHeight="15" outlineLevelCol="1"/>
  <cols>
    <col min="1" max="1" width="27.28125" style="0" customWidth="1"/>
    <col min="2" max="2" width="5.00390625" style="0" bestFit="1" customWidth="1"/>
    <col min="3" max="3" width="8.57421875" style="0" bestFit="1" customWidth="1"/>
    <col min="4" max="4" width="10.421875" style="0" hidden="1" customWidth="1" outlineLevel="1"/>
    <col min="5" max="5" width="7.57421875" style="0" hidden="1" customWidth="1" outlineLevel="1"/>
    <col min="6" max="6" width="12.57421875" style="0" bestFit="1" customWidth="1" collapsed="1"/>
    <col min="7" max="7" width="9.00390625" style="0" bestFit="1" customWidth="1"/>
    <col min="8" max="8" width="12.140625" style="0" hidden="1" customWidth="1" outlineLevel="1"/>
    <col min="9" max="9" width="12.7109375" style="0" hidden="1" customWidth="1" outlineLevel="1"/>
    <col min="10" max="10" width="13.140625" style="0" hidden="1" customWidth="1" outlineLevel="1"/>
    <col min="11" max="11" width="13.421875" style="0" hidden="1" customWidth="1" outlineLevel="1"/>
    <col min="12" max="12" width="11.421875" style="0" hidden="1" customWidth="1" outlineLevel="1"/>
    <col min="13" max="13" width="14.28125" style="0" hidden="1" customWidth="1" outlineLevel="1"/>
    <col min="14" max="14" width="11.00390625" style="0" bestFit="1" customWidth="1" collapsed="1"/>
    <col min="15" max="15" width="12.57421875" style="0" bestFit="1" customWidth="1"/>
    <col min="16" max="16" width="9.00390625" style="0" bestFit="1" customWidth="1"/>
    <col min="17" max="17" width="12.57421875" style="0" bestFit="1" customWidth="1"/>
    <col min="18" max="18" width="14.28125" style="0" bestFit="1" customWidth="1"/>
  </cols>
  <sheetData>
    <row r="1" s="1" customFormat="1" ht="15.75" thickBot="1"/>
    <row r="2" spans="1:18" s="20" customFormat="1" ht="75">
      <c r="A2" s="34" t="s">
        <v>19</v>
      </c>
      <c r="B2" s="50"/>
      <c r="C2" s="245" t="s">
        <v>18</v>
      </c>
      <c r="D2" s="245" t="s">
        <v>51</v>
      </c>
      <c r="E2" s="245" t="s">
        <v>22</v>
      </c>
      <c r="F2" s="245" t="s">
        <v>115</v>
      </c>
      <c r="G2" s="246" t="s">
        <v>116</v>
      </c>
      <c r="H2" s="247" t="s">
        <v>7</v>
      </c>
      <c r="I2" s="248" t="s">
        <v>14</v>
      </c>
      <c r="J2" s="249" t="s">
        <v>8</v>
      </c>
      <c r="K2" s="247" t="s">
        <v>9</v>
      </c>
      <c r="L2" s="248" t="s">
        <v>11</v>
      </c>
      <c r="M2" s="249" t="s">
        <v>10</v>
      </c>
      <c r="N2" s="247" t="s">
        <v>12</v>
      </c>
      <c r="O2" s="249" t="s">
        <v>13</v>
      </c>
      <c r="P2" s="247" t="s">
        <v>15</v>
      </c>
      <c r="Q2" s="249" t="s">
        <v>16</v>
      </c>
      <c r="R2" s="249" t="s">
        <v>4</v>
      </c>
    </row>
    <row r="3" spans="1:18" ht="15">
      <c r="A3" s="24" t="s">
        <v>0</v>
      </c>
      <c r="B3" s="51">
        <v>2005</v>
      </c>
      <c r="C3" s="35" t="s">
        <v>34</v>
      </c>
      <c r="D3" s="36"/>
      <c r="E3" s="36"/>
      <c r="F3" s="36">
        <f>'C-1 Monthly Volumes'!F4</f>
        <v>10907514</v>
      </c>
      <c r="G3" s="37"/>
      <c r="H3" s="12">
        <v>0</v>
      </c>
      <c r="I3" s="6">
        <v>0</v>
      </c>
      <c r="J3" s="13">
        <f aca="true" t="shared" si="0" ref="J3:J14">D3*E3*H3+(F3+G3)*I3</f>
        <v>0</v>
      </c>
      <c r="K3" s="12">
        <v>0</v>
      </c>
      <c r="L3" s="6">
        <v>0</v>
      </c>
      <c r="M3" s="13">
        <f aca="true" t="shared" si="1" ref="M3:M14">D3*E3*K3+(F3+G3)*L3</f>
        <v>0</v>
      </c>
      <c r="N3" s="17">
        <v>0.004277</v>
      </c>
      <c r="O3" s="13">
        <f aca="true" t="shared" si="2" ref="O3:O14">(F3+G3)*N3</f>
        <v>46651.437378</v>
      </c>
      <c r="P3" s="17">
        <v>0</v>
      </c>
      <c r="Q3" s="13">
        <f aca="true" t="shared" si="3" ref="Q3:Q14">(F3+G3)*P3</f>
        <v>0</v>
      </c>
      <c r="R3" s="13">
        <f>J3+M3+O3+Q3</f>
        <v>46651.437378</v>
      </c>
    </row>
    <row r="4" spans="1:18" ht="15">
      <c r="A4" s="24" t="s">
        <v>0</v>
      </c>
      <c r="B4" s="51">
        <v>2005</v>
      </c>
      <c r="C4" s="35" t="s">
        <v>35</v>
      </c>
      <c r="D4" s="36"/>
      <c r="E4" s="36"/>
      <c r="F4" s="36">
        <f>'C-1 Monthly Volumes'!F5</f>
        <v>13205325</v>
      </c>
      <c r="G4" s="37"/>
      <c r="H4" s="12">
        <v>0</v>
      </c>
      <c r="I4" s="6">
        <v>0</v>
      </c>
      <c r="J4" s="13">
        <f t="shared" si="0"/>
        <v>0</v>
      </c>
      <c r="K4" s="12">
        <v>0</v>
      </c>
      <c r="L4" s="6">
        <v>0</v>
      </c>
      <c r="M4" s="13">
        <f t="shared" si="1"/>
        <v>0</v>
      </c>
      <c r="N4" s="17">
        <v>0.004277</v>
      </c>
      <c r="O4" s="13">
        <f t="shared" si="2"/>
        <v>56479.175025000004</v>
      </c>
      <c r="P4" s="17">
        <v>0</v>
      </c>
      <c r="Q4" s="13">
        <f t="shared" si="3"/>
        <v>0</v>
      </c>
      <c r="R4" s="13">
        <f aca="true" t="shared" si="4" ref="R4:R14">J4+M4+O4+Q4</f>
        <v>56479.175025000004</v>
      </c>
    </row>
    <row r="5" spans="1:18" ht="15">
      <c r="A5" s="24" t="s">
        <v>0</v>
      </c>
      <c r="B5" s="51">
        <v>2005</v>
      </c>
      <c r="C5" s="35" t="s">
        <v>36</v>
      </c>
      <c r="D5" s="36"/>
      <c r="E5" s="36"/>
      <c r="F5" s="36">
        <f>'C-1 Monthly Volumes'!F6</f>
        <v>25378057</v>
      </c>
      <c r="G5" s="37"/>
      <c r="H5" s="12">
        <v>0</v>
      </c>
      <c r="I5" s="6">
        <v>0</v>
      </c>
      <c r="J5" s="13">
        <f t="shared" si="0"/>
        <v>0</v>
      </c>
      <c r="K5" s="12">
        <v>0</v>
      </c>
      <c r="L5" s="6">
        <v>0</v>
      </c>
      <c r="M5" s="13">
        <f t="shared" si="1"/>
        <v>0</v>
      </c>
      <c r="N5" s="17">
        <v>0.004277</v>
      </c>
      <c r="O5" s="13">
        <f t="shared" si="2"/>
        <v>108541.949789</v>
      </c>
      <c r="P5" s="17">
        <v>0</v>
      </c>
      <c r="Q5" s="13">
        <f t="shared" si="3"/>
        <v>0</v>
      </c>
      <c r="R5" s="13">
        <f t="shared" si="4"/>
        <v>108541.949789</v>
      </c>
    </row>
    <row r="6" spans="1:18" ht="15">
      <c r="A6" s="24" t="s">
        <v>0</v>
      </c>
      <c r="B6" s="51">
        <v>2005</v>
      </c>
      <c r="C6" s="35" t="s">
        <v>37</v>
      </c>
      <c r="D6" s="36"/>
      <c r="E6" s="36"/>
      <c r="F6" s="36">
        <f>'C-1 Monthly Volumes'!F7</f>
        <v>135134</v>
      </c>
      <c r="G6" s="37"/>
      <c r="H6" s="12">
        <v>0</v>
      </c>
      <c r="I6" s="6">
        <v>0</v>
      </c>
      <c r="J6" s="13">
        <f t="shared" si="0"/>
        <v>0</v>
      </c>
      <c r="K6" s="12">
        <v>0</v>
      </c>
      <c r="L6" s="6">
        <v>0</v>
      </c>
      <c r="M6" s="13">
        <f t="shared" si="1"/>
        <v>0</v>
      </c>
      <c r="N6" s="17"/>
      <c r="O6" s="13">
        <f t="shared" si="2"/>
        <v>0</v>
      </c>
      <c r="P6" s="3">
        <v>0.0037</v>
      </c>
      <c r="Q6" s="13">
        <f t="shared" si="3"/>
        <v>499.99580000000003</v>
      </c>
      <c r="R6" s="13">
        <f t="shared" si="4"/>
        <v>499.99580000000003</v>
      </c>
    </row>
    <row r="7" spans="1:18" ht="15">
      <c r="A7" s="24" t="s">
        <v>0</v>
      </c>
      <c r="B7" s="51">
        <v>2005</v>
      </c>
      <c r="C7" s="35" t="s">
        <v>30</v>
      </c>
      <c r="D7" s="36"/>
      <c r="E7" s="36"/>
      <c r="F7" s="36">
        <f>'C-1 Monthly Volumes'!F8</f>
        <v>5437155</v>
      </c>
      <c r="G7" s="37"/>
      <c r="H7" s="12">
        <v>0</v>
      </c>
      <c r="I7" s="6">
        <v>0</v>
      </c>
      <c r="J7" s="13">
        <f t="shared" si="0"/>
        <v>0</v>
      </c>
      <c r="K7" s="12">
        <v>0</v>
      </c>
      <c r="L7" s="6">
        <v>0</v>
      </c>
      <c r="M7" s="13">
        <f t="shared" si="1"/>
        <v>0</v>
      </c>
      <c r="N7" s="17"/>
      <c r="O7" s="13">
        <f t="shared" si="2"/>
        <v>0</v>
      </c>
      <c r="P7" s="3">
        <v>0.0037</v>
      </c>
      <c r="Q7" s="13">
        <f t="shared" si="3"/>
        <v>20117.4735</v>
      </c>
      <c r="R7" s="13">
        <f t="shared" si="4"/>
        <v>20117.4735</v>
      </c>
    </row>
    <row r="8" spans="1:18" ht="15">
      <c r="A8" s="24" t="s">
        <v>0</v>
      </c>
      <c r="B8" s="51">
        <v>2005</v>
      </c>
      <c r="C8" s="35" t="s">
        <v>38</v>
      </c>
      <c r="D8" s="36"/>
      <c r="E8" s="36"/>
      <c r="F8" s="36">
        <f>'C-1 Monthly Volumes'!F9</f>
        <v>7387090</v>
      </c>
      <c r="G8" s="37"/>
      <c r="H8" s="12">
        <v>0</v>
      </c>
      <c r="I8" s="6">
        <v>0</v>
      </c>
      <c r="J8" s="13">
        <f t="shared" si="0"/>
        <v>0</v>
      </c>
      <c r="K8" s="12">
        <v>0</v>
      </c>
      <c r="L8" s="6">
        <v>0</v>
      </c>
      <c r="M8" s="13">
        <f t="shared" si="1"/>
        <v>0</v>
      </c>
      <c r="N8" s="17"/>
      <c r="O8" s="13">
        <f t="shared" si="2"/>
        <v>0</v>
      </c>
      <c r="P8" s="3">
        <v>0.0037</v>
      </c>
      <c r="Q8" s="13">
        <f t="shared" si="3"/>
        <v>27332.233</v>
      </c>
      <c r="R8" s="13">
        <f t="shared" si="4"/>
        <v>27332.233</v>
      </c>
    </row>
    <row r="9" spans="1:18" ht="15">
      <c r="A9" s="24" t="s">
        <v>0</v>
      </c>
      <c r="B9" s="51">
        <v>2005</v>
      </c>
      <c r="C9" s="35" t="s">
        <v>39</v>
      </c>
      <c r="D9" s="36"/>
      <c r="E9" s="36"/>
      <c r="F9" s="36">
        <f>'C-1 Monthly Volumes'!F10</f>
        <v>7808494</v>
      </c>
      <c r="G9" s="37"/>
      <c r="H9" s="12">
        <v>0</v>
      </c>
      <c r="I9" s="6">
        <v>0</v>
      </c>
      <c r="J9" s="13">
        <f t="shared" si="0"/>
        <v>0</v>
      </c>
      <c r="K9" s="12">
        <v>0</v>
      </c>
      <c r="L9" s="6">
        <v>0</v>
      </c>
      <c r="M9" s="13">
        <f t="shared" si="1"/>
        <v>0</v>
      </c>
      <c r="N9" s="17"/>
      <c r="O9" s="13">
        <f t="shared" si="2"/>
        <v>0</v>
      </c>
      <c r="P9" s="3">
        <v>0.0037</v>
      </c>
      <c r="Q9" s="13">
        <f t="shared" si="3"/>
        <v>28891.4278</v>
      </c>
      <c r="R9" s="13">
        <f t="shared" si="4"/>
        <v>28891.4278</v>
      </c>
    </row>
    <row r="10" spans="1:18" ht="15">
      <c r="A10" s="24" t="s">
        <v>0</v>
      </c>
      <c r="B10" s="51">
        <v>2005</v>
      </c>
      <c r="C10" s="35" t="s">
        <v>40</v>
      </c>
      <c r="D10" s="36"/>
      <c r="E10" s="36"/>
      <c r="F10" s="36">
        <f>'C-1 Monthly Volumes'!F11</f>
        <v>9405884</v>
      </c>
      <c r="G10" s="37"/>
      <c r="H10" s="12">
        <v>0</v>
      </c>
      <c r="I10" s="6">
        <v>0</v>
      </c>
      <c r="J10" s="13">
        <f t="shared" si="0"/>
        <v>0</v>
      </c>
      <c r="K10" s="12">
        <v>0</v>
      </c>
      <c r="L10" s="6">
        <v>0</v>
      </c>
      <c r="M10" s="13">
        <f t="shared" si="1"/>
        <v>0</v>
      </c>
      <c r="N10" s="17"/>
      <c r="O10" s="13">
        <f t="shared" si="2"/>
        <v>0</v>
      </c>
      <c r="P10" s="3">
        <v>0.0037</v>
      </c>
      <c r="Q10" s="13">
        <f t="shared" si="3"/>
        <v>34801.7708</v>
      </c>
      <c r="R10" s="13">
        <f t="shared" si="4"/>
        <v>34801.7708</v>
      </c>
    </row>
    <row r="11" spans="1:18" ht="15">
      <c r="A11" s="24" t="s">
        <v>0</v>
      </c>
      <c r="B11" s="51">
        <v>2005</v>
      </c>
      <c r="C11" s="35" t="s">
        <v>133</v>
      </c>
      <c r="D11" s="36"/>
      <c r="E11" s="36"/>
      <c r="F11" s="36">
        <f>'C-1 Monthly Volumes'!F12</f>
        <v>-0.04584304988384247</v>
      </c>
      <c r="G11" s="37"/>
      <c r="H11" s="12">
        <v>0</v>
      </c>
      <c r="I11" s="6">
        <v>0</v>
      </c>
      <c r="J11" s="13">
        <f t="shared" si="0"/>
        <v>0</v>
      </c>
      <c r="K11" s="12">
        <v>0</v>
      </c>
      <c r="L11" s="6">
        <v>0</v>
      </c>
      <c r="M11" s="13">
        <f t="shared" si="1"/>
        <v>0</v>
      </c>
      <c r="N11" s="17"/>
      <c r="O11" s="13">
        <f t="shared" si="2"/>
        <v>0</v>
      </c>
      <c r="P11" s="3">
        <v>0.0037</v>
      </c>
      <c r="Q11" s="13">
        <f t="shared" si="3"/>
        <v>-0.00016961928457021714</v>
      </c>
      <c r="R11" s="13">
        <f t="shared" si="4"/>
        <v>-0.00016961928457021714</v>
      </c>
    </row>
    <row r="12" spans="1:18" ht="15">
      <c r="A12" s="24" t="s">
        <v>0</v>
      </c>
      <c r="B12" s="51">
        <v>2005</v>
      </c>
      <c r="C12" s="35" t="s">
        <v>42</v>
      </c>
      <c r="D12" s="36"/>
      <c r="E12" s="36"/>
      <c r="F12" s="36">
        <f>'C-1 Monthly Volumes'!F13</f>
        <v>5394470</v>
      </c>
      <c r="G12" s="37"/>
      <c r="H12" s="12">
        <v>0</v>
      </c>
      <c r="I12" s="6">
        <v>0</v>
      </c>
      <c r="J12" s="13">
        <f t="shared" si="0"/>
        <v>0</v>
      </c>
      <c r="K12" s="12">
        <v>0</v>
      </c>
      <c r="L12" s="6">
        <v>0</v>
      </c>
      <c r="M12" s="13">
        <f t="shared" si="1"/>
        <v>0</v>
      </c>
      <c r="N12" s="17"/>
      <c r="O12" s="13">
        <f t="shared" si="2"/>
        <v>0</v>
      </c>
      <c r="P12" s="3">
        <v>0.0037</v>
      </c>
      <c r="Q12" s="13">
        <f t="shared" si="3"/>
        <v>19959.539</v>
      </c>
      <c r="R12" s="13">
        <f t="shared" si="4"/>
        <v>19959.539</v>
      </c>
    </row>
    <row r="13" spans="1:18" ht="15">
      <c r="A13" s="24" t="s">
        <v>0</v>
      </c>
      <c r="B13" s="51">
        <v>2005</v>
      </c>
      <c r="C13" s="35" t="s">
        <v>43</v>
      </c>
      <c r="D13" s="36"/>
      <c r="E13" s="36"/>
      <c r="F13" s="36">
        <f>'C-1 Monthly Volumes'!F14</f>
        <v>12973757</v>
      </c>
      <c r="G13" s="37"/>
      <c r="H13" s="12">
        <v>0</v>
      </c>
      <c r="I13" s="6">
        <v>0</v>
      </c>
      <c r="J13" s="13">
        <f t="shared" si="0"/>
        <v>0</v>
      </c>
      <c r="K13" s="12">
        <v>0</v>
      </c>
      <c r="L13" s="6">
        <v>0</v>
      </c>
      <c r="M13" s="13">
        <f t="shared" si="1"/>
        <v>0</v>
      </c>
      <c r="N13" s="17"/>
      <c r="O13" s="13">
        <f t="shared" si="2"/>
        <v>0</v>
      </c>
      <c r="P13" s="3">
        <v>0.0037</v>
      </c>
      <c r="Q13" s="13">
        <f t="shared" si="3"/>
        <v>48002.9009</v>
      </c>
      <c r="R13" s="13">
        <f t="shared" si="4"/>
        <v>48002.9009</v>
      </c>
    </row>
    <row r="14" spans="1:18" ht="15.75" thickBot="1">
      <c r="A14" s="24" t="s">
        <v>0</v>
      </c>
      <c r="B14" s="51">
        <v>2005</v>
      </c>
      <c r="C14" s="35" t="s">
        <v>44</v>
      </c>
      <c r="D14" s="36"/>
      <c r="E14" s="36"/>
      <c r="F14" s="36">
        <f>'C-1 Monthly Volumes'!F15</f>
        <v>13380525.95415695</v>
      </c>
      <c r="G14" s="37"/>
      <c r="H14" s="12">
        <v>0</v>
      </c>
      <c r="I14" s="6">
        <v>0</v>
      </c>
      <c r="J14" s="13">
        <f t="shared" si="0"/>
        <v>0</v>
      </c>
      <c r="K14" s="12">
        <v>0</v>
      </c>
      <c r="L14" s="6">
        <v>0</v>
      </c>
      <c r="M14" s="13">
        <f t="shared" si="1"/>
        <v>0</v>
      </c>
      <c r="N14" s="17"/>
      <c r="O14" s="13">
        <f t="shared" si="2"/>
        <v>0</v>
      </c>
      <c r="P14" s="3">
        <v>0.0037</v>
      </c>
      <c r="Q14" s="13">
        <f t="shared" si="3"/>
        <v>49507.94603038072</v>
      </c>
      <c r="R14" s="13">
        <f t="shared" si="4"/>
        <v>49507.94603038072</v>
      </c>
    </row>
    <row r="15" spans="1:18" ht="15.75" thickBot="1">
      <c r="A15" s="53" t="s">
        <v>52</v>
      </c>
      <c r="B15" s="54"/>
      <c r="C15" s="55"/>
      <c r="D15" s="56">
        <f>SUM(D3:D14)</f>
        <v>0</v>
      </c>
      <c r="E15" s="56"/>
      <c r="F15" s="56">
        <f>SUM(F3:F14)</f>
        <v>111413405.9083139</v>
      </c>
      <c r="G15" s="57">
        <f>SUM(G3:G14)</f>
        <v>0</v>
      </c>
      <c r="H15" s="58"/>
      <c r="I15" s="59"/>
      <c r="J15" s="60">
        <f>SUM(J3:J14)</f>
        <v>0</v>
      </c>
      <c r="K15" s="58"/>
      <c r="L15" s="59"/>
      <c r="M15" s="60">
        <f>SUM(M3:M14)</f>
        <v>0</v>
      </c>
      <c r="N15" s="61"/>
      <c r="O15" s="60">
        <f>SUM(O3:O14)</f>
        <v>211672.562192</v>
      </c>
      <c r="P15" s="61"/>
      <c r="Q15" s="60">
        <f>SUM(Q3:Q14)</f>
        <v>229113.28666076146</v>
      </c>
      <c r="R15" s="60">
        <f>SUM(R3:R14)</f>
        <v>440785.84885276144</v>
      </c>
    </row>
    <row r="16" spans="1:18" ht="15">
      <c r="A16" s="24"/>
      <c r="B16" s="51"/>
      <c r="C16" s="35"/>
      <c r="D16" s="36"/>
      <c r="E16" s="36"/>
      <c r="F16" s="36"/>
      <c r="G16" s="37"/>
      <c r="H16" s="12"/>
      <c r="I16" s="6"/>
      <c r="J16" s="13"/>
      <c r="K16" s="12"/>
      <c r="L16" s="6"/>
      <c r="M16" s="13"/>
      <c r="N16" s="17"/>
      <c r="O16" s="13"/>
      <c r="P16" s="17"/>
      <c r="Q16" s="13"/>
      <c r="R16" s="13"/>
    </row>
    <row r="17" spans="1:18" ht="15">
      <c r="A17" s="24" t="s">
        <v>1</v>
      </c>
      <c r="B17" s="51">
        <v>2005</v>
      </c>
      <c r="C17" s="35" t="s">
        <v>34</v>
      </c>
      <c r="D17" s="36"/>
      <c r="E17" s="36"/>
      <c r="F17" s="36">
        <f>'C-1 Monthly Volumes'!F22</f>
        <v>4368674</v>
      </c>
      <c r="G17" s="37"/>
      <c r="H17" s="12">
        <v>0</v>
      </c>
      <c r="I17" s="6">
        <v>0</v>
      </c>
      <c r="J17" s="13">
        <f>D17*E17*H17+(F17+G17)*I17</f>
        <v>0</v>
      </c>
      <c r="K17" s="12">
        <v>0</v>
      </c>
      <c r="L17" s="6">
        <v>0</v>
      </c>
      <c r="M17" s="13">
        <f>D17*E17*K17+(F17+G17)*L17</f>
        <v>0</v>
      </c>
      <c r="N17" s="17">
        <v>0.004035</v>
      </c>
      <c r="O17" s="13">
        <f>(F17+G17)*N17</f>
        <v>17627.59959</v>
      </c>
      <c r="P17" s="17">
        <v>0</v>
      </c>
      <c r="Q17" s="13">
        <f>(F17+G17)*P17</f>
        <v>0</v>
      </c>
      <c r="R17" s="13">
        <f>J17+M17+O17+Q17</f>
        <v>17627.59959</v>
      </c>
    </row>
    <row r="18" spans="1:18" ht="15">
      <c r="A18" s="24" t="s">
        <v>1</v>
      </c>
      <c r="B18" s="51">
        <v>2005</v>
      </c>
      <c r="C18" s="35" t="s">
        <v>35</v>
      </c>
      <c r="D18" s="36"/>
      <c r="E18" s="36"/>
      <c r="F18" s="36">
        <f>'C-1 Monthly Volumes'!F23</f>
        <v>5137659</v>
      </c>
      <c r="G18" s="37"/>
      <c r="H18" s="12">
        <v>0</v>
      </c>
      <c r="I18" s="6">
        <v>0</v>
      </c>
      <c r="J18" s="13">
        <f>D18*E18*H18+(F18+G18)*I18</f>
        <v>0</v>
      </c>
      <c r="K18" s="12">
        <v>0</v>
      </c>
      <c r="L18" s="6">
        <v>0</v>
      </c>
      <c r="M18" s="13">
        <f>D18*E18*K18+(F18+G18)*L18</f>
        <v>0</v>
      </c>
      <c r="N18" s="17">
        <v>0.004035</v>
      </c>
      <c r="O18" s="13">
        <f>(F18+G18)*N18</f>
        <v>20730.454065</v>
      </c>
      <c r="P18" s="17">
        <v>0</v>
      </c>
      <c r="Q18" s="13">
        <f>(F18+G18)*P18</f>
        <v>0</v>
      </c>
      <c r="R18" s="13">
        <f>J18+M18+O18+Q18</f>
        <v>20730.454065</v>
      </c>
    </row>
    <row r="19" spans="1:18" ht="15">
      <c r="A19" s="24" t="s">
        <v>1</v>
      </c>
      <c r="B19" s="51">
        <v>2005</v>
      </c>
      <c r="C19" s="35" t="s">
        <v>36</v>
      </c>
      <c r="D19" s="36"/>
      <c r="E19" s="36"/>
      <c r="F19" s="36">
        <f>'C-1 Monthly Volumes'!F24</f>
        <v>11496307</v>
      </c>
      <c r="G19" s="37"/>
      <c r="H19" s="12">
        <v>0</v>
      </c>
      <c r="I19" s="6">
        <v>0</v>
      </c>
      <c r="J19" s="13">
        <f>D19*E19*H19+(F19+G19)*I19</f>
        <v>0</v>
      </c>
      <c r="K19" s="12">
        <v>0</v>
      </c>
      <c r="L19" s="6">
        <v>0</v>
      </c>
      <c r="M19" s="13">
        <f>D19*E19*K19+(F19+G19)*L19</f>
        <v>0</v>
      </c>
      <c r="N19" s="17">
        <v>0.004035</v>
      </c>
      <c r="O19" s="13">
        <f>(F19+G19)*N19</f>
        <v>46387.598745</v>
      </c>
      <c r="P19" s="17">
        <v>0</v>
      </c>
      <c r="Q19" s="13">
        <f>(F19+G19)*P19</f>
        <v>0</v>
      </c>
      <c r="R19" s="13">
        <f>J19+M19+O19+Q19</f>
        <v>46387.598745</v>
      </c>
    </row>
    <row r="20" spans="1:18" ht="15">
      <c r="A20" s="24" t="s">
        <v>1</v>
      </c>
      <c r="B20" s="51">
        <v>2005</v>
      </c>
      <c r="C20" s="35" t="s">
        <v>37</v>
      </c>
      <c r="D20" s="36"/>
      <c r="E20" s="36"/>
      <c r="F20" s="36">
        <f>'C-1 Monthly Volumes'!F25</f>
        <v>15686</v>
      </c>
      <c r="G20" s="37"/>
      <c r="H20" s="12">
        <v>0</v>
      </c>
      <c r="I20" s="6">
        <v>0</v>
      </c>
      <c r="J20" s="13">
        <f>D20*E20*H20+(F20+G20)*I20</f>
        <v>0</v>
      </c>
      <c r="K20" s="12">
        <v>0</v>
      </c>
      <c r="L20" s="6">
        <v>0</v>
      </c>
      <c r="M20" s="13">
        <f>D20*E20*K20+(F20+G20)*L20</f>
        <v>0</v>
      </c>
      <c r="N20" s="17"/>
      <c r="O20" s="13">
        <f>(F20+G20)*N20</f>
        <v>0</v>
      </c>
      <c r="P20" s="3">
        <v>0.0033</v>
      </c>
      <c r="Q20" s="13">
        <f>(F20+G20)*P20</f>
        <v>51.763799999999996</v>
      </c>
      <c r="R20" s="13">
        <f>J20+M20+O20+Q20</f>
        <v>51.763799999999996</v>
      </c>
    </row>
    <row r="21" spans="1:18" ht="15">
      <c r="A21" s="24" t="s">
        <v>1</v>
      </c>
      <c r="B21" s="51">
        <v>2005</v>
      </c>
      <c r="C21" s="35" t="s">
        <v>30</v>
      </c>
      <c r="D21" s="36"/>
      <c r="E21" s="36"/>
      <c r="F21" s="36">
        <f>'C-1 Monthly Volumes'!F26</f>
        <v>2313711</v>
      </c>
      <c r="G21" s="37"/>
      <c r="H21" s="12">
        <v>0</v>
      </c>
      <c r="I21" s="6">
        <v>0</v>
      </c>
      <c r="J21" s="13">
        <f aca="true" t="shared" si="5" ref="J21:J28">D21*E21*H21+(F21+G21)*I21</f>
        <v>0</v>
      </c>
      <c r="K21" s="12">
        <v>0</v>
      </c>
      <c r="L21" s="6">
        <v>0</v>
      </c>
      <c r="M21" s="13">
        <f aca="true" t="shared" si="6" ref="M21:M28">D21*E21*K21+(F21+G21)*L21</f>
        <v>0</v>
      </c>
      <c r="N21" s="17"/>
      <c r="O21" s="13">
        <f aca="true" t="shared" si="7" ref="O21:O28">(F21+G21)*N21</f>
        <v>0</v>
      </c>
      <c r="P21" s="3">
        <v>0.0033</v>
      </c>
      <c r="Q21" s="13">
        <f aca="true" t="shared" si="8" ref="Q21:Q28">(F21+G21)*P21</f>
        <v>7635.2463</v>
      </c>
      <c r="R21" s="13">
        <f aca="true" t="shared" si="9" ref="R21:R28">J21+M21+O21+Q21</f>
        <v>7635.2463</v>
      </c>
    </row>
    <row r="22" spans="1:18" ht="15">
      <c r="A22" s="24" t="s">
        <v>1</v>
      </c>
      <c r="B22" s="51">
        <v>2005</v>
      </c>
      <c r="C22" s="35" t="s">
        <v>38</v>
      </c>
      <c r="D22" s="36"/>
      <c r="E22" s="36"/>
      <c r="F22" s="36">
        <f>'C-1 Monthly Volumes'!F27</f>
        <v>3704999</v>
      </c>
      <c r="G22" s="37"/>
      <c r="H22" s="12">
        <v>0</v>
      </c>
      <c r="I22" s="6">
        <v>0</v>
      </c>
      <c r="J22" s="13">
        <f t="shared" si="5"/>
        <v>0</v>
      </c>
      <c r="K22" s="12">
        <v>0</v>
      </c>
      <c r="L22" s="6">
        <v>0</v>
      </c>
      <c r="M22" s="13">
        <f t="shared" si="6"/>
        <v>0</v>
      </c>
      <c r="N22" s="17"/>
      <c r="O22" s="13">
        <f t="shared" si="7"/>
        <v>0</v>
      </c>
      <c r="P22" s="3">
        <v>0.0033</v>
      </c>
      <c r="Q22" s="13">
        <f t="shared" si="8"/>
        <v>12226.4967</v>
      </c>
      <c r="R22" s="13">
        <f t="shared" si="9"/>
        <v>12226.4967</v>
      </c>
    </row>
    <row r="23" spans="1:18" ht="15">
      <c r="A23" s="24" t="s">
        <v>1</v>
      </c>
      <c r="B23" s="51">
        <v>2005</v>
      </c>
      <c r="C23" s="35" t="s">
        <v>39</v>
      </c>
      <c r="D23" s="36"/>
      <c r="E23" s="36"/>
      <c r="F23" s="36">
        <f>'C-1 Monthly Volumes'!F28</f>
        <v>4088817</v>
      </c>
      <c r="G23" s="37"/>
      <c r="H23" s="12">
        <v>0</v>
      </c>
      <c r="I23" s="6">
        <v>0</v>
      </c>
      <c r="J23" s="13">
        <f t="shared" si="5"/>
        <v>0</v>
      </c>
      <c r="K23" s="12">
        <v>0</v>
      </c>
      <c r="L23" s="6">
        <v>0</v>
      </c>
      <c r="M23" s="13">
        <f t="shared" si="6"/>
        <v>0</v>
      </c>
      <c r="N23" s="17"/>
      <c r="O23" s="13">
        <f t="shared" si="7"/>
        <v>0</v>
      </c>
      <c r="P23" s="3">
        <v>0.0033</v>
      </c>
      <c r="Q23" s="13">
        <f t="shared" si="8"/>
        <v>13493.0961</v>
      </c>
      <c r="R23" s="13">
        <f t="shared" si="9"/>
        <v>13493.0961</v>
      </c>
    </row>
    <row r="24" spans="1:18" ht="15">
      <c r="A24" s="24" t="s">
        <v>1</v>
      </c>
      <c r="B24" s="51">
        <v>2005</v>
      </c>
      <c r="C24" s="35" t="s">
        <v>40</v>
      </c>
      <c r="D24" s="36"/>
      <c r="E24" s="36"/>
      <c r="F24" s="36">
        <f>'C-1 Monthly Volumes'!F29</f>
        <v>4554211</v>
      </c>
      <c r="G24" s="37"/>
      <c r="H24" s="12">
        <v>0</v>
      </c>
      <c r="I24" s="6">
        <v>0</v>
      </c>
      <c r="J24" s="13">
        <f t="shared" si="5"/>
        <v>0</v>
      </c>
      <c r="K24" s="12">
        <v>0</v>
      </c>
      <c r="L24" s="6">
        <v>0</v>
      </c>
      <c r="M24" s="13">
        <f t="shared" si="6"/>
        <v>0</v>
      </c>
      <c r="N24" s="17"/>
      <c r="O24" s="13">
        <f t="shared" si="7"/>
        <v>0</v>
      </c>
      <c r="P24" s="3">
        <v>0.0033</v>
      </c>
      <c r="Q24" s="13">
        <f t="shared" si="8"/>
        <v>15028.8963</v>
      </c>
      <c r="R24" s="13">
        <f t="shared" si="9"/>
        <v>15028.8963</v>
      </c>
    </row>
    <row r="25" spans="1:18" ht="15">
      <c r="A25" s="24" t="s">
        <v>1</v>
      </c>
      <c r="B25" s="51">
        <v>2005</v>
      </c>
      <c r="C25" s="35" t="s">
        <v>133</v>
      </c>
      <c r="D25" s="36"/>
      <c r="E25" s="36"/>
      <c r="F25" s="36">
        <f>'C-1 Monthly Volumes'!F30</f>
        <v>0</v>
      </c>
      <c r="G25" s="37"/>
      <c r="H25" s="12">
        <v>0</v>
      </c>
      <c r="I25" s="6">
        <v>0</v>
      </c>
      <c r="J25" s="13">
        <f t="shared" si="5"/>
        <v>0</v>
      </c>
      <c r="K25" s="12">
        <v>0</v>
      </c>
      <c r="L25" s="6">
        <v>0</v>
      </c>
      <c r="M25" s="13">
        <f t="shared" si="6"/>
        <v>0</v>
      </c>
      <c r="N25" s="17"/>
      <c r="O25" s="13">
        <f t="shared" si="7"/>
        <v>0</v>
      </c>
      <c r="P25" s="3">
        <v>0.0033</v>
      </c>
      <c r="Q25" s="13">
        <f t="shared" si="8"/>
        <v>0</v>
      </c>
      <c r="R25" s="13">
        <f t="shared" si="9"/>
        <v>0</v>
      </c>
    </row>
    <row r="26" spans="1:18" ht="15">
      <c r="A26" s="24" t="s">
        <v>1</v>
      </c>
      <c r="B26" s="51">
        <v>2005</v>
      </c>
      <c r="C26" s="35" t="s">
        <v>42</v>
      </c>
      <c r="D26" s="36"/>
      <c r="E26" s="36"/>
      <c r="F26" s="36">
        <f>'C-1 Monthly Volumes'!F31</f>
        <v>2568882</v>
      </c>
      <c r="G26" s="37"/>
      <c r="H26" s="12">
        <v>0</v>
      </c>
      <c r="I26" s="6">
        <v>0</v>
      </c>
      <c r="J26" s="13">
        <f t="shared" si="5"/>
        <v>0</v>
      </c>
      <c r="K26" s="12">
        <v>0</v>
      </c>
      <c r="L26" s="6">
        <v>0</v>
      </c>
      <c r="M26" s="13">
        <f t="shared" si="6"/>
        <v>0</v>
      </c>
      <c r="N26" s="17"/>
      <c r="O26" s="13">
        <f t="shared" si="7"/>
        <v>0</v>
      </c>
      <c r="P26" s="3">
        <v>0.0033</v>
      </c>
      <c r="Q26" s="13">
        <f t="shared" si="8"/>
        <v>8477.3106</v>
      </c>
      <c r="R26" s="13">
        <f t="shared" si="9"/>
        <v>8477.3106</v>
      </c>
    </row>
    <row r="27" spans="1:18" ht="15">
      <c r="A27" s="24" t="s">
        <v>1</v>
      </c>
      <c r="B27" s="51">
        <v>2005</v>
      </c>
      <c r="C27" s="35" t="s">
        <v>43</v>
      </c>
      <c r="D27" s="36"/>
      <c r="E27" s="36"/>
      <c r="F27" s="36">
        <f>'C-1 Monthly Volumes'!F32</f>
        <v>7043563.999999996</v>
      </c>
      <c r="G27" s="37"/>
      <c r="H27" s="12">
        <v>0</v>
      </c>
      <c r="I27" s="6">
        <v>0</v>
      </c>
      <c r="J27" s="13">
        <f t="shared" si="5"/>
        <v>0</v>
      </c>
      <c r="K27" s="12">
        <v>0</v>
      </c>
      <c r="L27" s="6">
        <v>0</v>
      </c>
      <c r="M27" s="13">
        <f t="shared" si="6"/>
        <v>0</v>
      </c>
      <c r="N27" s="17"/>
      <c r="O27" s="13">
        <f t="shared" si="7"/>
        <v>0</v>
      </c>
      <c r="P27" s="3">
        <v>0.0033</v>
      </c>
      <c r="Q27" s="13">
        <f t="shared" si="8"/>
        <v>23243.761199999986</v>
      </c>
      <c r="R27" s="13">
        <f t="shared" si="9"/>
        <v>23243.761199999986</v>
      </c>
    </row>
    <row r="28" spans="1:18" ht="15.75" thickBot="1">
      <c r="A28" s="24" t="s">
        <v>1</v>
      </c>
      <c r="B28" s="51">
        <v>2005</v>
      </c>
      <c r="C28" s="35" t="s">
        <v>44</v>
      </c>
      <c r="D28" s="36"/>
      <c r="E28" s="36"/>
      <c r="F28" s="36">
        <f>'C-1 Monthly Volumes'!F33</f>
        <v>6346080.002276612</v>
      </c>
      <c r="G28" s="37"/>
      <c r="H28" s="12">
        <v>0</v>
      </c>
      <c r="I28" s="6">
        <v>0</v>
      </c>
      <c r="J28" s="13">
        <f t="shared" si="5"/>
        <v>0</v>
      </c>
      <c r="K28" s="12">
        <v>0</v>
      </c>
      <c r="L28" s="6">
        <v>0</v>
      </c>
      <c r="M28" s="13">
        <f t="shared" si="6"/>
        <v>0</v>
      </c>
      <c r="N28" s="17"/>
      <c r="O28" s="13">
        <f t="shared" si="7"/>
        <v>0</v>
      </c>
      <c r="P28" s="3">
        <v>0.0033</v>
      </c>
      <c r="Q28" s="13">
        <f t="shared" si="8"/>
        <v>20942.06400751282</v>
      </c>
      <c r="R28" s="13">
        <f t="shared" si="9"/>
        <v>20942.06400751282</v>
      </c>
    </row>
    <row r="29" spans="1:18" ht="15.75" thickBot="1">
      <c r="A29" s="53" t="s">
        <v>53</v>
      </c>
      <c r="B29" s="54"/>
      <c r="C29" s="55"/>
      <c r="D29" s="56">
        <f>SUM(D17:D28)</f>
        <v>0</v>
      </c>
      <c r="E29" s="56"/>
      <c r="F29" s="56">
        <f>SUM(F17:F28)</f>
        <v>51638590.002276614</v>
      </c>
      <c r="G29" s="57">
        <f>SUM(G17:G28)</f>
        <v>0</v>
      </c>
      <c r="H29" s="58"/>
      <c r="I29" s="59"/>
      <c r="J29" s="60">
        <f>SUM(J17:J28)</f>
        <v>0</v>
      </c>
      <c r="K29" s="58"/>
      <c r="L29" s="59"/>
      <c r="M29" s="60">
        <f>SUM(M17:M28)</f>
        <v>0</v>
      </c>
      <c r="N29" s="61"/>
      <c r="O29" s="60">
        <f>SUM(O17:O28)</f>
        <v>84745.6524</v>
      </c>
      <c r="P29" s="61"/>
      <c r="Q29" s="60">
        <f>SUM(Q17:Q28)</f>
        <v>101098.63500751281</v>
      </c>
      <c r="R29" s="60">
        <f>SUM(R17:R28)</f>
        <v>185844.2874075128</v>
      </c>
    </row>
    <row r="30" spans="1:18" ht="15">
      <c r="A30" s="24" t="s">
        <v>125</v>
      </c>
      <c r="B30" s="51"/>
      <c r="C30" s="35"/>
      <c r="D30" s="36"/>
      <c r="E30" s="36"/>
      <c r="F30" s="38"/>
      <c r="G30" s="52"/>
      <c r="H30" s="12"/>
      <c r="I30" s="6"/>
      <c r="J30" s="13"/>
      <c r="K30" s="12"/>
      <c r="L30" s="6"/>
      <c r="M30" s="13"/>
      <c r="N30" s="17"/>
      <c r="O30" s="13"/>
      <c r="P30" s="17"/>
      <c r="Q30" s="13"/>
      <c r="R30" s="13"/>
    </row>
    <row r="31" spans="1:18" ht="15">
      <c r="A31" s="24"/>
      <c r="B31" s="51"/>
      <c r="C31" s="35"/>
      <c r="D31" s="36"/>
      <c r="E31" s="36"/>
      <c r="F31" s="38"/>
      <c r="G31" s="52"/>
      <c r="H31" s="12"/>
      <c r="I31" s="6"/>
      <c r="J31" s="13"/>
      <c r="K31" s="12"/>
      <c r="L31" s="6"/>
      <c r="M31" s="13"/>
      <c r="N31" s="17"/>
      <c r="O31" s="13"/>
      <c r="P31" s="17"/>
      <c r="Q31" s="13"/>
      <c r="R31" s="13"/>
    </row>
    <row r="32" spans="1:18" ht="15">
      <c r="A32" s="24" t="s">
        <v>111</v>
      </c>
      <c r="B32" s="51">
        <v>2005</v>
      </c>
      <c r="C32" s="35" t="s">
        <v>34</v>
      </c>
      <c r="D32" s="36"/>
      <c r="E32" s="36"/>
      <c r="F32" s="38"/>
      <c r="G32" s="39">
        <f>'C-1 Monthly Volumes'!O4</f>
        <v>22666</v>
      </c>
      <c r="H32" s="12">
        <v>0</v>
      </c>
      <c r="I32" s="6">
        <v>0</v>
      </c>
      <c r="J32" s="13">
        <f>D32*E32*H32+(F32+G32)*I32</f>
        <v>0</v>
      </c>
      <c r="K32" s="12">
        <v>0</v>
      </c>
      <c r="L32" s="6">
        <v>0</v>
      </c>
      <c r="M32" s="13">
        <f>D32*E32*K32+(F32+G32)*L32</f>
        <v>0</v>
      </c>
      <c r="N32" s="17">
        <v>1.459603</v>
      </c>
      <c r="O32" s="13">
        <f>(F32+G32)*N32</f>
        <v>33083.361598</v>
      </c>
      <c r="P32" s="17">
        <v>0</v>
      </c>
      <c r="Q32" s="13">
        <f>(F32+G32)*P32</f>
        <v>0</v>
      </c>
      <c r="R32" s="13">
        <f>J32+M32+O32+Q32</f>
        <v>33083.361598</v>
      </c>
    </row>
    <row r="33" spans="1:18" ht="15">
      <c r="A33" s="24" t="s">
        <v>111</v>
      </c>
      <c r="B33" s="51">
        <v>2005</v>
      </c>
      <c r="C33" s="35" t="s">
        <v>35</v>
      </c>
      <c r="D33" s="36"/>
      <c r="E33" s="36"/>
      <c r="F33" s="38"/>
      <c r="G33" s="39">
        <f>'C-1 Monthly Volumes'!O5</f>
        <v>23357</v>
      </c>
      <c r="H33" s="12">
        <v>0</v>
      </c>
      <c r="I33" s="6">
        <v>0</v>
      </c>
      <c r="J33" s="13">
        <f>D33*E33*H33+(F33+G33)*I33</f>
        <v>0</v>
      </c>
      <c r="K33" s="12">
        <v>0</v>
      </c>
      <c r="L33" s="6">
        <v>0</v>
      </c>
      <c r="M33" s="13">
        <f>D33*E33*K33+(F33+G33)*L33</f>
        <v>0</v>
      </c>
      <c r="N33" s="17">
        <v>1.459603</v>
      </c>
      <c r="O33" s="13">
        <f>(F33+G33)*N33</f>
        <v>34091.947271</v>
      </c>
      <c r="P33" s="17">
        <v>0</v>
      </c>
      <c r="Q33" s="13">
        <f>(F33+G33)*P33</f>
        <v>0</v>
      </c>
      <c r="R33" s="13">
        <f>J33+M33+O33+Q33</f>
        <v>34091.947271</v>
      </c>
    </row>
    <row r="34" spans="1:18" ht="15">
      <c r="A34" s="24" t="s">
        <v>111</v>
      </c>
      <c r="B34" s="51">
        <v>2005</v>
      </c>
      <c r="C34" s="35" t="s">
        <v>36</v>
      </c>
      <c r="D34" s="36"/>
      <c r="E34" s="36"/>
      <c r="F34" s="38"/>
      <c r="G34" s="39">
        <f>'C-1 Monthly Volumes'!O6</f>
        <v>53739</v>
      </c>
      <c r="H34" s="12">
        <v>0</v>
      </c>
      <c r="I34" s="6">
        <v>0</v>
      </c>
      <c r="J34" s="13">
        <f>D34*E34*H34+(F34+G34)*I34</f>
        <v>0</v>
      </c>
      <c r="K34" s="12">
        <v>0</v>
      </c>
      <c r="L34" s="6">
        <v>0</v>
      </c>
      <c r="M34" s="13">
        <f>D34*E34*K34+(F34+G34)*L34</f>
        <v>0</v>
      </c>
      <c r="N34" s="17">
        <v>1.459603</v>
      </c>
      <c r="O34" s="13">
        <f>(F34+G34)*N34</f>
        <v>78437.605617</v>
      </c>
      <c r="P34" s="17">
        <v>0</v>
      </c>
      <c r="Q34" s="13">
        <f>(F34+G34)*P34</f>
        <v>0</v>
      </c>
      <c r="R34" s="13">
        <f>J34+M34+O34+Q34</f>
        <v>78437.605617</v>
      </c>
    </row>
    <row r="35" spans="1:18" ht="15">
      <c r="A35" s="24" t="s">
        <v>111</v>
      </c>
      <c r="B35" s="51">
        <v>2005</v>
      </c>
      <c r="C35" s="35" t="s">
        <v>37</v>
      </c>
      <c r="D35" s="36"/>
      <c r="E35" s="36"/>
      <c r="F35" s="38"/>
      <c r="G35" s="39">
        <f>'C-1 Monthly Volumes'!O7</f>
        <v>69</v>
      </c>
      <c r="H35" s="12">
        <v>0</v>
      </c>
      <c r="I35" s="6">
        <v>0</v>
      </c>
      <c r="J35" s="13">
        <f>D35*E35*H35+(F35+G35)*I35</f>
        <v>0</v>
      </c>
      <c r="K35" s="12">
        <v>0</v>
      </c>
      <c r="L35" s="6">
        <v>0</v>
      </c>
      <c r="M35" s="13">
        <f>D35*E35*K35+(F35+G35)*L35</f>
        <v>0</v>
      </c>
      <c r="N35" s="17"/>
      <c r="O35" s="13">
        <f>(F35+G35)*N35</f>
        <v>0</v>
      </c>
      <c r="P35" s="3">
        <v>0.7558</v>
      </c>
      <c r="Q35" s="13">
        <f>(F35+G35)*P35</f>
        <v>52.150200000000005</v>
      </c>
      <c r="R35" s="13">
        <f>J35+M35+O35+Q35</f>
        <v>52.150200000000005</v>
      </c>
    </row>
    <row r="36" spans="1:18" ht="15">
      <c r="A36" s="24" t="s">
        <v>111</v>
      </c>
      <c r="B36" s="51">
        <v>2005</v>
      </c>
      <c r="C36" s="35" t="s">
        <v>30</v>
      </c>
      <c r="D36" s="36"/>
      <c r="E36" s="36"/>
      <c r="F36" s="38"/>
      <c r="G36" s="39">
        <f>'C-1 Monthly Volumes'!O8</f>
        <v>13379</v>
      </c>
      <c r="H36" s="12">
        <v>0</v>
      </c>
      <c r="I36" s="6">
        <v>0</v>
      </c>
      <c r="J36" s="13">
        <f aca="true" t="shared" si="10" ref="J36:J43">D36*E36*H36+(F36+G36)*I36</f>
        <v>0</v>
      </c>
      <c r="K36" s="12">
        <v>0</v>
      </c>
      <c r="L36" s="6">
        <v>0</v>
      </c>
      <c r="M36" s="13">
        <f aca="true" t="shared" si="11" ref="M36:M43">D36*E36*K36+(F36+G36)*L36</f>
        <v>0</v>
      </c>
      <c r="N36" s="17"/>
      <c r="O36" s="13">
        <f aca="true" t="shared" si="12" ref="O36:O43">(F36+G36)*N36</f>
        <v>0</v>
      </c>
      <c r="P36" s="3">
        <v>0.7558</v>
      </c>
      <c r="Q36" s="13">
        <f aca="true" t="shared" si="13" ref="Q36:Q43">(F36+G36)*P36</f>
        <v>10111.8482</v>
      </c>
      <c r="R36" s="13">
        <f aca="true" t="shared" si="14" ref="R36:R43">J36+M36+O36+Q36</f>
        <v>10111.8482</v>
      </c>
    </row>
    <row r="37" spans="1:18" ht="15">
      <c r="A37" s="24" t="s">
        <v>111</v>
      </c>
      <c r="B37" s="51">
        <v>2005</v>
      </c>
      <c r="C37" s="35" t="s">
        <v>38</v>
      </c>
      <c r="D37" s="36"/>
      <c r="E37" s="36"/>
      <c r="F37" s="38"/>
      <c r="G37" s="39">
        <f>'C-1 Monthly Volumes'!O9</f>
        <v>20945</v>
      </c>
      <c r="H37" s="12">
        <v>0</v>
      </c>
      <c r="I37" s="6">
        <v>0</v>
      </c>
      <c r="J37" s="13">
        <f t="shared" si="10"/>
        <v>0</v>
      </c>
      <c r="K37" s="12">
        <v>0</v>
      </c>
      <c r="L37" s="6">
        <v>0</v>
      </c>
      <c r="M37" s="13">
        <f t="shared" si="11"/>
        <v>0</v>
      </c>
      <c r="N37" s="17"/>
      <c r="O37" s="13">
        <f t="shared" si="12"/>
        <v>0</v>
      </c>
      <c r="P37" s="3">
        <v>0.7558</v>
      </c>
      <c r="Q37" s="13">
        <f t="shared" si="13"/>
        <v>15830.231</v>
      </c>
      <c r="R37" s="13">
        <f t="shared" si="14"/>
        <v>15830.231</v>
      </c>
    </row>
    <row r="38" spans="1:18" ht="15">
      <c r="A38" s="24" t="s">
        <v>111</v>
      </c>
      <c r="B38" s="51">
        <v>2005</v>
      </c>
      <c r="C38" s="35" t="s">
        <v>39</v>
      </c>
      <c r="D38" s="36"/>
      <c r="E38" s="36"/>
      <c r="F38" s="38"/>
      <c r="G38" s="39">
        <f>'C-1 Monthly Volumes'!O10</f>
        <v>22061</v>
      </c>
      <c r="H38" s="12">
        <v>0</v>
      </c>
      <c r="I38" s="6">
        <v>0</v>
      </c>
      <c r="J38" s="13">
        <f t="shared" si="10"/>
        <v>0</v>
      </c>
      <c r="K38" s="12">
        <v>0</v>
      </c>
      <c r="L38" s="6">
        <v>0</v>
      </c>
      <c r="M38" s="13">
        <f t="shared" si="11"/>
        <v>0</v>
      </c>
      <c r="N38" s="17"/>
      <c r="O38" s="13">
        <f t="shared" si="12"/>
        <v>0</v>
      </c>
      <c r="P38" s="3">
        <v>0.7558</v>
      </c>
      <c r="Q38" s="13">
        <f t="shared" si="13"/>
        <v>16673.7038</v>
      </c>
      <c r="R38" s="13">
        <f t="shared" si="14"/>
        <v>16673.7038</v>
      </c>
    </row>
    <row r="39" spans="1:18" ht="15">
      <c r="A39" s="24" t="s">
        <v>111</v>
      </c>
      <c r="B39" s="51">
        <v>2005</v>
      </c>
      <c r="C39" s="35" t="s">
        <v>40</v>
      </c>
      <c r="D39" s="36"/>
      <c r="E39" s="36"/>
      <c r="F39" s="38"/>
      <c r="G39" s="39">
        <f>'C-1 Monthly Volumes'!O11</f>
        <v>23441</v>
      </c>
      <c r="H39" s="12">
        <v>0</v>
      </c>
      <c r="I39" s="6">
        <v>0</v>
      </c>
      <c r="J39" s="13">
        <f t="shared" si="10"/>
        <v>0</v>
      </c>
      <c r="K39" s="12">
        <v>0</v>
      </c>
      <c r="L39" s="6">
        <v>0</v>
      </c>
      <c r="M39" s="13">
        <f t="shared" si="11"/>
        <v>0</v>
      </c>
      <c r="N39" s="17"/>
      <c r="O39" s="13">
        <f t="shared" si="12"/>
        <v>0</v>
      </c>
      <c r="P39" s="3">
        <v>0.7558</v>
      </c>
      <c r="Q39" s="13">
        <f t="shared" si="13"/>
        <v>17716.7078</v>
      </c>
      <c r="R39" s="13">
        <f t="shared" si="14"/>
        <v>17716.7078</v>
      </c>
    </row>
    <row r="40" spans="1:18" ht="15">
      <c r="A40" s="24" t="s">
        <v>111</v>
      </c>
      <c r="B40" s="51">
        <v>2005</v>
      </c>
      <c r="C40" s="35" t="s">
        <v>133</v>
      </c>
      <c r="D40" s="36"/>
      <c r="E40" s="36"/>
      <c r="F40" s="38"/>
      <c r="G40" s="39">
        <f>'C-1 Monthly Volumes'!O12</f>
        <v>0</v>
      </c>
      <c r="H40" s="12">
        <v>0</v>
      </c>
      <c r="I40" s="6">
        <v>0</v>
      </c>
      <c r="J40" s="13">
        <f t="shared" si="10"/>
        <v>0</v>
      </c>
      <c r="K40" s="12">
        <v>0</v>
      </c>
      <c r="L40" s="6">
        <v>0</v>
      </c>
      <c r="M40" s="13">
        <f t="shared" si="11"/>
        <v>0</v>
      </c>
      <c r="N40" s="17"/>
      <c r="O40" s="13">
        <f t="shared" si="12"/>
        <v>0</v>
      </c>
      <c r="P40" s="3">
        <v>0.7558</v>
      </c>
      <c r="Q40" s="13">
        <f t="shared" si="13"/>
        <v>0</v>
      </c>
      <c r="R40" s="13">
        <f t="shared" si="14"/>
        <v>0</v>
      </c>
    </row>
    <row r="41" spans="1:18" ht="15">
      <c r="A41" s="24" t="s">
        <v>111</v>
      </c>
      <c r="B41" s="51">
        <v>2005</v>
      </c>
      <c r="C41" s="35" t="s">
        <v>42</v>
      </c>
      <c r="D41" s="36"/>
      <c r="E41" s="36"/>
      <c r="F41" s="38"/>
      <c r="G41" s="39">
        <f>'C-1 Monthly Volumes'!O13</f>
        <v>14797.2</v>
      </c>
      <c r="H41" s="12">
        <v>0</v>
      </c>
      <c r="I41" s="6">
        <v>0</v>
      </c>
      <c r="J41" s="13">
        <f t="shared" si="10"/>
        <v>0</v>
      </c>
      <c r="K41" s="12">
        <v>0</v>
      </c>
      <c r="L41" s="6">
        <v>0</v>
      </c>
      <c r="M41" s="13">
        <f t="shared" si="11"/>
        <v>0</v>
      </c>
      <c r="N41" s="17"/>
      <c r="O41" s="13">
        <f t="shared" si="12"/>
        <v>0</v>
      </c>
      <c r="P41" s="3">
        <v>0.7558</v>
      </c>
      <c r="Q41" s="13">
        <f t="shared" si="13"/>
        <v>11183.72376</v>
      </c>
      <c r="R41" s="13">
        <f t="shared" si="14"/>
        <v>11183.72376</v>
      </c>
    </row>
    <row r="42" spans="1:18" ht="15">
      <c r="A42" s="24" t="s">
        <v>111</v>
      </c>
      <c r="B42" s="51">
        <v>2005</v>
      </c>
      <c r="C42" s="35" t="s">
        <v>43</v>
      </c>
      <c r="D42" s="36"/>
      <c r="E42" s="36"/>
      <c r="F42" s="38"/>
      <c r="G42" s="39">
        <f>'C-1 Monthly Volumes'!O14</f>
        <v>38981.5</v>
      </c>
      <c r="H42" s="12">
        <v>0</v>
      </c>
      <c r="I42" s="6">
        <v>0</v>
      </c>
      <c r="J42" s="13">
        <f t="shared" si="10"/>
        <v>0</v>
      </c>
      <c r="K42" s="12">
        <v>0</v>
      </c>
      <c r="L42" s="6">
        <v>0</v>
      </c>
      <c r="M42" s="13">
        <f t="shared" si="11"/>
        <v>0</v>
      </c>
      <c r="N42" s="17"/>
      <c r="O42" s="13">
        <f t="shared" si="12"/>
        <v>0</v>
      </c>
      <c r="P42" s="3">
        <v>0.7558</v>
      </c>
      <c r="Q42" s="13">
        <f t="shared" si="13"/>
        <v>29462.2177</v>
      </c>
      <c r="R42" s="13">
        <f t="shared" si="14"/>
        <v>29462.2177</v>
      </c>
    </row>
    <row r="43" spans="1:18" ht="15.75" thickBot="1">
      <c r="A43" s="24" t="s">
        <v>111</v>
      </c>
      <c r="B43" s="51">
        <v>2005</v>
      </c>
      <c r="C43" s="35" t="s">
        <v>44</v>
      </c>
      <c r="D43" s="36"/>
      <c r="E43" s="36"/>
      <c r="F43" s="38"/>
      <c r="G43" s="39">
        <f>'C-1 Monthly Volumes'!O15</f>
        <v>33064.4</v>
      </c>
      <c r="H43" s="12">
        <v>0</v>
      </c>
      <c r="I43" s="6">
        <v>0</v>
      </c>
      <c r="J43" s="13">
        <f t="shared" si="10"/>
        <v>0</v>
      </c>
      <c r="K43" s="12">
        <v>0</v>
      </c>
      <c r="L43" s="6">
        <v>0</v>
      </c>
      <c r="M43" s="13">
        <f t="shared" si="11"/>
        <v>0</v>
      </c>
      <c r="N43" s="17"/>
      <c r="O43" s="13">
        <f t="shared" si="12"/>
        <v>0</v>
      </c>
      <c r="P43" s="3">
        <v>0.7558</v>
      </c>
      <c r="Q43" s="13">
        <f t="shared" si="13"/>
        <v>24990.07352</v>
      </c>
      <c r="R43" s="13">
        <f t="shared" si="14"/>
        <v>24990.07352</v>
      </c>
    </row>
    <row r="44" spans="1:18" ht="15.75" thickBot="1">
      <c r="A44" s="53" t="s">
        <v>113</v>
      </c>
      <c r="B44" s="54"/>
      <c r="C44" s="55"/>
      <c r="D44" s="56">
        <f>SUM(D32:D43)</f>
        <v>0</v>
      </c>
      <c r="E44" s="56"/>
      <c r="F44" s="56">
        <f>SUM(F32:F43)</f>
        <v>0</v>
      </c>
      <c r="G44" s="57">
        <f>SUM(G32:G43)</f>
        <v>266500.10000000003</v>
      </c>
      <c r="H44" s="58"/>
      <c r="I44" s="59"/>
      <c r="J44" s="60">
        <f>SUM(J32:J43)</f>
        <v>0</v>
      </c>
      <c r="K44" s="58"/>
      <c r="L44" s="59"/>
      <c r="M44" s="60">
        <f>SUM(M32:M43)</f>
        <v>0</v>
      </c>
      <c r="N44" s="61"/>
      <c r="O44" s="60">
        <f>SUM(O32:O43)</f>
        <v>145612.914486</v>
      </c>
      <c r="P44" s="61"/>
      <c r="Q44" s="60">
        <f>SUM(Q32:Q43)</f>
        <v>126020.65598000001</v>
      </c>
      <c r="R44" s="60">
        <f>SUM(R32:R43)</f>
        <v>271633.570466</v>
      </c>
    </row>
    <row r="45" spans="1:18" ht="15">
      <c r="A45" s="24"/>
      <c r="B45" s="51"/>
      <c r="C45" s="35"/>
      <c r="D45" s="36"/>
      <c r="E45" s="36"/>
      <c r="F45" s="38"/>
      <c r="G45" s="39"/>
      <c r="H45" s="12"/>
      <c r="I45" s="6"/>
      <c r="J45" s="13"/>
      <c r="K45" s="12"/>
      <c r="L45" s="6"/>
      <c r="M45" s="13"/>
      <c r="N45" s="17"/>
      <c r="O45" s="13"/>
      <c r="P45" s="17"/>
      <c r="Q45" s="13"/>
      <c r="R45" s="13"/>
    </row>
    <row r="46" spans="1:18" ht="15">
      <c r="A46" s="24" t="s">
        <v>112</v>
      </c>
      <c r="B46" s="51">
        <v>2005</v>
      </c>
      <c r="C46" s="35" t="s">
        <v>34</v>
      </c>
      <c r="D46" s="36"/>
      <c r="E46" s="36"/>
      <c r="F46" s="38"/>
      <c r="G46" s="39">
        <f>'C-1 Monthly Volumes'!O22</f>
        <v>10977</v>
      </c>
      <c r="H46" s="12">
        <v>0</v>
      </c>
      <c r="I46" s="6">
        <v>0</v>
      </c>
      <c r="J46" s="13">
        <f aca="true" t="shared" si="15" ref="J46:J57">D46*E46*H46+(F46+G46)*I46</f>
        <v>0</v>
      </c>
      <c r="K46" s="12">
        <v>0</v>
      </c>
      <c r="L46" s="6">
        <v>0</v>
      </c>
      <c r="M46" s="13">
        <f aca="true" t="shared" si="16" ref="M46:M57">D46*E46*K46+(F46+G46)*L46</f>
        <v>0</v>
      </c>
      <c r="N46" s="17">
        <v>0.207926</v>
      </c>
      <c r="O46" s="13">
        <f aca="true" t="shared" si="17" ref="O46:O57">(F46+G46)*N46</f>
        <v>2282.403702</v>
      </c>
      <c r="P46" s="17">
        <v>0</v>
      </c>
      <c r="Q46" s="13">
        <f aca="true" t="shared" si="18" ref="Q46:Q57">(F46+G46)*P46</f>
        <v>0</v>
      </c>
      <c r="R46" s="13">
        <f aca="true" t="shared" si="19" ref="R46:R57">J46+M46+O46+Q46</f>
        <v>2282.403702</v>
      </c>
    </row>
    <row r="47" spans="1:18" ht="15">
      <c r="A47" s="24" t="s">
        <v>112</v>
      </c>
      <c r="B47" s="51">
        <v>2005</v>
      </c>
      <c r="C47" s="35" t="s">
        <v>35</v>
      </c>
      <c r="D47" s="36"/>
      <c r="E47" s="36"/>
      <c r="F47" s="38"/>
      <c r="G47" s="39">
        <f>'C-1 Monthly Volumes'!O23</f>
        <v>11057</v>
      </c>
      <c r="H47" s="12">
        <v>0</v>
      </c>
      <c r="I47" s="6">
        <v>0</v>
      </c>
      <c r="J47" s="13">
        <f t="shared" si="15"/>
        <v>0</v>
      </c>
      <c r="K47" s="12">
        <v>0</v>
      </c>
      <c r="L47" s="6">
        <v>0</v>
      </c>
      <c r="M47" s="13">
        <f t="shared" si="16"/>
        <v>0</v>
      </c>
      <c r="N47" s="17">
        <v>0.207926</v>
      </c>
      <c r="O47" s="13">
        <f t="shared" si="17"/>
        <v>2299.037782</v>
      </c>
      <c r="P47" s="17">
        <v>0</v>
      </c>
      <c r="Q47" s="13">
        <f t="shared" si="18"/>
        <v>0</v>
      </c>
      <c r="R47" s="13">
        <f t="shared" si="19"/>
        <v>2299.037782</v>
      </c>
    </row>
    <row r="48" spans="1:18" ht="15">
      <c r="A48" s="24" t="s">
        <v>112</v>
      </c>
      <c r="B48" s="51">
        <v>2005</v>
      </c>
      <c r="C48" s="35" t="s">
        <v>36</v>
      </c>
      <c r="D48" s="36"/>
      <c r="E48" s="36"/>
      <c r="F48" s="38"/>
      <c r="G48" s="39">
        <f>'C-1 Monthly Volumes'!O24</f>
        <v>22681</v>
      </c>
      <c r="H48" s="12">
        <v>0</v>
      </c>
      <c r="I48" s="6">
        <v>0</v>
      </c>
      <c r="J48" s="13">
        <f t="shared" si="15"/>
        <v>0</v>
      </c>
      <c r="K48" s="12">
        <v>0</v>
      </c>
      <c r="L48" s="6">
        <v>0</v>
      </c>
      <c r="M48" s="13">
        <f t="shared" si="16"/>
        <v>0</v>
      </c>
      <c r="N48" s="17">
        <v>0.207926</v>
      </c>
      <c r="O48" s="13">
        <f t="shared" si="17"/>
        <v>4715.969606</v>
      </c>
      <c r="P48" s="17">
        <v>0</v>
      </c>
      <c r="Q48" s="13">
        <f t="shared" si="18"/>
        <v>0</v>
      </c>
      <c r="R48" s="13">
        <f t="shared" si="19"/>
        <v>4715.969606</v>
      </c>
    </row>
    <row r="49" spans="1:18" ht="15">
      <c r="A49" s="24" t="s">
        <v>112</v>
      </c>
      <c r="B49" s="51">
        <v>2005</v>
      </c>
      <c r="C49" s="35" t="s">
        <v>37</v>
      </c>
      <c r="D49" s="36"/>
      <c r="E49" s="36"/>
      <c r="F49" s="38"/>
      <c r="G49" s="39">
        <f>'C-1 Monthly Volumes'!O25</f>
        <v>0</v>
      </c>
      <c r="H49" s="12">
        <v>0</v>
      </c>
      <c r="I49" s="6">
        <v>0</v>
      </c>
      <c r="J49" s="13">
        <f t="shared" si="15"/>
        <v>0</v>
      </c>
      <c r="K49" s="12">
        <v>0</v>
      </c>
      <c r="L49" s="6">
        <v>0</v>
      </c>
      <c r="M49" s="13">
        <f t="shared" si="16"/>
        <v>0</v>
      </c>
      <c r="N49" s="17"/>
      <c r="O49" s="13">
        <f t="shared" si="17"/>
        <v>0</v>
      </c>
      <c r="P49" s="5">
        <v>0.2167</v>
      </c>
      <c r="Q49" s="13">
        <f t="shared" si="18"/>
        <v>0</v>
      </c>
      <c r="R49" s="13">
        <f t="shared" si="19"/>
        <v>0</v>
      </c>
    </row>
    <row r="50" spans="1:18" ht="15">
      <c r="A50" s="24" t="s">
        <v>112</v>
      </c>
      <c r="B50" s="51">
        <v>2005</v>
      </c>
      <c r="C50" s="35" t="s">
        <v>30</v>
      </c>
      <c r="D50" s="36"/>
      <c r="E50" s="36"/>
      <c r="F50" s="38"/>
      <c r="G50" s="39">
        <f>'C-1 Monthly Volumes'!O26</f>
        <v>13586</v>
      </c>
      <c r="H50" s="12">
        <v>0</v>
      </c>
      <c r="I50" s="6">
        <v>0</v>
      </c>
      <c r="J50" s="13">
        <f t="shared" si="15"/>
        <v>0</v>
      </c>
      <c r="K50" s="12">
        <v>0</v>
      </c>
      <c r="L50" s="6">
        <v>0</v>
      </c>
      <c r="M50" s="13">
        <f t="shared" si="16"/>
        <v>0</v>
      </c>
      <c r="N50" s="17"/>
      <c r="O50" s="13">
        <f t="shared" si="17"/>
        <v>0</v>
      </c>
      <c r="P50" s="5">
        <v>0.2167</v>
      </c>
      <c r="Q50" s="13">
        <f t="shared" si="18"/>
        <v>2944.0862</v>
      </c>
      <c r="R50" s="13">
        <f t="shared" si="19"/>
        <v>2944.0862</v>
      </c>
    </row>
    <row r="51" spans="1:18" ht="15">
      <c r="A51" s="24" t="s">
        <v>112</v>
      </c>
      <c r="B51" s="51">
        <v>2005</v>
      </c>
      <c r="C51" s="35" t="s">
        <v>38</v>
      </c>
      <c r="D51" s="36"/>
      <c r="E51" s="36"/>
      <c r="F51" s="38"/>
      <c r="G51" s="39">
        <f>'C-1 Monthly Volumes'!O27</f>
        <v>11251</v>
      </c>
      <c r="H51" s="12">
        <v>0</v>
      </c>
      <c r="I51" s="6">
        <v>0</v>
      </c>
      <c r="J51" s="13">
        <f t="shared" si="15"/>
        <v>0</v>
      </c>
      <c r="K51" s="12">
        <v>0</v>
      </c>
      <c r="L51" s="6">
        <v>0</v>
      </c>
      <c r="M51" s="13">
        <f t="shared" si="16"/>
        <v>0</v>
      </c>
      <c r="N51" s="17"/>
      <c r="O51" s="13">
        <f t="shared" si="17"/>
        <v>0</v>
      </c>
      <c r="P51" s="5">
        <v>0.2167</v>
      </c>
      <c r="Q51" s="13">
        <f t="shared" si="18"/>
        <v>2438.0917</v>
      </c>
      <c r="R51" s="13">
        <f t="shared" si="19"/>
        <v>2438.0917</v>
      </c>
    </row>
    <row r="52" spans="1:18" ht="15">
      <c r="A52" s="24" t="s">
        <v>112</v>
      </c>
      <c r="B52" s="51">
        <v>2005</v>
      </c>
      <c r="C52" s="35" t="s">
        <v>39</v>
      </c>
      <c r="D52" s="36"/>
      <c r="E52" s="36"/>
      <c r="F52" s="38"/>
      <c r="G52" s="39">
        <f>'C-1 Monthly Volumes'!O28</f>
        <v>12653</v>
      </c>
      <c r="H52" s="12">
        <v>0</v>
      </c>
      <c r="I52" s="6">
        <v>0</v>
      </c>
      <c r="J52" s="13">
        <f t="shared" si="15"/>
        <v>0</v>
      </c>
      <c r="K52" s="12">
        <v>0</v>
      </c>
      <c r="L52" s="6">
        <v>0</v>
      </c>
      <c r="M52" s="13">
        <f t="shared" si="16"/>
        <v>0</v>
      </c>
      <c r="N52" s="17"/>
      <c r="O52" s="13">
        <f t="shared" si="17"/>
        <v>0</v>
      </c>
      <c r="P52" s="5">
        <v>0.2167</v>
      </c>
      <c r="Q52" s="13">
        <f t="shared" si="18"/>
        <v>2741.9051</v>
      </c>
      <c r="R52" s="13">
        <f t="shared" si="19"/>
        <v>2741.9051</v>
      </c>
    </row>
    <row r="53" spans="1:18" ht="15">
      <c r="A53" s="24" t="s">
        <v>112</v>
      </c>
      <c r="B53" s="51">
        <v>2005</v>
      </c>
      <c r="C53" s="35" t="s">
        <v>40</v>
      </c>
      <c r="D53" s="36"/>
      <c r="E53" s="36"/>
      <c r="F53" s="38"/>
      <c r="G53" s="39">
        <f>'C-1 Monthly Volumes'!O29</f>
        <v>11544</v>
      </c>
      <c r="H53" s="12">
        <v>0</v>
      </c>
      <c r="I53" s="6">
        <v>0</v>
      </c>
      <c r="J53" s="13">
        <f t="shared" si="15"/>
        <v>0</v>
      </c>
      <c r="K53" s="12">
        <v>0</v>
      </c>
      <c r="L53" s="6">
        <v>0</v>
      </c>
      <c r="M53" s="13">
        <f t="shared" si="16"/>
        <v>0</v>
      </c>
      <c r="N53" s="17"/>
      <c r="O53" s="13">
        <f t="shared" si="17"/>
        <v>0</v>
      </c>
      <c r="P53" s="5">
        <v>0.2167</v>
      </c>
      <c r="Q53" s="13">
        <f t="shared" si="18"/>
        <v>2501.5848</v>
      </c>
      <c r="R53" s="13">
        <f t="shared" si="19"/>
        <v>2501.5848</v>
      </c>
    </row>
    <row r="54" spans="1:18" ht="15">
      <c r="A54" s="24" t="s">
        <v>112</v>
      </c>
      <c r="B54" s="51">
        <v>2005</v>
      </c>
      <c r="C54" s="35" t="s">
        <v>133</v>
      </c>
      <c r="D54" s="36"/>
      <c r="E54" s="36"/>
      <c r="F54" s="38"/>
      <c r="G54" s="39">
        <f>'C-1 Monthly Volumes'!O30</f>
        <v>0</v>
      </c>
      <c r="H54" s="12">
        <v>0</v>
      </c>
      <c r="I54" s="6">
        <v>0</v>
      </c>
      <c r="J54" s="13">
        <f t="shared" si="15"/>
        <v>0</v>
      </c>
      <c r="K54" s="12">
        <v>0</v>
      </c>
      <c r="L54" s="6">
        <v>0</v>
      </c>
      <c r="M54" s="13">
        <f t="shared" si="16"/>
        <v>0</v>
      </c>
      <c r="N54" s="17"/>
      <c r="O54" s="13">
        <f t="shared" si="17"/>
        <v>0</v>
      </c>
      <c r="P54" s="5">
        <v>0.2167</v>
      </c>
      <c r="Q54" s="13">
        <f t="shared" si="18"/>
        <v>0</v>
      </c>
      <c r="R54" s="13">
        <f t="shared" si="19"/>
        <v>0</v>
      </c>
    </row>
    <row r="55" spans="1:18" ht="15">
      <c r="A55" s="24" t="s">
        <v>112</v>
      </c>
      <c r="B55" s="51">
        <v>2005</v>
      </c>
      <c r="C55" s="35" t="s">
        <v>42</v>
      </c>
      <c r="D55" s="36"/>
      <c r="E55" s="36"/>
      <c r="F55" s="38"/>
      <c r="G55" s="39">
        <f>'C-1 Monthly Volumes'!O31</f>
        <v>10836</v>
      </c>
      <c r="H55" s="12">
        <v>0</v>
      </c>
      <c r="I55" s="6">
        <v>0</v>
      </c>
      <c r="J55" s="13">
        <f t="shared" si="15"/>
        <v>0</v>
      </c>
      <c r="K55" s="12">
        <v>0</v>
      </c>
      <c r="L55" s="6">
        <v>0</v>
      </c>
      <c r="M55" s="13">
        <f t="shared" si="16"/>
        <v>0</v>
      </c>
      <c r="N55" s="17"/>
      <c r="O55" s="13">
        <f t="shared" si="17"/>
        <v>0</v>
      </c>
      <c r="P55" s="5">
        <v>0.2167</v>
      </c>
      <c r="Q55" s="13">
        <f t="shared" si="18"/>
        <v>2348.1612</v>
      </c>
      <c r="R55" s="13">
        <f t="shared" si="19"/>
        <v>2348.1612</v>
      </c>
    </row>
    <row r="56" spans="1:18" ht="15">
      <c r="A56" s="24" t="s">
        <v>112</v>
      </c>
      <c r="B56" s="51">
        <v>2005</v>
      </c>
      <c r="C56" s="35" t="s">
        <v>43</v>
      </c>
      <c r="D56" s="36"/>
      <c r="E56" s="36"/>
      <c r="F56" s="38"/>
      <c r="G56" s="39">
        <f>'C-1 Monthly Volumes'!O32</f>
        <v>23335.6</v>
      </c>
      <c r="H56" s="12">
        <v>0</v>
      </c>
      <c r="I56" s="6">
        <v>0</v>
      </c>
      <c r="J56" s="13">
        <f t="shared" si="15"/>
        <v>0</v>
      </c>
      <c r="K56" s="12">
        <v>0</v>
      </c>
      <c r="L56" s="6">
        <v>0</v>
      </c>
      <c r="M56" s="13">
        <f t="shared" si="16"/>
        <v>0</v>
      </c>
      <c r="N56" s="17"/>
      <c r="O56" s="13">
        <f t="shared" si="17"/>
        <v>0</v>
      </c>
      <c r="P56" s="5">
        <v>0.2167</v>
      </c>
      <c r="Q56" s="13">
        <f t="shared" si="18"/>
        <v>5056.82452</v>
      </c>
      <c r="R56" s="13">
        <f t="shared" si="19"/>
        <v>5056.82452</v>
      </c>
    </row>
    <row r="57" spans="1:18" ht="15.75" thickBot="1">
      <c r="A57" s="24" t="s">
        <v>112</v>
      </c>
      <c r="B57" s="51">
        <v>2005</v>
      </c>
      <c r="C57" s="35" t="s">
        <v>44</v>
      </c>
      <c r="D57" s="36"/>
      <c r="E57" s="36"/>
      <c r="F57" s="38"/>
      <c r="G57" s="39">
        <f>'C-1 Monthly Volumes'!O33</f>
        <v>11574.7</v>
      </c>
      <c r="H57" s="12">
        <v>0</v>
      </c>
      <c r="I57" s="6">
        <v>0</v>
      </c>
      <c r="J57" s="13">
        <f t="shared" si="15"/>
        <v>0</v>
      </c>
      <c r="K57" s="12">
        <v>0</v>
      </c>
      <c r="L57" s="6">
        <v>0</v>
      </c>
      <c r="M57" s="13">
        <f t="shared" si="16"/>
        <v>0</v>
      </c>
      <c r="N57" s="17"/>
      <c r="O57" s="13">
        <f t="shared" si="17"/>
        <v>0</v>
      </c>
      <c r="P57" s="5">
        <v>0.2167</v>
      </c>
      <c r="Q57" s="13">
        <f t="shared" si="18"/>
        <v>2508.23749</v>
      </c>
      <c r="R57" s="13">
        <f t="shared" si="19"/>
        <v>2508.23749</v>
      </c>
    </row>
    <row r="58" spans="1:18" ht="15.75" thickBot="1">
      <c r="A58" s="53" t="s">
        <v>114</v>
      </c>
      <c r="B58" s="54"/>
      <c r="C58" s="55"/>
      <c r="D58" s="56">
        <f>SUM(D46:D57)</f>
        <v>0</v>
      </c>
      <c r="E58" s="56"/>
      <c r="F58" s="56">
        <f>SUM(F46:F57)</f>
        <v>0</v>
      </c>
      <c r="G58" s="57">
        <f>SUM(G46:G57)</f>
        <v>139495.30000000002</v>
      </c>
      <c r="H58" s="58"/>
      <c r="I58" s="59"/>
      <c r="J58" s="60">
        <f>SUM(J46:J57)</f>
        <v>0</v>
      </c>
      <c r="K58" s="58"/>
      <c r="L58" s="59"/>
      <c r="M58" s="60">
        <f>SUM(M46:M57)</f>
        <v>0</v>
      </c>
      <c r="N58" s="61"/>
      <c r="O58" s="60">
        <f>SUM(O46:O57)</f>
        <v>9297.41109</v>
      </c>
      <c r="P58" s="61"/>
      <c r="Q58" s="60">
        <f>SUM(Q46:Q57)</f>
        <v>20538.89101</v>
      </c>
      <c r="R58" s="60">
        <f>SUM(R46:R57)</f>
        <v>29836.3021</v>
      </c>
    </row>
    <row r="59" spans="1:18" ht="15">
      <c r="A59" s="24"/>
      <c r="B59" s="51"/>
      <c r="C59" s="35"/>
      <c r="D59" s="36"/>
      <c r="E59" s="36"/>
      <c r="F59" s="38"/>
      <c r="G59" s="39"/>
      <c r="H59" s="14"/>
      <c r="I59" s="6"/>
      <c r="J59" s="13"/>
      <c r="K59" s="14"/>
      <c r="L59" s="6"/>
      <c r="M59" s="13"/>
      <c r="N59" s="17"/>
      <c r="O59" s="13"/>
      <c r="P59" s="17"/>
      <c r="Q59" s="13"/>
      <c r="R59" s="13"/>
    </row>
    <row r="60" spans="1:18" ht="15">
      <c r="A60" s="24" t="s">
        <v>2</v>
      </c>
      <c r="B60" s="51">
        <v>2005</v>
      </c>
      <c r="C60" s="35" t="s">
        <v>34</v>
      </c>
      <c r="D60" s="36"/>
      <c r="E60" s="36"/>
      <c r="F60" s="38"/>
      <c r="G60" s="39">
        <f>'C-1 Monthly Volumes'!F41</f>
        <v>104</v>
      </c>
      <c r="H60" s="12">
        <v>0</v>
      </c>
      <c r="I60" s="6">
        <v>0</v>
      </c>
      <c r="J60" s="13">
        <f aca="true" t="shared" si="20" ref="J60:J71">D60*E60*H60+(F60+G60)*I60</f>
        <v>0</v>
      </c>
      <c r="K60" s="12">
        <v>0</v>
      </c>
      <c r="L60" s="6">
        <v>0</v>
      </c>
      <c r="M60" s="13">
        <f aca="true" t="shared" si="21" ref="M60:M71">D60*E60*K60+(F60+G60)*L60</f>
        <v>0</v>
      </c>
      <c r="N60" s="225">
        <v>2.452184</v>
      </c>
      <c r="O60" s="13">
        <f aca="true" t="shared" si="22" ref="O60:O71">(F60+G60)*N60</f>
        <v>255.02713599999998</v>
      </c>
      <c r="P60" s="17">
        <v>0</v>
      </c>
      <c r="Q60" s="13">
        <f aca="true" t="shared" si="23" ref="Q60:Q71">(F60+G60)*P60</f>
        <v>0</v>
      </c>
      <c r="R60" s="13">
        <f aca="true" t="shared" si="24" ref="R60:R71">J60+M60+O60+Q60</f>
        <v>255.02713599999998</v>
      </c>
    </row>
    <row r="61" spans="1:18" ht="15">
      <c r="A61" s="24" t="s">
        <v>2</v>
      </c>
      <c r="B61" s="51">
        <v>2005</v>
      </c>
      <c r="C61" s="35" t="s">
        <v>35</v>
      </c>
      <c r="D61" s="36"/>
      <c r="E61" s="36"/>
      <c r="F61" s="38"/>
      <c r="G61" s="39">
        <f>'C-1 Monthly Volumes'!F42</f>
        <v>104</v>
      </c>
      <c r="H61" s="12">
        <v>0</v>
      </c>
      <c r="I61" s="6">
        <v>0</v>
      </c>
      <c r="J61" s="13">
        <f t="shared" si="20"/>
        <v>0</v>
      </c>
      <c r="K61" s="12">
        <v>0</v>
      </c>
      <c r="L61" s="6">
        <v>0</v>
      </c>
      <c r="M61" s="13">
        <f t="shared" si="21"/>
        <v>0</v>
      </c>
      <c r="N61" s="225">
        <v>2.452184</v>
      </c>
      <c r="O61" s="13">
        <f t="shared" si="22"/>
        <v>255.02713599999998</v>
      </c>
      <c r="P61" s="17">
        <v>0</v>
      </c>
      <c r="Q61" s="13">
        <f t="shared" si="23"/>
        <v>0</v>
      </c>
      <c r="R61" s="13">
        <f t="shared" si="24"/>
        <v>255.02713599999998</v>
      </c>
    </row>
    <row r="62" spans="1:18" ht="15">
      <c r="A62" s="24" t="s">
        <v>2</v>
      </c>
      <c r="B62" s="51">
        <v>2005</v>
      </c>
      <c r="C62" s="35" t="s">
        <v>36</v>
      </c>
      <c r="D62" s="36"/>
      <c r="E62" s="36"/>
      <c r="F62" s="38"/>
      <c r="G62" s="39">
        <f>'C-1 Monthly Volumes'!F43</f>
        <v>224</v>
      </c>
      <c r="H62" s="12">
        <v>0</v>
      </c>
      <c r="I62" s="6">
        <v>0</v>
      </c>
      <c r="J62" s="13">
        <f t="shared" si="20"/>
        <v>0</v>
      </c>
      <c r="K62" s="12">
        <v>0</v>
      </c>
      <c r="L62" s="6">
        <v>0</v>
      </c>
      <c r="M62" s="13">
        <f t="shared" si="21"/>
        <v>0</v>
      </c>
      <c r="N62" s="225">
        <v>2.452184</v>
      </c>
      <c r="O62" s="13">
        <f t="shared" si="22"/>
        <v>549.289216</v>
      </c>
      <c r="P62" s="17">
        <v>0</v>
      </c>
      <c r="Q62" s="13">
        <f t="shared" si="23"/>
        <v>0</v>
      </c>
      <c r="R62" s="13">
        <f t="shared" si="24"/>
        <v>549.289216</v>
      </c>
    </row>
    <row r="63" spans="1:18" ht="15">
      <c r="A63" s="24" t="s">
        <v>2</v>
      </c>
      <c r="B63" s="51">
        <v>2005</v>
      </c>
      <c r="C63" s="35" t="s">
        <v>37</v>
      </c>
      <c r="D63" s="36"/>
      <c r="E63" s="36"/>
      <c r="F63" s="38"/>
      <c r="G63" s="39">
        <f>'C-1 Monthly Volumes'!F44</f>
        <v>0</v>
      </c>
      <c r="H63" s="12">
        <v>0</v>
      </c>
      <c r="I63" s="6">
        <v>0</v>
      </c>
      <c r="J63" s="13">
        <f t="shared" si="20"/>
        <v>0</v>
      </c>
      <c r="K63" s="12">
        <v>0</v>
      </c>
      <c r="L63" s="6">
        <v>0</v>
      </c>
      <c r="M63" s="13">
        <f t="shared" si="21"/>
        <v>0</v>
      </c>
      <c r="N63" s="17"/>
      <c r="O63" s="13">
        <f t="shared" si="22"/>
        <v>0</v>
      </c>
      <c r="P63" s="5">
        <v>1.6449</v>
      </c>
      <c r="Q63" s="13">
        <f t="shared" si="23"/>
        <v>0</v>
      </c>
      <c r="R63" s="13">
        <f t="shared" si="24"/>
        <v>0</v>
      </c>
    </row>
    <row r="64" spans="1:18" ht="15">
      <c r="A64" s="24" t="s">
        <v>2</v>
      </c>
      <c r="B64" s="51">
        <v>2005</v>
      </c>
      <c r="C64" s="35" t="s">
        <v>30</v>
      </c>
      <c r="D64" s="36"/>
      <c r="E64" s="36"/>
      <c r="F64" s="38"/>
      <c r="G64" s="39">
        <f>'C-1 Monthly Volumes'!F45</f>
        <v>74</v>
      </c>
      <c r="H64" s="12">
        <v>0</v>
      </c>
      <c r="I64" s="6">
        <v>0</v>
      </c>
      <c r="J64" s="13">
        <f t="shared" si="20"/>
        <v>0</v>
      </c>
      <c r="K64" s="12">
        <v>0</v>
      </c>
      <c r="L64" s="6">
        <v>0</v>
      </c>
      <c r="M64" s="13">
        <f t="shared" si="21"/>
        <v>0</v>
      </c>
      <c r="N64" s="17"/>
      <c r="O64" s="13">
        <f t="shared" si="22"/>
        <v>0</v>
      </c>
      <c r="P64" s="5">
        <v>1.6449</v>
      </c>
      <c r="Q64" s="13">
        <f t="shared" si="23"/>
        <v>121.7226</v>
      </c>
      <c r="R64" s="13">
        <f t="shared" si="24"/>
        <v>121.7226</v>
      </c>
    </row>
    <row r="65" spans="1:18" ht="15">
      <c r="A65" s="24" t="s">
        <v>2</v>
      </c>
      <c r="B65" s="51">
        <v>2005</v>
      </c>
      <c r="C65" s="35" t="s">
        <v>38</v>
      </c>
      <c r="D65" s="36"/>
      <c r="E65" s="36"/>
      <c r="F65" s="38"/>
      <c r="G65" s="39">
        <f>'C-1 Monthly Volumes'!F46</f>
        <v>101</v>
      </c>
      <c r="H65" s="12">
        <v>0</v>
      </c>
      <c r="I65" s="6">
        <v>0</v>
      </c>
      <c r="J65" s="13">
        <f t="shared" si="20"/>
        <v>0</v>
      </c>
      <c r="K65" s="12">
        <v>0</v>
      </c>
      <c r="L65" s="6">
        <v>0</v>
      </c>
      <c r="M65" s="13">
        <f t="shared" si="21"/>
        <v>0</v>
      </c>
      <c r="N65" s="17"/>
      <c r="O65" s="13">
        <f t="shared" si="22"/>
        <v>0</v>
      </c>
      <c r="P65" s="5">
        <v>1.6449</v>
      </c>
      <c r="Q65" s="13">
        <f t="shared" si="23"/>
        <v>166.13490000000002</v>
      </c>
      <c r="R65" s="13">
        <f t="shared" si="24"/>
        <v>166.13490000000002</v>
      </c>
    </row>
    <row r="66" spans="1:18" ht="15">
      <c r="A66" s="24" t="s">
        <v>2</v>
      </c>
      <c r="B66" s="51">
        <v>2005</v>
      </c>
      <c r="C66" s="35" t="s">
        <v>39</v>
      </c>
      <c r="D66" s="36"/>
      <c r="E66" s="36"/>
      <c r="F66" s="38"/>
      <c r="G66" s="39">
        <f>'C-1 Monthly Volumes'!F47</f>
        <v>100</v>
      </c>
      <c r="H66" s="12">
        <v>0</v>
      </c>
      <c r="I66" s="6">
        <v>0</v>
      </c>
      <c r="J66" s="13">
        <f t="shared" si="20"/>
        <v>0</v>
      </c>
      <c r="K66" s="12">
        <v>0</v>
      </c>
      <c r="L66" s="6">
        <v>0</v>
      </c>
      <c r="M66" s="13">
        <f t="shared" si="21"/>
        <v>0</v>
      </c>
      <c r="N66" s="17"/>
      <c r="O66" s="13">
        <f t="shared" si="22"/>
        <v>0</v>
      </c>
      <c r="P66" s="5">
        <v>1.6449</v>
      </c>
      <c r="Q66" s="13">
        <f t="shared" si="23"/>
        <v>164.49</v>
      </c>
      <c r="R66" s="13">
        <f t="shared" si="24"/>
        <v>164.49</v>
      </c>
    </row>
    <row r="67" spans="1:18" ht="15">
      <c r="A67" s="24" t="s">
        <v>2</v>
      </c>
      <c r="B67" s="51">
        <v>2005</v>
      </c>
      <c r="C67" s="35" t="s">
        <v>40</v>
      </c>
      <c r="D67" s="36"/>
      <c r="E67" s="36"/>
      <c r="F67" s="38"/>
      <c r="G67" s="39">
        <f>'C-1 Monthly Volumes'!F48</f>
        <v>106</v>
      </c>
      <c r="H67" s="12">
        <v>0</v>
      </c>
      <c r="I67" s="6">
        <v>0</v>
      </c>
      <c r="J67" s="13">
        <f t="shared" si="20"/>
        <v>0</v>
      </c>
      <c r="K67" s="12">
        <v>0</v>
      </c>
      <c r="L67" s="6">
        <v>0</v>
      </c>
      <c r="M67" s="13">
        <f t="shared" si="21"/>
        <v>0</v>
      </c>
      <c r="N67" s="17"/>
      <c r="O67" s="13">
        <f t="shared" si="22"/>
        <v>0</v>
      </c>
      <c r="P67" s="5">
        <v>1.6449</v>
      </c>
      <c r="Q67" s="13">
        <f t="shared" si="23"/>
        <v>174.3594</v>
      </c>
      <c r="R67" s="13">
        <f t="shared" si="24"/>
        <v>174.3594</v>
      </c>
    </row>
    <row r="68" spans="1:18" ht="15">
      <c r="A68" s="24" t="s">
        <v>2</v>
      </c>
      <c r="B68" s="51">
        <v>2005</v>
      </c>
      <c r="C68" s="35" t="s">
        <v>133</v>
      </c>
      <c r="D68" s="36"/>
      <c r="E68" s="36"/>
      <c r="F68" s="38"/>
      <c r="G68" s="39">
        <f>'C-1 Monthly Volumes'!F49</f>
        <v>0</v>
      </c>
      <c r="H68" s="12">
        <v>0</v>
      </c>
      <c r="I68" s="6">
        <v>0</v>
      </c>
      <c r="J68" s="13">
        <f t="shared" si="20"/>
        <v>0</v>
      </c>
      <c r="K68" s="12">
        <v>0</v>
      </c>
      <c r="L68" s="6">
        <v>0</v>
      </c>
      <c r="M68" s="13">
        <f t="shared" si="21"/>
        <v>0</v>
      </c>
      <c r="N68" s="17"/>
      <c r="O68" s="13">
        <f t="shared" si="22"/>
        <v>0</v>
      </c>
      <c r="P68" s="5">
        <v>1.6449</v>
      </c>
      <c r="Q68" s="13">
        <f t="shared" si="23"/>
        <v>0</v>
      </c>
      <c r="R68" s="13">
        <f t="shared" si="24"/>
        <v>0</v>
      </c>
    </row>
    <row r="69" spans="1:18" ht="15">
      <c r="A69" s="24" t="s">
        <v>2</v>
      </c>
      <c r="B69" s="51">
        <v>2005</v>
      </c>
      <c r="C69" s="35" t="s">
        <v>42</v>
      </c>
      <c r="D69" s="36"/>
      <c r="E69" s="36"/>
      <c r="F69" s="38"/>
      <c r="G69" s="39">
        <f>'C-1 Monthly Volumes'!F50</f>
        <v>34.05555555555554</v>
      </c>
      <c r="H69" s="12">
        <v>0</v>
      </c>
      <c r="I69" s="6">
        <v>0</v>
      </c>
      <c r="J69" s="13">
        <f t="shared" si="20"/>
        <v>0</v>
      </c>
      <c r="K69" s="12">
        <v>0</v>
      </c>
      <c r="L69" s="6">
        <v>0</v>
      </c>
      <c r="M69" s="13">
        <f t="shared" si="21"/>
        <v>0</v>
      </c>
      <c r="N69" s="17"/>
      <c r="O69" s="13">
        <f t="shared" si="22"/>
        <v>0</v>
      </c>
      <c r="P69" s="5">
        <v>1.6449</v>
      </c>
      <c r="Q69" s="13">
        <f t="shared" si="23"/>
        <v>56.01798333333331</v>
      </c>
      <c r="R69" s="13">
        <f t="shared" si="24"/>
        <v>56.01798333333331</v>
      </c>
    </row>
    <row r="70" spans="1:18" ht="15">
      <c r="A70" s="24" t="s">
        <v>2</v>
      </c>
      <c r="B70" s="51">
        <v>2005</v>
      </c>
      <c r="C70" s="35" t="s">
        <v>43</v>
      </c>
      <c r="D70" s="36"/>
      <c r="E70" s="36"/>
      <c r="F70" s="38"/>
      <c r="G70" s="39">
        <f>'C-1 Monthly Volumes'!F51</f>
        <v>174.83333333333331</v>
      </c>
      <c r="H70" s="12">
        <v>0</v>
      </c>
      <c r="I70" s="6">
        <v>0</v>
      </c>
      <c r="J70" s="13">
        <f t="shared" si="20"/>
        <v>0</v>
      </c>
      <c r="K70" s="12">
        <v>0</v>
      </c>
      <c r="L70" s="6">
        <v>0</v>
      </c>
      <c r="M70" s="13">
        <f t="shared" si="21"/>
        <v>0</v>
      </c>
      <c r="N70" s="17"/>
      <c r="O70" s="13">
        <f t="shared" si="22"/>
        <v>0</v>
      </c>
      <c r="P70" s="5">
        <v>1.6449</v>
      </c>
      <c r="Q70" s="13">
        <f t="shared" si="23"/>
        <v>287.58335</v>
      </c>
      <c r="R70" s="13">
        <f t="shared" si="24"/>
        <v>287.58335</v>
      </c>
    </row>
    <row r="71" spans="1:18" ht="15.75" thickBot="1">
      <c r="A71" s="24" t="s">
        <v>2</v>
      </c>
      <c r="B71" s="51">
        <v>2005</v>
      </c>
      <c r="C71" s="35" t="s">
        <v>44</v>
      </c>
      <c r="D71" s="36"/>
      <c r="E71" s="36"/>
      <c r="F71" s="38"/>
      <c r="G71" s="39">
        <f>'C-1 Monthly Volumes'!F52</f>
        <v>185.85</v>
      </c>
      <c r="H71" s="12">
        <v>0</v>
      </c>
      <c r="I71" s="6">
        <v>0</v>
      </c>
      <c r="J71" s="13">
        <f t="shared" si="20"/>
        <v>0</v>
      </c>
      <c r="K71" s="12">
        <v>0</v>
      </c>
      <c r="L71" s="6">
        <v>0</v>
      </c>
      <c r="M71" s="13">
        <f t="shared" si="21"/>
        <v>0</v>
      </c>
      <c r="N71" s="17"/>
      <c r="O71" s="13">
        <f t="shared" si="22"/>
        <v>0</v>
      </c>
      <c r="P71" s="5">
        <v>1.6449</v>
      </c>
      <c r="Q71" s="13">
        <f t="shared" si="23"/>
        <v>305.704665</v>
      </c>
      <c r="R71" s="13">
        <f t="shared" si="24"/>
        <v>305.704665</v>
      </c>
    </row>
    <row r="72" spans="1:18" ht="15.75" thickBot="1">
      <c r="A72" s="53" t="s">
        <v>54</v>
      </c>
      <c r="B72" s="54"/>
      <c r="C72" s="55"/>
      <c r="D72" s="56">
        <f>SUM(D60:D71)</f>
        <v>0</v>
      </c>
      <c r="E72" s="56"/>
      <c r="F72" s="56">
        <f>SUM(F60:F71)</f>
        <v>0</v>
      </c>
      <c r="G72" s="57">
        <f>SUM(G60:G71)</f>
        <v>1207.7388888888888</v>
      </c>
      <c r="H72" s="58"/>
      <c r="I72" s="59"/>
      <c r="J72" s="60">
        <f>SUM(J60:J71)</f>
        <v>0</v>
      </c>
      <c r="K72" s="58"/>
      <c r="L72" s="59"/>
      <c r="M72" s="60">
        <f>SUM(M60:M71)</f>
        <v>0</v>
      </c>
      <c r="N72" s="61"/>
      <c r="O72" s="60">
        <f>SUM(O60:O71)</f>
        <v>1059.343488</v>
      </c>
      <c r="P72" s="61"/>
      <c r="Q72" s="60">
        <f>SUM(Q60:Q71)</f>
        <v>1276.0128983333334</v>
      </c>
      <c r="R72" s="60">
        <f>SUM(R60:R71)</f>
        <v>2335.356386333334</v>
      </c>
    </row>
    <row r="73" spans="1:18" ht="15">
      <c r="A73" s="24"/>
      <c r="B73" s="51"/>
      <c r="C73" s="35"/>
      <c r="D73" s="36"/>
      <c r="E73" s="36"/>
      <c r="F73" s="38"/>
      <c r="G73" s="39"/>
      <c r="H73" s="14"/>
      <c r="I73" s="6"/>
      <c r="J73" s="13"/>
      <c r="K73" s="14"/>
      <c r="L73" s="6"/>
      <c r="M73" s="13"/>
      <c r="N73" s="17"/>
      <c r="O73" s="13"/>
      <c r="P73" s="17"/>
      <c r="Q73" s="13"/>
      <c r="R73" s="13"/>
    </row>
    <row r="74" spans="1:18" ht="15">
      <c r="A74" s="24" t="s">
        <v>3</v>
      </c>
      <c r="B74" s="51">
        <v>2005</v>
      </c>
      <c r="C74" s="35" t="s">
        <v>34</v>
      </c>
      <c r="D74" s="36"/>
      <c r="E74" s="36"/>
      <c r="F74" s="38"/>
      <c r="G74" s="39">
        <f>'C-1 Monthly Volumes'!O41</f>
        <v>586</v>
      </c>
      <c r="H74" s="12">
        <v>0</v>
      </c>
      <c r="I74" s="6">
        <v>0</v>
      </c>
      <c r="J74" s="13">
        <f>D74*E74*H74+(F74+G74)*I74</f>
        <v>0</v>
      </c>
      <c r="K74" s="12">
        <v>0</v>
      </c>
      <c r="L74" s="6">
        <v>0</v>
      </c>
      <c r="M74" s="13">
        <f aca="true" t="shared" si="25" ref="M74:M85">D74*E74*K74+(F74+G74)*L74</f>
        <v>0</v>
      </c>
      <c r="N74" s="17">
        <v>1.681426</v>
      </c>
      <c r="O74" s="13">
        <f aca="true" t="shared" si="26" ref="O74:O85">(F74+G74)*N74</f>
        <v>985.315636</v>
      </c>
      <c r="P74" s="17">
        <v>0</v>
      </c>
      <c r="Q74" s="13">
        <f aca="true" t="shared" si="27" ref="Q74:Q85">(F74+G74)*P74</f>
        <v>0</v>
      </c>
      <c r="R74" s="13">
        <f>J74+M74+O74+Q74</f>
        <v>985.315636</v>
      </c>
    </row>
    <row r="75" spans="1:18" ht="15">
      <c r="A75" s="24" t="s">
        <v>3</v>
      </c>
      <c r="B75" s="51">
        <v>2005</v>
      </c>
      <c r="C75" s="35" t="s">
        <v>35</v>
      </c>
      <c r="D75" s="36"/>
      <c r="E75" s="36"/>
      <c r="F75" s="38"/>
      <c r="G75" s="39">
        <f>'C-1 Monthly Volumes'!O42</f>
        <v>586</v>
      </c>
      <c r="H75" s="12">
        <v>0</v>
      </c>
      <c r="I75" s="6">
        <v>0</v>
      </c>
      <c r="J75" s="13">
        <f aca="true" t="shared" si="28" ref="J75:J85">D75*E75*H75+(F75+G75)*I75</f>
        <v>0</v>
      </c>
      <c r="K75" s="12">
        <v>0</v>
      </c>
      <c r="L75" s="6">
        <v>0</v>
      </c>
      <c r="M75" s="13">
        <f t="shared" si="25"/>
        <v>0</v>
      </c>
      <c r="N75" s="17">
        <v>1.681426</v>
      </c>
      <c r="O75" s="13">
        <f t="shared" si="26"/>
        <v>985.315636</v>
      </c>
      <c r="P75" s="17">
        <v>0</v>
      </c>
      <c r="Q75" s="13">
        <f t="shared" si="27"/>
        <v>0</v>
      </c>
      <c r="R75" s="13">
        <f aca="true" t="shared" si="29" ref="R75:R85">J75+M75+O75+Q75</f>
        <v>985.315636</v>
      </c>
    </row>
    <row r="76" spans="1:18" ht="15">
      <c r="A76" s="24" t="s">
        <v>3</v>
      </c>
      <c r="B76" s="51">
        <v>2005</v>
      </c>
      <c r="C76" s="35" t="s">
        <v>36</v>
      </c>
      <c r="D76" s="36"/>
      <c r="E76" s="36"/>
      <c r="F76" s="38"/>
      <c r="G76" s="39">
        <f>'C-1 Monthly Volumes'!O43</f>
        <v>1172</v>
      </c>
      <c r="H76" s="12">
        <v>0</v>
      </c>
      <c r="I76" s="6">
        <v>0</v>
      </c>
      <c r="J76" s="13">
        <f t="shared" si="28"/>
        <v>0</v>
      </c>
      <c r="K76" s="12">
        <v>0</v>
      </c>
      <c r="L76" s="6">
        <v>0</v>
      </c>
      <c r="M76" s="13">
        <f t="shared" si="25"/>
        <v>0</v>
      </c>
      <c r="N76" s="17">
        <v>1.681426</v>
      </c>
      <c r="O76" s="13">
        <f t="shared" si="26"/>
        <v>1970.631272</v>
      </c>
      <c r="P76" s="17">
        <v>0</v>
      </c>
      <c r="Q76" s="13">
        <f t="shared" si="27"/>
        <v>0</v>
      </c>
      <c r="R76" s="13">
        <f t="shared" si="29"/>
        <v>1970.631272</v>
      </c>
    </row>
    <row r="77" spans="1:18" ht="15">
      <c r="A77" s="24" t="s">
        <v>3</v>
      </c>
      <c r="B77" s="51">
        <v>2005</v>
      </c>
      <c r="C77" s="35" t="s">
        <v>37</v>
      </c>
      <c r="D77" s="36"/>
      <c r="E77" s="36"/>
      <c r="F77" s="38"/>
      <c r="G77" s="39">
        <f>'C-1 Monthly Volumes'!O44</f>
        <v>0</v>
      </c>
      <c r="H77" s="12">
        <v>0</v>
      </c>
      <c r="I77" s="6">
        <v>0</v>
      </c>
      <c r="J77" s="13">
        <f t="shared" si="28"/>
        <v>0</v>
      </c>
      <c r="K77" s="12">
        <v>0</v>
      </c>
      <c r="L77" s="6">
        <v>0</v>
      </c>
      <c r="M77" s="13">
        <f t="shared" si="25"/>
        <v>0</v>
      </c>
      <c r="N77" s="17"/>
      <c r="O77" s="13">
        <f t="shared" si="26"/>
        <v>0</v>
      </c>
      <c r="P77" s="5">
        <v>1.477</v>
      </c>
      <c r="Q77" s="13">
        <f t="shared" si="27"/>
        <v>0</v>
      </c>
      <c r="R77" s="13">
        <f t="shared" si="29"/>
        <v>0</v>
      </c>
    </row>
    <row r="78" spans="1:18" ht="15">
      <c r="A78" s="24" t="s">
        <v>3</v>
      </c>
      <c r="B78" s="51">
        <v>2005</v>
      </c>
      <c r="C78" s="35" t="s">
        <v>30</v>
      </c>
      <c r="D78" s="36"/>
      <c r="E78" s="36"/>
      <c r="F78" s="38"/>
      <c r="G78" s="39">
        <f>'C-1 Monthly Volumes'!O45</f>
        <v>586</v>
      </c>
      <c r="H78" s="12">
        <v>0</v>
      </c>
      <c r="I78" s="6">
        <v>0</v>
      </c>
      <c r="J78" s="13">
        <f t="shared" si="28"/>
        <v>0</v>
      </c>
      <c r="K78" s="12">
        <v>0</v>
      </c>
      <c r="L78" s="6">
        <v>0</v>
      </c>
      <c r="M78" s="13">
        <f t="shared" si="25"/>
        <v>0</v>
      </c>
      <c r="N78" s="17"/>
      <c r="O78" s="13">
        <f t="shared" si="26"/>
        <v>0</v>
      </c>
      <c r="P78" s="5">
        <v>1.477</v>
      </c>
      <c r="Q78" s="13">
        <f t="shared" si="27"/>
        <v>865.522</v>
      </c>
      <c r="R78" s="13">
        <f t="shared" si="29"/>
        <v>865.522</v>
      </c>
    </row>
    <row r="79" spans="1:18" ht="15">
      <c r="A79" s="24" t="s">
        <v>3</v>
      </c>
      <c r="B79" s="51">
        <v>2005</v>
      </c>
      <c r="C79" s="35" t="s">
        <v>38</v>
      </c>
      <c r="D79" s="36"/>
      <c r="E79" s="36"/>
      <c r="F79" s="38"/>
      <c r="G79" s="39">
        <f>'C-1 Monthly Volumes'!O46</f>
        <v>587</v>
      </c>
      <c r="H79" s="12">
        <v>0</v>
      </c>
      <c r="I79" s="6">
        <v>0</v>
      </c>
      <c r="J79" s="13">
        <f t="shared" si="28"/>
        <v>0</v>
      </c>
      <c r="K79" s="12">
        <v>0</v>
      </c>
      <c r="L79" s="6">
        <v>0</v>
      </c>
      <c r="M79" s="13">
        <f t="shared" si="25"/>
        <v>0</v>
      </c>
      <c r="N79" s="17"/>
      <c r="O79" s="13">
        <f t="shared" si="26"/>
        <v>0</v>
      </c>
      <c r="P79" s="5">
        <v>1.477</v>
      </c>
      <c r="Q79" s="13">
        <f t="shared" si="27"/>
        <v>866.999</v>
      </c>
      <c r="R79" s="13">
        <f t="shared" si="29"/>
        <v>866.999</v>
      </c>
    </row>
    <row r="80" spans="1:18" ht="15">
      <c r="A80" s="24" t="s">
        <v>3</v>
      </c>
      <c r="B80" s="51">
        <v>2005</v>
      </c>
      <c r="C80" s="35" t="s">
        <v>39</v>
      </c>
      <c r="D80" s="36"/>
      <c r="E80" s="36"/>
      <c r="F80" s="38"/>
      <c r="G80" s="39">
        <f>'C-1 Monthly Volumes'!O47</f>
        <v>586</v>
      </c>
      <c r="H80" s="12">
        <v>0</v>
      </c>
      <c r="I80" s="6">
        <v>0</v>
      </c>
      <c r="J80" s="13">
        <f t="shared" si="28"/>
        <v>0</v>
      </c>
      <c r="K80" s="12">
        <v>0</v>
      </c>
      <c r="L80" s="6">
        <v>0</v>
      </c>
      <c r="M80" s="13">
        <f t="shared" si="25"/>
        <v>0</v>
      </c>
      <c r="N80" s="17"/>
      <c r="O80" s="13">
        <f t="shared" si="26"/>
        <v>0</v>
      </c>
      <c r="P80" s="5">
        <v>1.477</v>
      </c>
      <c r="Q80" s="13">
        <f t="shared" si="27"/>
        <v>865.522</v>
      </c>
      <c r="R80" s="13">
        <f t="shared" si="29"/>
        <v>865.522</v>
      </c>
    </row>
    <row r="81" spans="1:18" ht="15">
      <c r="A81" s="24" t="s">
        <v>3</v>
      </c>
      <c r="B81" s="51">
        <v>2005</v>
      </c>
      <c r="C81" s="35" t="s">
        <v>40</v>
      </c>
      <c r="D81" s="36"/>
      <c r="E81" s="36"/>
      <c r="F81" s="38"/>
      <c r="G81" s="39">
        <f>'C-1 Monthly Volumes'!O48</f>
        <v>587</v>
      </c>
      <c r="H81" s="12">
        <v>0</v>
      </c>
      <c r="I81" s="6">
        <v>0</v>
      </c>
      <c r="J81" s="13">
        <f t="shared" si="28"/>
        <v>0</v>
      </c>
      <c r="K81" s="12">
        <v>0</v>
      </c>
      <c r="L81" s="6">
        <v>0</v>
      </c>
      <c r="M81" s="13">
        <f t="shared" si="25"/>
        <v>0</v>
      </c>
      <c r="N81" s="17"/>
      <c r="O81" s="13">
        <f t="shared" si="26"/>
        <v>0</v>
      </c>
      <c r="P81" s="5">
        <v>1.477</v>
      </c>
      <c r="Q81" s="13">
        <f t="shared" si="27"/>
        <v>866.999</v>
      </c>
      <c r="R81" s="13">
        <f t="shared" si="29"/>
        <v>866.999</v>
      </c>
    </row>
    <row r="82" spans="1:18" ht="15">
      <c r="A82" s="24" t="s">
        <v>3</v>
      </c>
      <c r="B82" s="51">
        <v>2005</v>
      </c>
      <c r="C82" s="35" t="s">
        <v>133</v>
      </c>
      <c r="D82" s="36"/>
      <c r="E82" s="36"/>
      <c r="F82" s="38"/>
      <c r="G82" s="39">
        <f>'C-1 Monthly Volumes'!O49</f>
        <v>0</v>
      </c>
      <c r="H82" s="12">
        <v>0</v>
      </c>
      <c r="I82" s="6">
        <v>0</v>
      </c>
      <c r="J82" s="13">
        <f t="shared" si="28"/>
        <v>0</v>
      </c>
      <c r="K82" s="12">
        <v>0</v>
      </c>
      <c r="L82" s="6">
        <v>0</v>
      </c>
      <c r="M82" s="13">
        <f t="shared" si="25"/>
        <v>0</v>
      </c>
      <c r="N82" s="17"/>
      <c r="O82" s="13">
        <f t="shared" si="26"/>
        <v>0</v>
      </c>
      <c r="P82" s="5">
        <v>1.477</v>
      </c>
      <c r="Q82" s="13">
        <f t="shared" si="27"/>
        <v>0</v>
      </c>
      <c r="R82" s="13">
        <f t="shared" si="29"/>
        <v>0</v>
      </c>
    </row>
    <row r="83" spans="1:18" ht="15">
      <c r="A83" s="24" t="s">
        <v>3</v>
      </c>
      <c r="B83" s="51">
        <v>2005</v>
      </c>
      <c r="C83" s="35" t="s">
        <v>42</v>
      </c>
      <c r="D83" s="36"/>
      <c r="E83" s="36"/>
      <c r="F83" s="38"/>
      <c r="G83" s="39">
        <f>'C-1 Monthly Volumes'!O50</f>
        <v>586.5</v>
      </c>
      <c r="H83" s="12">
        <v>0</v>
      </c>
      <c r="I83" s="6">
        <v>0</v>
      </c>
      <c r="J83" s="13">
        <f t="shared" si="28"/>
        <v>0</v>
      </c>
      <c r="K83" s="12">
        <v>0</v>
      </c>
      <c r="L83" s="6">
        <v>0</v>
      </c>
      <c r="M83" s="13">
        <f t="shared" si="25"/>
        <v>0</v>
      </c>
      <c r="N83" s="17"/>
      <c r="O83" s="13">
        <f t="shared" si="26"/>
        <v>0</v>
      </c>
      <c r="P83" s="5">
        <v>1.477</v>
      </c>
      <c r="Q83" s="13">
        <f t="shared" si="27"/>
        <v>866.2605000000001</v>
      </c>
      <c r="R83" s="13">
        <f t="shared" si="29"/>
        <v>866.2605000000001</v>
      </c>
    </row>
    <row r="84" spans="1:18" ht="15">
      <c r="A84" s="24" t="s">
        <v>3</v>
      </c>
      <c r="B84" s="51">
        <v>2005</v>
      </c>
      <c r="C84" s="35" t="s">
        <v>43</v>
      </c>
      <c r="D84" s="36"/>
      <c r="E84" s="36"/>
      <c r="F84" s="38"/>
      <c r="G84" s="39">
        <f>'C-1 Monthly Volumes'!O51</f>
        <v>1172.9</v>
      </c>
      <c r="H84" s="12">
        <v>0</v>
      </c>
      <c r="I84" s="6">
        <v>0</v>
      </c>
      <c r="J84" s="13">
        <f t="shared" si="28"/>
        <v>0</v>
      </c>
      <c r="K84" s="12">
        <v>0</v>
      </c>
      <c r="L84" s="6">
        <v>0</v>
      </c>
      <c r="M84" s="13">
        <f t="shared" si="25"/>
        <v>0</v>
      </c>
      <c r="N84" s="17"/>
      <c r="O84" s="13">
        <f t="shared" si="26"/>
        <v>0</v>
      </c>
      <c r="P84" s="5">
        <v>1.477</v>
      </c>
      <c r="Q84" s="13">
        <f t="shared" si="27"/>
        <v>1732.3733000000002</v>
      </c>
      <c r="R84" s="13">
        <f t="shared" si="29"/>
        <v>1732.3733000000002</v>
      </c>
    </row>
    <row r="85" spans="1:18" ht="15.75" thickBot="1">
      <c r="A85" s="24" t="s">
        <v>3</v>
      </c>
      <c r="B85" s="51">
        <v>2005</v>
      </c>
      <c r="C85" s="35" t="s">
        <v>44</v>
      </c>
      <c r="D85" s="36"/>
      <c r="E85" s="36"/>
      <c r="F85" s="38"/>
      <c r="G85" s="39">
        <f>'C-1 Monthly Volumes'!O52</f>
        <v>586.5</v>
      </c>
      <c r="H85" s="12">
        <v>0</v>
      </c>
      <c r="I85" s="6">
        <v>0</v>
      </c>
      <c r="J85" s="13">
        <f t="shared" si="28"/>
        <v>0</v>
      </c>
      <c r="K85" s="12">
        <v>0</v>
      </c>
      <c r="L85" s="6">
        <v>0</v>
      </c>
      <c r="M85" s="13">
        <f t="shared" si="25"/>
        <v>0</v>
      </c>
      <c r="N85" s="17"/>
      <c r="O85" s="13">
        <f t="shared" si="26"/>
        <v>0</v>
      </c>
      <c r="P85" s="5">
        <v>1.477</v>
      </c>
      <c r="Q85" s="13">
        <f t="shared" si="27"/>
        <v>866.2605000000001</v>
      </c>
      <c r="R85" s="13">
        <f t="shared" si="29"/>
        <v>866.2605000000001</v>
      </c>
    </row>
    <row r="86" spans="1:18" ht="15.75" thickBot="1">
      <c r="A86" s="53" t="s">
        <v>55</v>
      </c>
      <c r="B86" s="54"/>
      <c r="C86" s="55"/>
      <c r="D86" s="56">
        <f>SUM(D74:D85)</f>
        <v>0</v>
      </c>
      <c r="E86" s="56"/>
      <c r="F86" s="56">
        <f>SUM(F74:F85)</f>
        <v>0</v>
      </c>
      <c r="G86" s="57">
        <f>SUM(G74:G85)</f>
        <v>7035.9</v>
      </c>
      <c r="H86" s="58"/>
      <c r="I86" s="59"/>
      <c r="J86" s="60">
        <f>SUM(J74:J85)</f>
        <v>0</v>
      </c>
      <c r="K86" s="58"/>
      <c r="L86" s="59"/>
      <c r="M86" s="60">
        <f>SUM(M74:M85)</f>
        <v>0</v>
      </c>
      <c r="N86" s="61"/>
      <c r="O86" s="60">
        <f>SUM(O74:O85)</f>
        <v>3941.262544</v>
      </c>
      <c r="P86" s="61"/>
      <c r="Q86" s="60">
        <f>SUM(Q74:Q85)</f>
        <v>6929.936300000001</v>
      </c>
      <c r="R86" s="60">
        <f>SUM(R74:R85)</f>
        <v>10871.198843999999</v>
      </c>
    </row>
    <row r="87" spans="1:18" ht="15">
      <c r="A87" s="15"/>
      <c r="B87" s="3"/>
      <c r="C87" s="3"/>
      <c r="D87" s="62"/>
      <c r="E87" s="62"/>
      <c r="F87" s="62"/>
      <c r="G87" s="63"/>
      <c r="H87" s="14"/>
      <c r="I87" s="6"/>
      <c r="J87" s="13"/>
      <c r="K87" s="14"/>
      <c r="L87" s="6"/>
      <c r="M87" s="13"/>
      <c r="N87" s="17"/>
      <c r="O87" s="13"/>
      <c r="P87" s="17"/>
      <c r="Q87" s="13"/>
      <c r="R87" s="13"/>
    </row>
    <row r="88" spans="1:18" s="16" customFormat="1" ht="15.75" thickBot="1">
      <c r="A88" s="109" t="s">
        <v>5</v>
      </c>
      <c r="B88" s="110"/>
      <c r="C88" s="110"/>
      <c r="D88" s="111"/>
      <c r="E88" s="111"/>
      <c r="F88" s="111">
        <f>F15+F29+F44+F58+F72+F86</f>
        <v>163051995.91059053</v>
      </c>
      <c r="G88" s="111">
        <f>G15+G29+G44+G58+G72+G86</f>
        <v>414239.03888888896</v>
      </c>
      <c r="H88" s="109"/>
      <c r="I88" s="110"/>
      <c r="J88" s="112">
        <f>J15+J29+J44+J58+J72+J86</f>
        <v>0</v>
      </c>
      <c r="K88" s="109"/>
      <c r="L88" s="110"/>
      <c r="M88" s="112">
        <f>M15+M29+M44+M58+M72+M86</f>
        <v>0</v>
      </c>
      <c r="N88" s="109"/>
      <c r="O88" s="112">
        <f>O15+O29+O44+O58+O72+O86</f>
        <v>456329.14619999996</v>
      </c>
      <c r="P88" s="109"/>
      <c r="Q88" s="112">
        <f>Q15+Q29+Q44+Q58+Q72+Q86</f>
        <v>484977.4178566076</v>
      </c>
      <c r="R88" s="112">
        <f>R15+R29+R44+R58+R72+R86</f>
        <v>941306.5640566075</v>
      </c>
    </row>
    <row r="89" spans="1:18" ht="15">
      <c r="A89" s="250" t="s">
        <v>146</v>
      </c>
      <c r="B89" s="3"/>
      <c r="C89" s="3"/>
      <c r="D89" s="9"/>
      <c r="E89" s="9"/>
      <c r="F89" s="9"/>
      <c r="G89" s="9"/>
      <c r="H89" s="3"/>
      <c r="I89" s="3"/>
      <c r="J89" s="4"/>
      <c r="K89" s="3"/>
      <c r="L89" s="3"/>
      <c r="M89" s="4"/>
      <c r="N89" s="4"/>
      <c r="O89" s="4"/>
      <c r="P89" s="4"/>
      <c r="Q89" s="4"/>
      <c r="R89" s="4"/>
    </row>
    <row r="91" spans="10:11" ht="15">
      <c r="J91" s="8"/>
      <c r="K91" s="2"/>
    </row>
    <row r="92" spans="10:11" ht="15">
      <c r="J92" s="8"/>
      <c r="K92" s="2"/>
    </row>
    <row r="93" spans="10:11" ht="15">
      <c r="J93" s="8"/>
      <c r="K93" s="2"/>
    </row>
    <row r="94" spans="10:11" ht="15">
      <c r="J94" s="8"/>
      <c r="K94" s="2"/>
    </row>
  </sheetData>
  <sheetProtection/>
  <printOptions horizontalCentered="1"/>
  <pageMargins left="0.5118110236220472" right="0.5118110236220472" top="0.8267716535433072" bottom="0.5118110236220472" header="0.31496062992125984" footer="0.31496062992125984"/>
  <pageSetup fitToHeight="2" horizontalDpi="600" verticalDpi="600" orientation="portrait" scale="75" r:id="rId1"/>
  <headerFooter>
    <oddHeader>&amp;ROrillia Power Distribution Corporation
EB-2011-0191
Filed: October 28, 2011
Appendix B</oddHeader>
    <oddFooter>&amp;C&amp;F
&amp;A&amp;RPage &amp;P
of &amp;N</oddFooter>
  </headerFooter>
  <rowBreaks count="1" manualBreakCount="1">
    <brk id="58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R94"/>
  <sheetViews>
    <sheetView showGridLines="0" zoomScalePageLayoutView="0" workbookViewId="0" topLeftCell="A32">
      <selection activeCell="H29" sqref="A1:H29"/>
    </sheetView>
  </sheetViews>
  <sheetFormatPr defaultColWidth="9.140625" defaultRowHeight="15" outlineLevelRow="1" outlineLevelCol="1"/>
  <cols>
    <col min="1" max="1" width="28.421875" style="0" customWidth="1"/>
    <col min="2" max="2" width="5.00390625" style="0" bestFit="1" customWidth="1"/>
    <col min="3" max="3" width="11.28125" style="0" customWidth="1"/>
    <col min="4" max="4" width="10.421875" style="0" hidden="1" customWidth="1" outlineLevel="1"/>
    <col min="5" max="5" width="7.57421875" style="0" hidden="1" customWidth="1" outlineLevel="1"/>
    <col min="6" max="6" width="12.57421875" style="0" bestFit="1" customWidth="1" collapsed="1"/>
    <col min="7" max="7" width="9.00390625" style="0" bestFit="1" customWidth="1"/>
    <col min="8" max="8" width="12.140625" style="0" hidden="1" customWidth="1" outlineLevel="1"/>
    <col min="9" max="9" width="12.7109375" style="0" hidden="1" customWidth="1" outlineLevel="1"/>
    <col min="10" max="10" width="13.140625" style="0" hidden="1" customWidth="1" outlineLevel="1"/>
    <col min="11" max="11" width="13.421875" style="0" hidden="1" customWidth="1" outlineLevel="1"/>
    <col min="12" max="12" width="11.421875" style="0" hidden="1" customWidth="1" outlineLevel="1"/>
    <col min="13" max="13" width="14.28125" style="0" hidden="1" customWidth="1" outlineLevel="1"/>
    <col min="14" max="14" width="12.57421875" style="0" hidden="1" customWidth="1" outlineLevel="1"/>
    <col min="15" max="15" width="14.00390625" style="0" hidden="1" customWidth="1" outlineLevel="1"/>
    <col min="16" max="16" width="9.00390625" style="0" bestFit="1" customWidth="1" collapsed="1"/>
    <col min="17" max="18" width="12.57421875" style="0" bestFit="1" customWidth="1"/>
  </cols>
  <sheetData>
    <row r="1" s="1" customFormat="1" ht="15.75" thickBot="1"/>
    <row r="2" spans="1:18" s="20" customFormat="1" ht="75">
      <c r="A2" s="34" t="s">
        <v>19</v>
      </c>
      <c r="B2" s="50"/>
      <c r="C2" s="245" t="s">
        <v>18</v>
      </c>
      <c r="D2" s="245" t="s">
        <v>51</v>
      </c>
      <c r="E2" s="245" t="s">
        <v>22</v>
      </c>
      <c r="F2" s="245" t="s">
        <v>115</v>
      </c>
      <c r="G2" s="246" t="s">
        <v>116</v>
      </c>
      <c r="H2" s="247" t="s">
        <v>7</v>
      </c>
      <c r="I2" s="248" t="s">
        <v>14</v>
      </c>
      <c r="J2" s="249" t="s">
        <v>8</v>
      </c>
      <c r="K2" s="247" t="s">
        <v>9</v>
      </c>
      <c r="L2" s="248" t="s">
        <v>11</v>
      </c>
      <c r="M2" s="249" t="s">
        <v>10</v>
      </c>
      <c r="N2" s="247" t="s">
        <v>12</v>
      </c>
      <c r="O2" s="249" t="s">
        <v>13</v>
      </c>
      <c r="P2" s="247" t="s">
        <v>15</v>
      </c>
      <c r="Q2" s="249" t="s">
        <v>16</v>
      </c>
      <c r="R2" s="249" t="s">
        <v>4</v>
      </c>
    </row>
    <row r="3" spans="1:18" ht="15">
      <c r="A3" s="24" t="s">
        <v>0</v>
      </c>
      <c r="B3" s="51">
        <v>2006</v>
      </c>
      <c r="C3" s="35" t="s">
        <v>34</v>
      </c>
      <c r="D3" s="36"/>
      <c r="E3" s="36"/>
      <c r="F3" s="36">
        <f>'C-1 Monthly Volumes'!G4</f>
        <v>10512826</v>
      </c>
      <c r="G3" s="37"/>
      <c r="H3" s="12">
        <v>0</v>
      </c>
      <c r="I3" s="6">
        <v>0</v>
      </c>
      <c r="J3" s="13">
        <f>D3*E3*H3+(F3+G3)*I3</f>
        <v>0</v>
      </c>
      <c r="K3" s="12">
        <v>0</v>
      </c>
      <c r="L3" s="6">
        <v>0</v>
      </c>
      <c r="M3" s="13">
        <f>D3*E3*K3+(F3+G3)*L3</f>
        <v>0</v>
      </c>
      <c r="N3" s="17"/>
      <c r="O3" s="13">
        <f>(F3+G3)*N3</f>
        <v>0</v>
      </c>
      <c r="P3" s="3">
        <v>0.0037</v>
      </c>
      <c r="Q3" s="13">
        <f>(F3+G3)*P3</f>
        <v>38897.4562</v>
      </c>
      <c r="R3" s="13">
        <f>J3+M3+O3+Q3</f>
        <v>38897.4562</v>
      </c>
    </row>
    <row r="4" spans="1:18" ht="15">
      <c r="A4" s="24" t="s">
        <v>0</v>
      </c>
      <c r="B4" s="51">
        <v>2006</v>
      </c>
      <c r="C4" s="35" t="s">
        <v>35</v>
      </c>
      <c r="D4" s="36"/>
      <c r="E4" s="36"/>
      <c r="F4" s="36">
        <f>'C-1 Monthly Volumes'!G5</f>
        <v>12283899</v>
      </c>
      <c r="G4" s="37"/>
      <c r="H4" s="12">
        <v>0</v>
      </c>
      <c r="I4" s="6">
        <v>0</v>
      </c>
      <c r="J4" s="13">
        <f>D4*E4*H4+(F4+G4)*I4</f>
        <v>0</v>
      </c>
      <c r="K4" s="12">
        <v>0</v>
      </c>
      <c r="L4" s="6">
        <v>0</v>
      </c>
      <c r="M4" s="13">
        <f>D4*E4*K4+(F4+G4)*L4</f>
        <v>0</v>
      </c>
      <c r="N4" s="17"/>
      <c r="O4" s="13">
        <f>(F4+G4)*N4</f>
        <v>0</v>
      </c>
      <c r="P4" s="3">
        <v>0.0037</v>
      </c>
      <c r="Q4" s="13">
        <f>(F4+G4)*P4</f>
        <v>45450.4263</v>
      </c>
      <c r="R4" s="13">
        <f>J4+M4+O4+Q4</f>
        <v>45450.4263</v>
      </c>
    </row>
    <row r="5" spans="1:18" ht="15">
      <c r="A5" s="24" t="s">
        <v>0</v>
      </c>
      <c r="B5" s="51">
        <v>2006</v>
      </c>
      <c r="C5" s="35" t="s">
        <v>36</v>
      </c>
      <c r="D5" s="36"/>
      <c r="E5" s="36"/>
      <c r="F5" s="36">
        <f>'C-1 Monthly Volumes'!G6</f>
        <v>10908520</v>
      </c>
      <c r="G5" s="37"/>
      <c r="H5" s="12">
        <v>0</v>
      </c>
      <c r="I5" s="6">
        <v>0</v>
      </c>
      <c r="J5" s="13">
        <f>D5*E5*H5+(F5+G5)*I5</f>
        <v>0</v>
      </c>
      <c r="K5" s="12">
        <v>0</v>
      </c>
      <c r="L5" s="6">
        <v>0</v>
      </c>
      <c r="M5" s="13">
        <f>D5*E5*K5+(F5+G5)*L5</f>
        <v>0</v>
      </c>
      <c r="N5" s="17"/>
      <c r="O5" s="13">
        <f>(F5+G5)*N5</f>
        <v>0</v>
      </c>
      <c r="P5" s="3">
        <v>0.0037</v>
      </c>
      <c r="Q5" s="13">
        <f>(F5+G5)*P5</f>
        <v>40361.524000000005</v>
      </c>
      <c r="R5" s="13">
        <f>J5+M5+O5+Q5</f>
        <v>40361.524000000005</v>
      </c>
    </row>
    <row r="6" spans="1:18" ht="15">
      <c r="A6" s="24" t="s">
        <v>0</v>
      </c>
      <c r="B6" s="51">
        <v>2006</v>
      </c>
      <c r="C6" s="35" t="s">
        <v>37</v>
      </c>
      <c r="D6" s="36"/>
      <c r="E6" s="36"/>
      <c r="F6" s="36">
        <f>'C-1 Monthly Volumes'!G7</f>
        <v>10995296</v>
      </c>
      <c r="G6" s="37"/>
      <c r="H6" s="12">
        <v>0</v>
      </c>
      <c r="I6" s="6">
        <v>0</v>
      </c>
      <c r="J6" s="13">
        <f>D6*E6*H6+(F6+G6)*I6</f>
        <v>0</v>
      </c>
      <c r="K6" s="12">
        <v>0</v>
      </c>
      <c r="L6" s="6">
        <v>0</v>
      </c>
      <c r="M6" s="13">
        <f>D6*E6*K6+(F6+G6)*L6</f>
        <v>0</v>
      </c>
      <c r="N6" s="17"/>
      <c r="O6" s="13">
        <f>(F6+G6)*N6</f>
        <v>0</v>
      </c>
      <c r="P6" s="3">
        <v>0.0037</v>
      </c>
      <c r="Q6" s="13">
        <f>(F6+G6)*P6</f>
        <v>40682.5952</v>
      </c>
      <c r="R6" s="13">
        <f>J6+M6+O6+Q6</f>
        <v>40682.5952</v>
      </c>
    </row>
    <row r="7" spans="1:18" ht="15.75" thickBot="1">
      <c r="A7" s="24" t="s">
        <v>0</v>
      </c>
      <c r="B7" s="51">
        <v>2006</v>
      </c>
      <c r="C7" s="35" t="s">
        <v>33</v>
      </c>
      <c r="D7" s="36"/>
      <c r="E7" s="36"/>
      <c r="F7" s="36">
        <f>'C-1 Monthly Volumes'!G16</f>
        <v>11503482</v>
      </c>
      <c r="G7" s="37"/>
      <c r="H7" s="12">
        <v>0</v>
      </c>
      <c r="I7" s="6">
        <v>0</v>
      </c>
      <c r="J7" s="13">
        <f>D7*E7*H7+(F7+G7)*I7</f>
        <v>0</v>
      </c>
      <c r="K7" s="12">
        <v>0</v>
      </c>
      <c r="L7" s="6">
        <v>0</v>
      </c>
      <c r="M7" s="13">
        <f>D7*E7*K7+(F7+G7)*L7</f>
        <v>0</v>
      </c>
      <c r="N7" s="17"/>
      <c r="O7" s="13">
        <f>(F7+G7)*N7</f>
        <v>0</v>
      </c>
      <c r="P7" s="3">
        <v>0.0037</v>
      </c>
      <c r="Q7" s="13">
        <f>(F7+G7)*P7</f>
        <v>42562.8834</v>
      </c>
      <c r="R7" s="13">
        <f>J7+M7+O7+Q7</f>
        <v>42562.8834</v>
      </c>
    </row>
    <row r="8" spans="1:18" ht="15.75" hidden="1" outlineLevel="1" thickBot="1">
      <c r="A8" s="24"/>
      <c r="B8" s="51"/>
      <c r="C8" s="35"/>
      <c r="D8" s="36"/>
      <c r="E8" s="36"/>
      <c r="F8" s="36"/>
      <c r="G8" s="37"/>
      <c r="H8" s="12"/>
      <c r="I8" s="6"/>
      <c r="J8" s="13"/>
      <c r="K8" s="12"/>
      <c r="L8" s="6"/>
      <c r="M8" s="13"/>
      <c r="N8" s="17"/>
      <c r="O8" s="13"/>
      <c r="P8" s="3"/>
      <c r="Q8" s="13"/>
      <c r="R8" s="13"/>
    </row>
    <row r="9" spans="1:18" ht="15.75" hidden="1" outlineLevel="1" thickBot="1">
      <c r="A9" s="24"/>
      <c r="B9" s="51"/>
      <c r="C9" s="35"/>
      <c r="D9" s="36"/>
      <c r="E9" s="36"/>
      <c r="F9" s="36"/>
      <c r="G9" s="37"/>
      <c r="H9" s="12"/>
      <c r="I9" s="6"/>
      <c r="J9" s="13"/>
      <c r="K9" s="12"/>
      <c r="L9" s="6"/>
      <c r="M9" s="13"/>
      <c r="N9" s="17"/>
      <c r="O9" s="13"/>
      <c r="P9" s="3"/>
      <c r="Q9" s="13"/>
      <c r="R9" s="13"/>
    </row>
    <row r="10" spans="1:18" ht="15.75" hidden="1" outlineLevel="1" thickBot="1">
      <c r="A10" s="24"/>
      <c r="B10" s="51"/>
      <c r="C10" s="35"/>
      <c r="D10" s="36"/>
      <c r="E10" s="36"/>
      <c r="F10" s="36"/>
      <c r="G10" s="37"/>
      <c r="H10" s="12"/>
      <c r="I10" s="6"/>
      <c r="J10" s="13"/>
      <c r="K10" s="12"/>
      <c r="L10" s="6"/>
      <c r="M10" s="13"/>
      <c r="N10" s="17"/>
      <c r="O10" s="13"/>
      <c r="P10" s="3"/>
      <c r="Q10" s="13"/>
      <c r="R10" s="13"/>
    </row>
    <row r="11" spans="1:18" ht="15.75" hidden="1" outlineLevel="1" thickBot="1">
      <c r="A11" s="24"/>
      <c r="B11" s="51"/>
      <c r="C11" s="35"/>
      <c r="D11" s="36"/>
      <c r="E11" s="36"/>
      <c r="F11" s="36"/>
      <c r="G11" s="37"/>
      <c r="H11" s="12"/>
      <c r="I11" s="6"/>
      <c r="J11" s="13"/>
      <c r="K11" s="12"/>
      <c r="L11" s="6"/>
      <c r="M11" s="13"/>
      <c r="N11" s="17"/>
      <c r="O11" s="13"/>
      <c r="P11" s="3"/>
      <c r="Q11" s="13"/>
      <c r="R11" s="13"/>
    </row>
    <row r="12" spans="1:18" ht="15.75" hidden="1" outlineLevel="1" thickBot="1">
      <c r="A12" s="24"/>
      <c r="B12" s="51"/>
      <c r="C12" s="35"/>
      <c r="D12" s="36"/>
      <c r="E12" s="36"/>
      <c r="F12" s="36"/>
      <c r="G12" s="37"/>
      <c r="H12" s="12"/>
      <c r="I12" s="6"/>
      <c r="J12" s="13"/>
      <c r="K12" s="12"/>
      <c r="L12" s="6"/>
      <c r="M12" s="13"/>
      <c r="N12" s="17"/>
      <c r="O12" s="13"/>
      <c r="P12" s="3"/>
      <c r="Q12" s="13"/>
      <c r="R12" s="13"/>
    </row>
    <row r="13" spans="1:18" ht="15.75" hidden="1" outlineLevel="1" thickBot="1">
      <c r="A13" s="24"/>
      <c r="B13" s="51"/>
      <c r="C13" s="35"/>
      <c r="D13" s="36"/>
      <c r="E13" s="36"/>
      <c r="F13" s="36"/>
      <c r="G13" s="37"/>
      <c r="H13" s="12"/>
      <c r="I13" s="6"/>
      <c r="J13" s="13"/>
      <c r="K13" s="12"/>
      <c r="L13" s="6"/>
      <c r="M13" s="13"/>
      <c r="N13" s="17"/>
      <c r="O13" s="13"/>
      <c r="P13" s="3"/>
      <c r="Q13" s="13"/>
      <c r="R13" s="13"/>
    </row>
    <row r="14" spans="1:18" ht="15.75" hidden="1" outlineLevel="1" thickBot="1">
      <c r="A14" s="24"/>
      <c r="B14" s="51"/>
      <c r="C14" s="35"/>
      <c r="D14" s="36"/>
      <c r="E14" s="36"/>
      <c r="F14" s="36"/>
      <c r="G14" s="37"/>
      <c r="H14" s="12"/>
      <c r="I14" s="6"/>
      <c r="J14" s="13"/>
      <c r="K14" s="12"/>
      <c r="L14" s="6"/>
      <c r="M14" s="13"/>
      <c r="N14" s="17"/>
      <c r="O14" s="13"/>
      <c r="P14" s="3"/>
      <c r="Q14" s="13"/>
      <c r="R14" s="13"/>
    </row>
    <row r="15" spans="1:18" ht="15.75" collapsed="1" thickBot="1">
      <c r="A15" s="53" t="s">
        <v>52</v>
      </c>
      <c r="B15" s="54"/>
      <c r="C15" s="55"/>
      <c r="D15" s="56">
        <f>SUM(D3:D14)</f>
        <v>0</v>
      </c>
      <c r="E15" s="56"/>
      <c r="F15" s="56">
        <f>SUM(F3:F14)</f>
        <v>56204023</v>
      </c>
      <c r="G15" s="57">
        <f>SUM(G3:G14)</f>
        <v>0</v>
      </c>
      <c r="H15" s="58"/>
      <c r="I15" s="59"/>
      <c r="J15" s="60">
        <f>SUM(J3:J14)</f>
        <v>0</v>
      </c>
      <c r="K15" s="58"/>
      <c r="L15" s="59"/>
      <c r="M15" s="60">
        <f>SUM(M3:M14)</f>
        <v>0</v>
      </c>
      <c r="N15" s="61"/>
      <c r="O15" s="60">
        <f>SUM(O3:O14)</f>
        <v>0</v>
      </c>
      <c r="P15" s="61"/>
      <c r="Q15" s="60">
        <f>SUM(Q3:Q14)</f>
        <v>207954.8851</v>
      </c>
      <c r="R15" s="60">
        <f>SUM(R3:R14)</f>
        <v>207954.8851</v>
      </c>
    </row>
    <row r="16" spans="1:18" ht="15">
      <c r="A16" s="24"/>
      <c r="B16" s="51"/>
      <c r="C16" s="35"/>
      <c r="D16" s="36"/>
      <c r="E16" s="36"/>
      <c r="F16" s="36"/>
      <c r="G16" s="37"/>
      <c r="H16" s="12"/>
      <c r="I16" s="6"/>
      <c r="J16" s="13"/>
      <c r="K16" s="12"/>
      <c r="L16" s="6"/>
      <c r="M16" s="13"/>
      <c r="N16" s="17"/>
      <c r="O16" s="13"/>
      <c r="P16" s="17"/>
      <c r="Q16" s="13"/>
      <c r="R16" s="13"/>
    </row>
    <row r="17" spans="1:18" ht="15">
      <c r="A17" s="24" t="s">
        <v>1</v>
      </c>
      <c r="B17" s="51">
        <v>2006</v>
      </c>
      <c r="C17" s="35" t="s">
        <v>34</v>
      </c>
      <c r="D17" s="36"/>
      <c r="E17" s="36"/>
      <c r="F17" s="36">
        <f>'C-1 Monthly Volumes'!G22</f>
        <v>4402791</v>
      </c>
      <c r="G17" s="37"/>
      <c r="H17" s="12">
        <v>0</v>
      </c>
      <c r="I17" s="6">
        <v>0</v>
      </c>
      <c r="J17" s="13">
        <f>D17*E17*H17+(F17+G17)*I17</f>
        <v>0</v>
      </c>
      <c r="K17" s="12">
        <v>0</v>
      </c>
      <c r="L17" s="6">
        <v>0</v>
      </c>
      <c r="M17" s="13">
        <f>D17*E17*K17+(F17+G17)*L17</f>
        <v>0</v>
      </c>
      <c r="N17" s="17"/>
      <c r="O17" s="13">
        <f>(F17+G17)*N17</f>
        <v>0</v>
      </c>
      <c r="P17" s="3">
        <v>0.0033</v>
      </c>
      <c r="Q17" s="13">
        <f>(F17+G17)*P17</f>
        <v>14529.2103</v>
      </c>
      <c r="R17" s="13">
        <f>J17+M17+O17+Q17</f>
        <v>14529.2103</v>
      </c>
    </row>
    <row r="18" spans="1:18" ht="15">
      <c r="A18" s="24" t="s">
        <v>1</v>
      </c>
      <c r="B18" s="51">
        <v>2006</v>
      </c>
      <c r="C18" s="35" t="s">
        <v>35</v>
      </c>
      <c r="D18" s="36"/>
      <c r="E18" s="36"/>
      <c r="F18" s="36">
        <f>'C-1 Monthly Volumes'!G23</f>
        <v>5286693</v>
      </c>
      <c r="G18" s="37"/>
      <c r="H18" s="12">
        <v>0</v>
      </c>
      <c r="I18" s="6">
        <v>0</v>
      </c>
      <c r="J18" s="13">
        <f>D18*E18*H18+(F18+G18)*I18</f>
        <v>0</v>
      </c>
      <c r="K18" s="12">
        <v>0</v>
      </c>
      <c r="L18" s="6">
        <v>0</v>
      </c>
      <c r="M18" s="13">
        <f>D18*E18*K18+(F18+G18)*L18</f>
        <v>0</v>
      </c>
      <c r="N18" s="17"/>
      <c r="O18" s="13">
        <f>(F18+G18)*N18</f>
        <v>0</v>
      </c>
      <c r="P18" s="3">
        <v>0.0033</v>
      </c>
      <c r="Q18" s="13">
        <f>(F18+G18)*P18</f>
        <v>17446.0869</v>
      </c>
      <c r="R18" s="13">
        <f>J18+M18+O18+Q18</f>
        <v>17446.0869</v>
      </c>
    </row>
    <row r="19" spans="1:18" ht="15">
      <c r="A19" s="24" t="s">
        <v>1</v>
      </c>
      <c r="B19" s="51">
        <v>2006</v>
      </c>
      <c r="C19" s="35" t="s">
        <v>36</v>
      </c>
      <c r="D19" s="36"/>
      <c r="E19" s="36"/>
      <c r="F19" s="36">
        <f>'C-1 Monthly Volumes'!G24</f>
        <v>4701502</v>
      </c>
      <c r="G19" s="37"/>
      <c r="H19" s="12">
        <v>0</v>
      </c>
      <c r="I19" s="6">
        <v>0</v>
      </c>
      <c r="J19" s="13">
        <f>D19*E19*H19+(F19+G19)*I19</f>
        <v>0</v>
      </c>
      <c r="K19" s="12">
        <v>0</v>
      </c>
      <c r="L19" s="6">
        <v>0</v>
      </c>
      <c r="M19" s="13">
        <f>D19*E19*K19+(F19+G19)*L19</f>
        <v>0</v>
      </c>
      <c r="N19" s="17"/>
      <c r="O19" s="13">
        <f>(F19+G19)*N19</f>
        <v>0</v>
      </c>
      <c r="P19" s="3">
        <v>0.0033</v>
      </c>
      <c r="Q19" s="13">
        <f>(F19+G19)*P19</f>
        <v>15514.9566</v>
      </c>
      <c r="R19" s="13">
        <f>J19+M19+O19+Q19</f>
        <v>15514.9566</v>
      </c>
    </row>
    <row r="20" spans="1:18" ht="15">
      <c r="A20" s="24" t="s">
        <v>1</v>
      </c>
      <c r="B20" s="51">
        <v>2006</v>
      </c>
      <c r="C20" s="35" t="s">
        <v>37</v>
      </c>
      <c r="D20" s="36"/>
      <c r="E20" s="36"/>
      <c r="F20" s="36">
        <f>'C-1 Monthly Volumes'!G25</f>
        <v>4498971</v>
      </c>
      <c r="G20" s="37"/>
      <c r="H20" s="12">
        <v>0</v>
      </c>
      <c r="I20" s="6">
        <v>0</v>
      </c>
      <c r="J20" s="13">
        <f>D20*E20*H20+(F20+G20)*I20</f>
        <v>0</v>
      </c>
      <c r="K20" s="12">
        <v>0</v>
      </c>
      <c r="L20" s="6">
        <v>0</v>
      </c>
      <c r="M20" s="13">
        <f>D20*E20*K20+(F20+G20)*L20</f>
        <v>0</v>
      </c>
      <c r="N20" s="17"/>
      <c r="O20" s="13">
        <f>(F20+G20)*N20</f>
        <v>0</v>
      </c>
      <c r="P20" s="3">
        <v>0.0033</v>
      </c>
      <c r="Q20" s="13">
        <f>(F20+G20)*P20</f>
        <v>14846.604299999999</v>
      </c>
      <c r="R20" s="13">
        <f>J20+M20+O20+Q20</f>
        <v>14846.604299999999</v>
      </c>
    </row>
    <row r="21" spans="1:18" ht="15.75" thickBot="1">
      <c r="A21" s="24" t="s">
        <v>1</v>
      </c>
      <c r="B21" s="51">
        <v>2006</v>
      </c>
      <c r="C21" s="35" t="s">
        <v>33</v>
      </c>
      <c r="D21" s="36"/>
      <c r="E21" s="36"/>
      <c r="F21" s="36">
        <f>'C-1 Monthly Volumes'!G34</f>
        <v>5918547</v>
      </c>
      <c r="G21" s="37"/>
      <c r="H21" s="12">
        <v>0</v>
      </c>
      <c r="I21" s="6">
        <v>0</v>
      </c>
      <c r="J21" s="13">
        <f>D21*E21*H21+(F21+G21)*I21</f>
        <v>0</v>
      </c>
      <c r="K21" s="12">
        <v>0</v>
      </c>
      <c r="L21" s="6">
        <v>0</v>
      </c>
      <c r="M21" s="13">
        <f>D21*E21*K21+(F21+G21)*L21</f>
        <v>0</v>
      </c>
      <c r="N21" s="17"/>
      <c r="O21" s="13">
        <f>(F21+G21)*N21</f>
        <v>0</v>
      </c>
      <c r="P21" s="3">
        <v>0.0033</v>
      </c>
      <c r="Q21" s="13">
        <f>(F21+G21)*P21</f>
        <v>19531.2051</v>
      </c>
      <c r="R21" s="13">
        <f>J21+M21+O21+Q21</f>
        <v>19531.2051</v>
      </c>
    </row>
    <row r="22" spans="1:18" ht="15.75" hidden="1" outlineLevel="1" thickBot="1">
      <c r="A22" s="24"/>
      <c r="B22" s="51"/>
      <c r="C22" s="35"/>
      <c r="D22" s="36"/>
      <c r="E22" s="36"/>
      <c r="F22" s="36"/>
      <c r="G22" s="37"/>
      <c r="H22" s="12"/>
      <c r="I22" s="6"/>
      <c r="J22" s="13"/>
      <c r="K22" s="12"/>
      <c r="L22" s="6"/>
      <c r="M22" s="13"/>
      <c r="N22" s="17"/>
      <c r="O22" s="13"/>
      <c r="P22" s="3"/>
      <c r="Q22" s="13"/>
      <c r="R22" s="13"/>
    </row>
    <row r="23" spans="1:18" ht="15.75" hidden="1" outlineLevel="1" thickBot="1">
      <c r="A23" s="24"/>
      <c r="B23" s="51"/>
      <c r="C23" s="35"/>
      <c r="D23" s="36"/>
      <c r="E23" s="36"/>
      <c r="F23" s="36"/>
      <c r="G23" s="37"/>
      <c r="H23" s="12"/>
      <c r="I23" s="6"/>
      <c r="J23" s="13"/>
      <c r="K23" s="12"/>
      <c r="L23" s="6"/>
      <c r="M23" s="13"/>
      <c r="N23" s="17"/>
      <c r="O23" s="13"/>
      <c r="P23" s="3"/>
      <c r="Q23" s="13"/>
      <c r="R23" s="13"/>
    </row>
    <row r="24" spans="1:18" ht="15.75" hidden="1" outlineLevel="1" thickBot="1">
      <c r="A24" s="24"/>
      <c r="B24" s="51"/>
      <c r="C24" s="35"/>
      <c r="D24" s="36"/>
      <c r="E24" s="36"/>
      <c r="F24" s="36"/>
      <c r="G24" s="37"/>
      <c r="H24" s="12"/>
      <c r="I24" s="6"/>
      <c r="J24" s="13"/>
      <c r="K24" s="12"/>
      <c r="L24" s="6"/>
      <c r="M24" s="13"/>
      <c r="N24" s="17"/>
      <c r="O24" s="13"/>
      <c r="P24" s="3"/>
      <c r="Q24" s="13"/>
      <c r="R24" s="13"/>
    </row>
    <row r="25" spans="1:18" ht="15.75" hidden="1" outlineLevel="1" thickBot="1">
      <c r="A25" s="24"/>
      <c r="B25" s="51"/>
      <c r="C25" s="35"/>
      <c r="D25" s="36"/>
      <c r="E25" s="36"/>
      <c r="F25" s="36"/>
      <c r="G25" s="37"/>
      <c r="H25" s="12"/>
      <c r="I25" s="6"/>
      <c r="J25" s="13"/>
      <c r="K25" s="12"/>
      <c r="L25" s="6"/>
      <c r="M25" s="13"/>
      <c r="N25" s="17"/>
      <c r="O25" s="13"/>
      <c r="P25" s="3"/>
      <c r="Q25" s="13"/>
      <c r="R25" s="13"/>
    </row>
    <row r="26" spans="1:18" ht="15.75" hidden="1" outlineLevel="1" thickBot="1">
      <c r="A26" s="24"/>
      <c r="B26" s="51"/>
      <c r="C26" s="35"/>
      <c r="D26" s="36"/>
      <c r="E26" s="36"/>
      <c r="F26" s="36"/>
      <c r="G26" s="37"/>
      <c r="H26" s="12"/>
      <c r="I26" s="6"/>
      <c r="J26" s="13"/>
      <c r="K26" s="12"/>
      <c r="L26" s="6"/>
      <c r="M26" s="13"/>
      <c r="N26" s="17"/>
      <c r="O26" s="13"/>
      <c r="P26" s="3"/>
      <c r="Q26" s="13"/>
      <c r="R26" s="13"/>
    </row>
    <row r="27" spans="1:18" ht="15.75" hidden="1" outlineLevel="1" thickBot="1">
      <c r="A27" s="24"/>
      <c r="B27" s="51"/>
      <c r="C27" s="35"/>
      <c r="D27" s="36"/>
      <c r="E27" s="36"/>
      <c r="F27" s="36"/>
      <c r="G27" s="37"/>
      <c r="H27" s="12"/>
      <c r="I27" s="6"/>
      <c r="J27" s="13"/>
      <c r="K27" s="12"/>
      <c r="L27" s="6"/>
      <c r="M27" s="13"/>
      <c r="N27" s="17"/>
      <c r="O27" s="13"/>
      <c r="P27" s="3"/>
      <c r="Q27" s="13"/>
      <c r="R27" s="13"/>
    </row>
    <row r="28" spans="1:18" ht="15.75" hidden="1" outlineLevel="1" thickBot="1">
      <c r="A28" s="24"/>
      <c r="B28" s="51"/>
      <c r="C28" s="35"/>
      <c r="D28" s="36"/>
      <c r="E28" s="36"/>
      <c r="F28" s="36"/>
      <c r="G28" s="37"/>
      <c r="H28" s="12"/>
      <c r="I28" s="6"/>
      <c r="J28" s="13"/>
      <c r="K28" s="12"/>
      <c r="L28" s="6"/>
      <c r="M28" s="13"/>
      <c r="N28" s="17"/>
      <c r="O28" s="13"/>
      <c r="P28" s="3"/>
      <c r="Q28" s="13"/>
      <c r="R28" s="13"/>
    </row>
    <row r="29" spans="1:18" ht="15.75" collapsed="1" thickBot="1">
      <c r="A29" s="53" t="s">
        <v>53</v>
      </c>
      <c r="B29" s="54"/>
      <c r="C29" s="55"/>
      <c r="D29" s="56">
        <f>SUM(D17:D28)</f>
        <v>0</v>
      </c>
      <c r="E29" s="56"/>
      <c r="F29" s="56">
        <f>SUM(F17:F28)</f>
        <v>24808504</v>
      </c>
      <c r="G29" s="57">
        <f>SUM(G17:G28)</f>
        <v>0</v>
      </c>
      <c r="H29" s="58"/>
      <c r="I29" s="59"/>
      <c r="J29" s="60">
        <f>SUM(J17:J28)</f>
        <v>0</v>
      </c>
      <c r="K29" s="58"/>
      <c r="L29" s="59"/>
      <c r="M29" s="60">
        <f>SUM(M17:M28)</f>
        <v>0</v>
      </c>
      <c r="N29" s="61"/>
      <c r="O29" s="60">
        <f>SUM(O17:O28)</f>
        <v>0</v>
      </c>
      <c r="P29" s="61"/>
      <c r="Q29" s="60">
        <f>SUM(Q17:Q28)</f>
        <v>81868.0632</v>
      </c>
      <c r="R29" s="60">
        <f>SUM(R17:R28)</f>
        <v>81868.0632</v>
      </c>
    </row>
    <row r="30" spans="1:18" ht="15">
      <c r="A30" s="24" t="s">
        <v>125</v>
      </c>
      <c r="B30" s="51"/>
      <c r="C30" s="35"/>
      <c r="D30" s="36"/>
      <c r="E30" s="36"/>
      <c r="F30" s="38"/>
      <c r="G30" s="39"/>
      <c r="H30" s="12"/>
      <c r="I30" s="6"/>
      <c r="J30" s="13"/>
      <c r="K30" s="12"/>
      <c r="L30" s="6"/>
      <c r="M30" s="13"/>
      <c r="N30" s="17"/>
      <c r="O30" s="13"/>
      <c r="P30" s="17"/>
      <c r="Q30" s="13"/>
      <c r="R30" s="13"/>
    </row>
    <row r="31" spans="1:18" ht="15">
      <c r="A31" s="24"/>
      <c r="B31" s="51"/>
      <c r="C31" s="35"/>
      <c r="D31" s="36"/>
      <c r="E31" s="36"/>
      <c r="F31" s="38"/>
      <c r="G31" s="39"/>
      <c r="H31" s="12"/>
      <c r="I31" s="6"/>
      <c r="J31" s="13"/>
      <c r="K31" s="12"/>
      <c r="L31" s="6"/>
      <c r="M31" s="13"/>
      <c r="N31" s="17"/>
      <c r="O31" s="13"/>
      <c r="P31" s="6"/>
      <c r="Q31" s="13"/>
      <c r="R31" s="13"/>
    </row>
    <row r="32" spans="1:18" ht="15">
      <c r="A32" s="24" t="s">
        <v>111</v>
      </c>
      <c r="B32" s="51">
        <v>2006</v>
      </c>
      <c r="C32" s="35" t="s">
        <v>34</v>
      </c>
      <c r="D32" s="36"/>
      <c r="E32" s="36"/>
      <c r="F32" s="38"/>
      <c r="G32" s="39">
        <f>'C-1 Monthly Volumes'!P4</f>
        <v>23158.5</v>
      </c>
      <c r="H32" s="12">
        <v>0</v>
      </c>
      <c r="I32" s="6">
        <v>0</v>
      </c>
      <c r="J32" s="13">
        <f>D32*E32*H32+(F32+G32)*I32</f>
        <v>0</v>
      </c>
      <c r="K32" s="12">
        <v>0</v>
      </c>
      <c r="L32" s="6">
        <v>0</v>
      </c>
      <c r="M32" s="13">
        <f>D32*E32*K32+(F32+G32)*L32</f>
        <v>0</v>
      </c>
      <c r="N32" s="17"/>
      <c r="O32" s="13">
        <f>(F32+G32)*N32</f>
        <v>0</v>
      </c>
      <c r="P32" s="3">
        <v>0.7558</v>
      </c>
      <c r="Q32" s="13">
        <f>(F32+G32)*P32</f>
        <v>17503.1943</v>
      </c>
      <c r="R32" s="13">
        <f>J32+M32+O32+Q32</f>
        <v>17503.1943</v>
      </c>
    </row>
    <row r="33" spans="1:18" ht="15">
      <c r="A33" s="24" t="s">
        <v>111</v>
      </c>
      <c r="B33" s="51">
        <v>2006</v>
      </c>
      <c r="C33" s="35" t="s">
        <v>35</v>
      </c>
      <c r="D33" s="36"/>
      <c r="E33" s="36"/>
      <c r="F33" s="38"/>
      <c r="G33" s="39">
        <f>'C-1 Monthly Volumes'!P5</f>
        <v>23614.7</v>
      </c>
      <c r="H33" s="12">
        <v>0</v>
      </c>
      <c r="I33" s="6">
        <v>0</v>
      </c>
      <c r="J33" s="13">
        <f>D33*E33*H33+(F33+G33)*I33</f>
        <v>0</v>
      </c>
      <c r="K33" s="12">
        <v>0</v>
      </c>
      <c r="L33" s="6">
        <v>0</v>
      </c>
      <c r="M33" s="13">
        <f>D33*E33*K33+(F33+G33)*L33</f>
        <v>0</v>
      </c>
      <c r="N33" s="17"/>
      <c r="O33" s="13">
        <f>(F33+G33)*N33</f>
        <v>0</v>
      </c>
      <c r="P33" s="3">
        <v>0.7558</v>
      </c>
      <c r="Q33" s="13">
        <f>(F33+G33)*P33</f>
        <v>17847.990260000002</v>
      </c>
      <c r="R33" s="13">
        <f>J33+M33+O33+Q33</f>
        <v>17847.990260000002</v>
      </c>
    </row>
    <row r="34" spans="1:18" ht="15">
      <c r="A34" s="24" t="s">
        <v>111</v>
      </c>
      <c r="B34" s="51">
        <v>2006</v>
      </c>
      <c r="C34" s="35" t="s">
        <v>36</v>
      </c>
      <c r="D34" s="36"/>
      <c r="E34" s="36"/>
      <c r="F34" s="38"/>
      <c r="G34" s="39">
        <f>'C-1 Monthly Volumes'!P6</f>
        <v>23464.5</v>
      </c>
      <c r="H34" s="12">
        <v>0</v>
      </c>
      <c r="I34" s="6">
        <v>0</v>
      </c>
      <c r="J34" s="13">
        <f>D34*E34*H34+(F34+G34)*I34</f>
        <v>0</v>
      </c>
      <c r="K34" s="12">
        <v>0</v>
      </c>
      <c r="L34" s="6">
        <v>0</v>
      </c>
      <c r="M34" s="13">
        <f>D34*E34*K34+(F34+G34)*L34</f>
        <v>0</v>
      </c>
      <c r="N34" s="17"/>
      <c r="O34" s="13">
        <f>(F34+G34)*N34</f>
        <v>0</v>
      </c>
      <c r="P34" s="3">
        <v>0.7558</v>
      </c>
      <c r="Q34" s="13">
        <f>(F34+G34)*P34</f>
        <v>17734.469100000002</v>
      </c>
      <c r="R34" s="13">
        <f>J34+M34+O34+Q34</f>
        <v>17734.469100000002</v>
      </c>
    </row>
    <row r="35" spans="1:18" ht="12.75" customHeight="1">
      <c r="A35" s="24" t="s">
        <v>111</v>
      </c>
      <c r="B35" s="51">
        <v>2006</v>
      </c>
      <c r="C35" s="35" t="s">
        <v>37</v>
      </c>
      <c r="D35" s="36"/>
      <c r="E35" s="36"/>
      <c r="F35" s="38"/>
      <c r="G35" s="39">
        <f>'C-1 Monthly Volumes'!P7</f>
        <v>21930</v>
      </c>
      <c r="H35" s="12">
        <v>0</v>
      </c>
      <c r="I35" s="6">
        <v>0</v>
      </c>
      <c r="J35" s="13">
        <f>D35*E35*H35+(F35+G35)*I35</f>
        <v>0</v>
      </c>
      <c r="K35" s="12">
        <v>0</v>
      </c>
      <c r="L35" s="6">
        <v>0</v>
      </c>
      <c r="M35" s="13">
        <f>D35*E35*K35+(F35+G35)*L35</f>
        <v>0</v>
      </c>
      <c r="N35" s="17"/>
      <c r="O35" s="13">
        <f>(F35+G35)*N35</f>
        <v>0</v>
      </c>
      <c r="P35" s="3">
        <v>0.7558</v>
      </c>
      <c r="Q35" s="13">
        <f>(F35+G35)*P35</f>
        <v>16574.694</v>
      </c>
      <c r="R35" s="13">
        <f>J35+M35+O35+Q35</f>
        <v>16574.694</v>
      </c>
    </row>
    <row r="36" spans="1:18" ht="15.75" thickBot="1">
      <c r="A36" s="24" t="s">
        <v>111</v>
      </c>
      <c r="B36" s="51">
        <v>2006</v>
      </c>
      <c r="C36" s="35" t="s">
        <v>33</v>
      </c>
      <c r="D36" s="36"/>
      <c r="E36" s="36"/>
      <c r="F36" s="38"/>
      <c r="G36" s="39">
        <f>'C-1 Monthly Volumes'!P16</f>
        <v>31864</v>
      </c>
      <c r="H36" s="12">
        <v>0</v>
      </c>
      <c r="I36" s="6">
        <v>0</v>
      </c>
      <c r="J36" s="13">
        <f>D36*E36*H36+(F36+G36)*I36</f>
        <v>0</v>
      </c>
      <c r="K36" s="12">
        <v>0</v>
      </c>
      <c r="L36" s="6">
        <v>0</v>
      </c>
      <c r="M36" s="13">
        <f>D36*E36*K36+(F36+G36)*L36</f>
        <v>0</v>
      </c>
      <c r="N36" s="17"/>
      <c r="O36" s="13">
        <f>(F36+G36)*N36</f>
        <v>0</v>
      </c>
      <c r="P36" s="3">
        <v>0.7558</v>
      </c>
      <c r="Q36" s="13">
        <f>(F36+G36)*P36</f>
        <v>24082.8112</v>
      </c>
      <c r="R36" s="13">
        <f>J36+M36+O36+Q36</f>
        <v>24082.8112</v>
      </c>
    </row>
    <row r="37" spans="1:18" ht="15.75" hidden="1" outlineLevel="1" thickBot="1">
      <c r="A37" s="24"/>
      <c r="B37" s="51"/>
      <c r="C37" s="35"/>
      <c r="D37" s="36"/>
      <c r="E37" s="36"/>
      <c r="F37" s="38"/>
      <c r="G37" s="39"/>
      <c r="H37" s="12"/>
      <c r="I37" s="6"/>
      <c r="J37" s="13"/>
      <c r="K37" s="12"/>
      <c r="L37" s="6"/>
      <c r="M37" s="13"/>
      <c r="N37" s="17"/>
      <c r="O37" s="13"/>
      <c r="P37" s="3"/>
      <c r="Q37" s="13"/>
      <c r="R37" s="13"/>
    </row>
    <row r="38" spans="1:18" ht="15.75" hidden="1" outlineLevel="1" thickBot="1">
      <c r="A38" s="24"/>
      <c r="B38" s="51"/>
      <c r="C38" s="35"/>
      <c r="D38" s="36"/>
      <c r="E38" s="36"/>
      <c r="F38" s="38"/>
      <c r="G38" s="39"/>
      <c r="H38" s="12"/>
      <c r="I38" s="6"/>
      <c r="J38" s="13"/>
      <c r="K38" s="12"/>
      <c r="L38" s="6"/>
      <c r="M38" s="13"/>
      <c r="N38" s="17"/>
      <c r="O38" s="13"/>
      <c r="P38" s="3"/>
      <c r="Q38" s="13"/>
      <c r="R38" s="13"/>
    </row>
    <row r="39" spans="1:18" ht="15.75" hidden="1" outlineLevel="1" thickBot="1">
      <c r="A39" s="24"/>
      <c r="B39" s="51"/>
      <c r="C39" s="35"/>
      <c r="D39" s="36"/>
      <c r="E39" s="36"/>
      <c r="F39" s="38"/>
      <c r="G39" s="39"/>
      <c r="H39" s="12"/>
      <c r="I39" s="6"/>
      <c r="J39" s="13"/>
      <c r="K39" s="12"/>
      <c r="L39" s="6"/>
      <c r="M39" s="13"/>
      <c r="N39" s="17"/>
      <c r="O39" s="13"/>
      <c r="P39" s="3"/>
      <c r="Q39" s="13"/>
      <c r="R39" s="13"/>
    </row>
    <row r="40" spans="1:18" ht="15.75" hidden="1" outlineLevel="1" thickBot="1">
      <c r="A40" s="24"/>
      <c r="B40" s="51"/>
      <c r="C40" s="35"/>
      <c r="D40" s="36"/>
      <c r="E40" s="36"/>
      <c r="F40" s="38"/>
      <c r="G40" s="39"/>
      <c r="H40" s="12"/>
      <c r="I40" s="6"/>
      <c r="J40" s="13"/>
      <c r="K40" s="12"/>
      <c r="L40" s="6"/>
      <c r="M40" s="13"/>
      <c r="N40" s="17"/>
      <c r="O40" s="13"/>
      <c r="P40" s="3"/>
      <c r="Q40" s="13"/>
      <c r="R40" s="13"/>
    </row>
    <row r="41" spans="1:18" ht="15.75" hidden="1" outlineLevel="1" thickBot="1">
      <c r="A41" s="24"/>
      <c r="B41" s="51"/>
      <c r="C41" s="35"/>
      <c r="D41" s="36"/>
      <c r="E41" s="36"/>
      <c r="F41" s="38"/>
      <c r="G41" s="39"/>
      <c r="H41" s="12"/>
      <c r="I41" s="6"/>
      <c r="J41" s="13"/>
      <c r="K41" s="12"/>
      <c r="L41" s="6"/>
      <c r="M41" s="13"/>
      <c r="N41" s="17"/>
      <c r="O41" s="13"/>
      <c r="P41" s="3"/>
      <c r="Q41" s="13"/>
      <c r="R41" s="13"/>
    </row>
    <row r="42" spans="1:18" ht="15.75" hidden="1" outlineLevel="1" thickBot="1">
      <c r="A42" s="24"/>
      <c r="B42" s="51"/>
      <c r="C42" s="35"/>
      <c r="D42" s="36"/>
      <c r="E42" s="36"/>
      <c r="F42" s="38"/>
      <c r="G42" s="39"/>
      <c r="H42" s="12"/>
      <c r="I42" s="6"/>
      <c r="J42" s="13"/>
      <c r="K42" s="12"/>
      <c r="L42" s="6"/>
      <c r="M42" s="13"/>
      <c r="N42" s="17"/>
      <c r="O42" s="13"/>
      <c r="P42" s="3"/>
      <c r="Q42" s="13"/>
      <c r="R42" s="13"/>
    </row>
    <row r="43" spans="1:18" ht="15.75" hidden="1" outlineLevel="1" thickBot="1">
      <c r="A43" s="24"/>
      <c r="B43" s="51"/>
      <c r="C43" s="35"/>
      <c r="D43" s="36"/>
      <c r="E43" s="36"/>
      <c r="F43" s="38"/>
      <c r="G43" s="39"/>
      <c r="H43" s="12"/>
      <c r="I43" s="6"/>
      <c r="J43" s="13"/>
      <c r="K43" s="12"/>
      <c r="L43" s="6"/>
      <c r="M43" s="13"/>
      <c r="N43" s="17"/>
      <c r="O43" s="13"/>
      <c r="P43" s="3"/>
      <c r="Q43" s="13"/>
      <c r="R43" s="13"/>
    </row>
    <row r="44" spans="1:18" ht="15.75" collapsed="1" thickBot="1">
      <c r="A44" s="53" t="s">
        <v>113</v>
      </c>
      <c r="B44" s="54"/>
      <c r="C44" s="55"/>
      <c r="D44" s="56">
        <f>SUM(D32:D43)</f>
        <v>0</v>
      </c>
      <c r="E44" s="56"/>
      <c r="F44" s="56">
        <f>SUM(F32:F43)</f>
        <v>0</v>
      </c>
      <c r="G44" s="57">
        <f>SUM(G32:G43)</f>
        <v>124031.7</v>
      </c>
      <c r="H44" s="58"/>
      <c r="I44" s="59"/>
      <c r="J44" s="60">
        <f>SUM(J32:J43)</f>
        <v>0</v>
      </c>
      <c r="K44" s="58"/>
      <c r="L44" s="59"/>
      <c r="M44" s="60">
        <f>SUM(M32:M43)</f>
        <v>0</v>
      </c>
      <c r="N44" s="61"/>
      <c r="O44" s="60">
        <f>SUM(O32:O43)</f>
        <v>0</v>
      </c>
      <c r="P44" s="61"/>
      <c r="Q44" s="60">
        <f>SUM(Q32:Q43)</f>
        <v>93743.15886</v>
      </c>
      <c r="R44" s="60">
        <f>SUM(R32:R43)</f>
        <v>93743.15886</v>
      </c>
    </row>
    <row r="45" spans="1:18" ht="15">
      <c r="A45" s="24"/>
      <c r="B45" s="51"/>
      <c r="C45" s="35"/>
      <c r="D45" s="36"/>
      <c r="E45" s="36"/>
      <c r="F45" s="38"/>
      <c r="G45" s="39"/>
      <c r="H45" s="12"/>
      <c r="I45" s="6"/>
      <c r="J45" s="13"/>
      <c r="K45" s="12"/>
      <c r="L45" s="6"/>
      <c r="M45" s="13"/>
      <c r="N45" s="17"/>
      <c r="O45" s="13"/>
      <c r="P45" s="17"/>
      <c r="Q45" s="13"/>
      <c r="R45" s="13"/>
    </row>
    <row r="46" spans="1:18" ht="15">
      <c r="A46" s="24" t="s">
        <v>112</v>
      </c>
      <c r="B46" s="51">
        <v>2006</v>
      </c>
      <c r="C46" s="35" t="s">
        <v>34</v>
      </c>
      <c r="D46" s="36"/>
      <c r="E46" s="36"/>
      <c r="F46" s="38"/>
      <c r="G46" s="39">
        <f>'C-1 Monthly Volumes'!P22</f>
        <v>10918.5</v>
      </c>
      <c r="H46" s="12">
        <v>0</v>
      </c>
      <c r="I46" s="6">
        <v>0</v>
      </c>
      <c r="J46" s="13">
        <f>D46*E46*H46+(F46+G46)*I46</f>
        <v>0</v>
      </c>
      <c r="K46" s="12">
        <v>0</v>
      </c>
      <c r="L46" s="6">
        <v>0</v>
      </c>
      <c r="M46" s="13">
        <f>D46*E46*K46+(F46+G46)*L46</f>
        <v>0</v>
      </c>
      <c r="N46" s="17"/>
      <c r="O46" s="13">
        <f>(F46+G46)*N46</f>
        <v>0</v>
      </c>
      <c r="P46" s="5">
        <v>0.2167</v>
      </c>
      <c r="Q46" s="13">
        <f>(F46+G46)*P46</f>
        <v>2366.03895</v>
      </c>
      <c r="R46" s="13">
        <f>J46+M46+O46+Q46</f>
        <v>2366.03895</v>
      </c>
    </row>
    <row r="47" spans="1:18" ht="15">
      <c r="A47" s="24" t="s">
        <v>112</v>
      </c>
      <c r="B47" s="51">
        <v>2006</v>
      </c>
      <c r="C47" s="35" t="s">
        <v>35</v>
      </c>
      <c r="D47" s="36"/>
      <c r="E47" s="36"/>
      <c r="F47" s="38"/>
      <c r="G47" s="39">
        <f>'C-1 Monthly Volumes'!P23</f>
        <v>11168.5</v>
      </c>
      <c r="H47" s="12">
        <v>0</v>
      </c>
      <c r="I47" s="6">
        <v>0</v>
      </c>
      <c r="J47" s="13">
        <f>D47*E47*H47+(F47+G47)*I47</f>
        <v>0</v>
      </c>
      <c r="K47" s="12">
        <v>0</v>
      </c>
      <c r="L47" s="6">
        <v>0</v>
      </c>
      <c r="M47" s="13">
        <f>D47*E47*K47+(F47+G47)*L47</f>
        <v>0</v>
      </c>
      <c r="N47" s="17"/>
      <c r="O47" s="13">
        <f>(F47+G47)*N47</f>
        <v>0</v>
      </c>
      <c r="P47" s="5">
        <v>0.2167</v>
      </c>
      <c r="Q47" s="13">
        <f>(F47+G47)*P47</f>
        <v>2420.21395</v>
      </c>
      <c r="R47" s="13">
        <f>J47+M47+O47+Q47</f>
        <v>2420.21395</v>
      </c>
    </row>
    <row r="48" spans="1:18" ht="15">
      <c r="A48" s="24" t="s">
        <v>112</v>
      </c>
      <c r="B48" s="51">
        <v>2006</v>
      </c>
      <c r="C48" s="35" t="s">
        <v>36</v>
      </c>
      <c r="D48" s="36"/>
      <c r="E48" s="36"/>
      <c r="F48" s="38"/>
      <c r="G48" s="39">
        <f>'C-1 Monthly Volumes'!P24</f>
        <v>10698.1</v>
      </c>
      <c r="H48" s="12">
        <v>0</v>
      </c>
      <c r="I48" s="6">
        <v>0</v>
      </c>
      <c r="J48" s="13">
        <f>D48*E48*H48+(F48+G48)*I48</f>
        <v>0</v>
      </c>
      <c r="K48" s="12">
        <v>0</v>
      </c>
      <c r="L48" s="6">
        <v>0</v>
      </c>
      <c r="M48" s="13">
        <f>D48*E48*K48+(F48+G48)*L48</f>
        <v>0</v>
      </c>
      <c r="N48" s="17"/>
      <c r="O48" s="13">
        <f>(F48+G48)*N48</f>
        <v>0</v>
      </c>
      <c r="P48" s="5">
        <v>0.2167</v>
      </c>
      <c r="Q48" s="13">
        <f>(F48+G48)*P48</f>
        <v>2318.2782700000002</v>
      </c>
      <c r="R48" s="13">
        <f>J48+M48+O48+Q48</f>
        <v>2318.2782700000002</v>
      </c>
    </row>
    <row r="49" spans="1:18" ht="15">
      <c r="A49" s="24" t="s">
        <v>112</v>
      </c>
      <c r="B49" s="51">
        <v>2006</v>
      </c>
      <c r="C49" s="35" t="s">
        <v>37</v>
      </c>
      <c r="D49" s="36"/>
      <c r="E49" s="36"/>
      <c r="F49" s="38"/>
      <c r="G49" s="39">
        <f>'C-1 Monthly Volumes'!P25</f>
        <v>11375</v>
      </c>
      <c r="H49" s="12">
        <v>0</v>
      </c>
      <c r="I49" s="6">
        <v>0</v>
      </c>
      <c r="J49" s="13">
        <f>D49*E49*H49+(F49+G49)*I49</f>
        <v>0</v>
      </c>
      <c r="K49" s="12">
        <v>0</v>
      </c>
      <c r="L49" s="6">
        <v>0</v>
      </c>
      <c r="M49" s="13">
        <f>D49*E49*K49+(F49+G49)*L49</f>
        <v>0</v>
      </c>
      <c r="N49" s="17"/>
      <c r="O49" s="13">
        <f>(F49+G49)*N49</f>
        <v>0</v>
      </c>
      <c r="P49" s="5">
        <v>0.2167</v>
      </c>
      <c r="Q49" s="13">
        <f>(F49+G49)*P49</f>
        <v>2464.9625</v>
      </c>
      <c r="R49" s="13">
        <f>J49+M49+O49+Q49</f>
        <v>2464.9625</v>
      </c>
    </row>
    <row r="50" spans="1:18" ht="15.75" thickBot="1">
      <c r="A50" s="24" t="s">
        <v>112</v>
      </c>
      <c r="B50" s="51">
        <v>2006</v>
      </c>
      <c r="C50" s="35" t="s">
        <v>33</v>
      </c>
      <c r="D50" s="36"/>
      <c r="E50" s="36"/>
      <c r="F50" s="38"/>
      <c r="G50" s="39">
        <f>'C-1 Monthly Volumes'!P34</f>
        <v>10830</v>
      </c>
      <c r="H50" s="12">
        <v>0</v>
      </c>
      <c r="I50" s="6">
        <v>0</v>
      </c>
      <c r="J50" s="13">
        <f>D50*E50*H50+(F50+G50)*I50</f>
        <v>0</v>
      </c>
      <c r="K50" s="12">
        <v>0</v>
      </c>
      <c r="L50" s="6">
        <v>0</v>
      </c>
      <c r="M50" s="13">
        <f>D50*E50*K50+(F50+G50)*L50</f>
        <v>0</v>
      </c>
      <c r="N50" s="17"/>
      <c r="O50" s="13">
        <f>(F50+G50)*N50</f>
        <v>0</v>
      </c>
      <c r="P50" s="5">
        <v>0.2167</v>
      </c>
      <c r="Q50" s="13">
        <f>(F50+G50)*P50</f>
        <v>2346.861</v>
      </c>
      <c r="R50" s="13">
        <f>J50+M50+O50+Q50</f>
        <v>2346.861</v>
      </c>
    </row>
    <row r="51" spans="1:18" ht="15.75" hidden="1" outlineLevel="1" thickBot="1">
      <c r="A51" s="24"/>
      <c r="B51" s="51"/>
      <c r="C51" s="35"/>
      <c r="D51" s="36"/>
      <c r="E51" s="36"/>
      <c r="F51" s="38"/>
      <c r="G51" s="39"/>
      <c r="H51" s="12"/>
      <c r="I51" s="6"/>
      <c r="J51" s="13"/>
      <c r="K51" s="12"/>
      <c r="L51" s="6"/>
      <c r="M51" s="13"/>
      <c r="N51" s="17"/>
      <c r="O51" s="13"/>
      <c r="P51" s="5"/>
      <c r="Q51" s="13"/>
      <c r="R51" s="13"/>
    </row>
    <row r="52" spans="1:18" ht="15.75" hidden="1" outlineLevel="1" thickBot="1">
      <c r="A52" s="24"/>
      <c r="B52" s="51"/>
      <c r="C52" s="35"/>
      <c r="D52" s="36"/>
      <c r="E52" s="36"/>
      <c r="F52" s="38"/>
      <c r="G52" s="39"/>
      <c r="H52" s="12"/>
      <c r="I52" s="6"/>
      <c r="J52" s="13"/>
      <c r="K52" s="12"/>
      <c r="L52" s="6"/>
      <c r="M52" s="13"/>
      <c r="N52" s="17"/>
      <c r="O52" s="13"/>
      <c r="P52" s="5"/>
      <c r="Q52" s="13"/>
      <c r="R52" s="13"/>
    </row>
    <row r="53" spans="1:18" ht="15.75" hidden="1" outlineLevel="1" thickBot="1">
      <c r="A53" s="24"/>
      <c r="B53" s="51"/>
      <c r="C53" s="35"/>
      <c r="D53" s="36"/>
      <c r="E53" s="36"/>
      <c r="F53" s="38"/>
      <c r="G53" s="39"/>
      <c r="H53" s="12"/>
      <c r="I53" s="6"/>
      <c r="J53" s="13"/>
      <c r="K53" s="12"/>
      <c r="L53" s="6"/>
      <c r="M53" s="13"/>
      <c r="N53" s="17"/>
      <c r="O53" s="13"/>
      <c r="P53" s="5"/>
      <c r="Q53" s="13"/>
      <c r="R53" s="13"/>
    </row>
    <row r="54" spans="1:18" ht="15.75" hidden="1" outlineLevel="1" thickBot="1">
      <c r="A54" s="24"/>
      <c r="B54" s="51"/>
      <c r="C54" s="35"/>
      <c r="D54" s="36"/>
      <c r="E54" s="36"/>
      <c r="F54" s="38"/>
      <c r="G54" s="39"/>
      <c r="H54" s="12"/>
      <c r="I54" s="6"/>
      <c r="J54" s="13"/>
      <c r="K54" s="12"/>
      <c r="L54" s="6"/>
      <c r="M54" s="13"/>
      <c r="N54" s="17"/>
      <c r="O54" s="13"/>
      <c r="P54" s="5"/>
      <c r="Q54" s="13"/>
      <c r="R54" s="13"/>
    </row>
    <row r="55" spans="1:18" ht="15.75" hidden="1" outlineLevel="1" thickBot="1">
      <c r="A55" s="24"/>
      <c r="B55" s="51"/>
      <c r="C55" s="35"/>
      <c r="D55" s="36"/>
      <c r="E55" s="36"/>
      <c r="F55" s="38"/>
      <c r="G55" s="39"/>
      <c r="H55" s="12"/>
      <c r="I55" s="6"/>
      <c r="J55" s="13"/>
      <c r="K55" s="12"/>
      <c r="L55" s="6"/>
      <c r="M55" s="13"/>
      <c r="N55" s="17"/>
      <c r="O55" s="13"/>
      <c r="P55" s="5"/>
      <c r="Q55" s="13"/>
      <c r="R55" s="13"/>
    </row>
    <row r="56" spans="1:18" ht="15.75" hidden="1" outlineLevel="1" thickBot="1">
      <c r="A56" s="24"/>
      <c r="B56" s="51"/>
      <c r="C56" s="35"/>
      <c r="D56" s="36"/>
      <c r="E56" s="36"/>
      <c r="F56" s="38"/>
      <c r="G56" s="39"/>
      <c r="H56" s="12"/>
      <c r="I56" s="6"/>
      <c r="J56" s="13"/>
      <c r="K56" s="12"/>
      <c r="L56" s="6"/>
      <c r="M56" s="13"/>
      <c r="N56" s="17"/>
      <c r="O56" s="13"/>
      <c r="P56" s="5"/>
      <c r="Q56" s="13"/>
      <c r="R56" s="13"/>
    </row>
    <row r="57" spans="1:18" ht="15.75" hidden="1" outlineLevel="1" thickBot="1">
      <c r="A57" s="24"/>
      <c r="B57" s="51"/>
      <c r="C57" s="35"/>
      <c r="D57" s="36"/>
      <c r="E57" s="36"/>
      <c r="F57" s="38"/>
      <c r="G57" s="39"/>
      <c r="H57" s="12"/>
      <c r="I57" s="6"/>
      <c r="J57" s="13"/>
      <c r="K57" s="12"/>
      <c r="L57" s="6"/>
      <c r="M57" s="13"/>
      <c r="N57" s="17"/>
      <c r="O57" s="13"/>
      <c r="P57" s="5"/>
      <c r="Q57" s="13"/>
      <c r="R57" s="13"/>
    </row>
    <row r="58" spans="1:18" ht="15.75" collapsed="1" thickBot="1">
      <c r="A58" s="53" t="s">
        <v>114</v>
      </c>
      <c r="B58" s="54"/>
      <c r="C58" s="55"/>
      <c r="D58" s="56">
        <f>SUM(D46:D57)</f>
        <v>0</v>
      </c>
      <c r="E58" s="56"/>
      <c r="F58" s="56">
        <f>SUM(F46:F57)</f>
        <v>0</v>
      </c>
      <c r="G58" s="57">
        <f>SUM(G46:G57)</f>
        <v>54990.1</v>
      </c>
      <c r="H58" s="58"/>
      <c r="I58" s="59"/>
      <c r="J58" s="60">
        <f>SUM(J46:J57)</f>
        <v>0</v>
      </c>
      <c r="K58" s="58"/>
      <c r="L58" s="59"/>
      <c r="M58" s="60">
        <f>SUM(M46:M57)</f>
        <v>0</v>
      </c>
      <c r="N58" s="61"/>
      <c r="O58" s="60">
        <f>SUM(O46:O57)</f>
        <v>0</v>
      </c>
      <c r="P58" s="61"/>
      <c r="Q58" s="60">
        <f>SUM(Q46:Q57)</f>
        <v>11916.35467</v>
      </c>
      <c r="R58" s="60">
        <f>SUM(R46:R57)</f>
        <v>11916.35467</v>
      </c>
    </row>
    <row r="59" spans="1:18" ht="15">
      <c r="A59" s="24"/>
      <c r="B59" s="51"/>
      <c r="C59" s="35"/>
      <c r="D59" s="36"/>
      <c r="E59" s="36"/>
      <c r="F59" s="38"/>
      <c r="G59" s="39"/>
      <c r="H59" s="14"/>
      <c r="I59" s="6"/>
      <c r="J59" s="13"/>
      <c r="K59" s="14"/>
      <c r="L59" s="6"/>
      <c r="M59" s="13"/>
      <c r="N59" s="17"/>
      <c r="O59" s="13"/>
      <c r="P59" s="17"/>
      <c r="Q59" s="13"/>
      <c r="R59" s="13"/>
    </row>
    <row r="60" spans="1:18" ht="15">
      <c r="A60" s="24" t="s">
        <v>2</v>
      </c>
      <c r="B60" s="51">
        <v>2006</v>
      </c>
      <c r="C60" s="35" t="s">
        <v>34</v>
      </c>
      <c r="D60" s="36"/>
      <c r="E60" s="36"/>
      <c r="F60" s="38"/>
      <c r="G60" s="39">
        <f>'C-1 Monthly Volumes'!G41</f>
        <v>98.75277777777778</v>
      </c>
      <c r="H60" s="12">
        <v>0</v>
      </c>
      <c r="I60" s="6">
        <v>0</v>
      </c>
      <c r="J60" s="13">
        <f>D60*E60*H60+(F60+G60)*I60</f>
        <v>0</v>
      </c>
      <c r="K60" s="12">
        <v>0</v>
      </c>
      <c r="L60" s="6">
        <v>0</v>
      </c>
      <c r="M60" s="13">
        <f>D60*E60*K60+(F60+G60)*L60</f>
        <v>0</v>
      </c>
      <c r="N60" s="17"/>
      <c r="O60" s="13">
        <f>(F60+G60)*N60</f>
        <v>0</v>
      </c>
      <c r="P60" s="5">
        <v>1.6449</v>
      </c>
      <c r="Q60" s="13">
        <f>(F60+G60)*P60</f>
        <v>162.43844416666667</v>
      </c>
      <c r="R60" s="13">
        <f>J60+M60+O60+Q60</f>
        <v>162.43844416666667</v>
      </c>
    </row>
    <row r="61" spans="1:18" ht="15">
      <c r="A61" s="24" t="s">
        <v>2</v>
      </c>
      <c r="B61" s="51">
        <v>2006</v>
      </c>
      <c r="C61" s="35" t="s">
        <v>35</v>
      </c>
      <c r="D61" s="36"/>
      <c r="E61" s="36"/>
      <c r="F61" s="38"/>
      <c r="G61" s="39">
        <f>'C-1 Monthly Volumes'!G42</f>
        <v>108.00833333333334</v>
      </c>
      <c r="H61" s="12">
        <v>0</v>
      </c>
      <c r="I61" s="6">
        <v>0</v>
      </c>
      <c r="J61" s="13">
        <f>D61*E61*H61+(F61+G61)*I61</f>
        <v>0</v>
      </c>
      <c r="K61" s="12">
        <v>0</v>
      </c>
      <c r="L61" s="6">
        <v>0</v>
      </c>
      <c r="M61" s="13">
        <f>D61*E61*K61+(F61+G61)*L61</f>
        <v>0</v>
      </c>
      <c r="N61" s="17"/>
      <c r="O61" s="13">
        <f>(F61+G61)*N61</f>
        <v>0</v>
      </c>
      <c r="P61" s="5">
        <v>1.6449</v>
      </c>
      <c r="Q61" s="13">
        <f>(F61+G61)*P61</f>
        <v>177.66290750000002</v>
      </c>
      <c r="R61" s="13">
        <f>J61+M61+O61+Q61</f>
        <v>177.66290750000002</v>
      </c>
    </row>
    <row r="62" spans="1:18" ht="15">
      <c r="A62" s="24" t="s">
        <v>2</v>
      </c>
      <c r="B62" s="51">
        <v>2006</v>
      </c>
      <c r="C62" s="35" t="s">
        <v>36</v>
      </c>
      <c r="D62" s="36"/>
      <c r="E62" s="36"/>
      <c r="F62" s="38"/>
      <c r="G62" s="39">
        <f>'C-1 Monthly Volumes'!G43</f>
        <v>94.20833333333331</v>
      </c>
      <c r="H62" s="12">
        <v>0</v>
      </c>
      <c r="I62" s="6">
        <v>0</v>
      </c>
      <c r="J62" s="13">
        <f>D62*E62*H62+(F62+G62)*I62</f>
        <v>0</v>
      </c>
      <c r="K62" s="12">
        <v>0</v>
      </c>
      <c r="L62" s="6">
        <v>0</v>
      </c>
      <c r="M62" s="13">
        <f>D62*E62*K62+(F62+G62)*L62</f>
        <v>0</v>
      </c>
      <c r="N62" s="17"/>
      <c r="O62" s="13">
        <f>(F62+G62)*N62</f>
        <v>0</v>
      </c>
      <c r="P62" s="5">
        <v>1.6449</v>
      </c>
      <c r="Q62" s="13">
        <f>(F62+G62)*P62</f>
        <v>154.96328749999998</v>
      </c>
      <c r="R62" s="13">
        <f>J62+M62+O62+Q62</f>
        <v>154.96328749999998</v>
      </c>
    </row>
    <row r="63" spans="1:18" ht="15">
      <c r="A63" s="24" t="s">
        <v>2</v>
      </c>
      <c r="B63" s="51">
        <v>2006</v>
      </c>
      <c r="C63" s="35" t="s">
        <v>37</v>
      </c>
      <c r="D63" s="36"/>
      <c r="E63" s="36"/>
      <c r="F63" s="38"/>
      <c r="G63" s="39">
        <f>'C-1 Monthly Volumes'!G44</f>
        <v>99</v>
      </c>
      <c r="H63" s="12">
        <v>0</v>
      </c>
      <c r="I63" s="6">
        <v>0</v>
      </c>
      <c r="J63" s="13">
        <f>D63*E63*H63+(F63+G63)*I63</f>
        <v>0</v>
      </c>
      <c r="K63" s="12">
        <v>0</v>
      </c>
      <c r="L63" s="6">
        <v>0</v>
      </c>
      <c r="M63" s="13">
        <f>D63*E63*K63+(F63+G63)*L63</f>
        <v>0</v>
      </c>
      <c r="N63" s="17"/>
      <c r="O63" s="13">
        <f>(F63+G63)*N63</f>
        <v>0</v>
      </c>
      <c r="P63" s="5">
        <v>1.6449</v>
      </c>
      <c r="Q63" s="13">
        <f>(F63+G63)*P63</f>
        <v>162.8451</v>
      </c>
      <c r="R63" s="13">
        <f>J63+M63+O63+Q63</f>
        <v>162.8451</v>
      </c>
    </row>
    <row r="64" spans="1:18" ht="15.75" thickBot="1">
      <c r="A64" s="24" t="s">
        <v>2</v>
      </c>
      <c r="B64" s="51">
        <v>2006</v>
      </c>
      <c r="C64" s="35" t="s">
        <v>33</v>
      </c>
      <c r="D64" s="36"/>
      <c r="E64" s="36"/>
      <c r="F64" s="38"/>
      <c r="G64" s="39">
        <f>'C-1 Monthly Volumes'!G53</f>
        <v>130</v>
      </c>
      <c r="H64" s="12">
        <v>0</v>
      </c>
      <c r="I64" s="6">
        <v>0</v>
      </c>
      <c r="J64" s="13">
        <f>D64*E64*H64+(F64+G64)*I64</f>
        <v>0</v>
      </c>
      <c r="K64" s="12">
        <v>0</v>
      </c>
      <c r="L64" s="6">
        <v>0</v>
      </c>
      <c r="M64" s="13">
        <f>D64*E64*K64+(F64+G64)*L64</f>
        <v>0</v>
      </c>
      <c r="N64" s="17"/>
      <c r="O64" s="13">
        <f>(F64+G64)*N64</f>
        <v>0</v>
      </c>
      <c r="P64" s="5">
        <v>1.6449</v>
      </c>
      <c r="Q64" s="13">
        <f>(F64+G64)*P64</f>
        <v>213.83700000000002</v>
      </c>
      <c r="R64" s="13">
        <f>J64+M64+O64+Q64</f>
        <v>213.83700000000002</v>
      </c>
    </row>
    <row r="65" spans="1:18" ht="15.75" hidden="1" outlineLevel="1" thickBot="1">
      <c r="A65" s="24"/>
      <c r="B65" s="51"/>
      <c r="C65" s="35"/>
      <c r="D65" s="36"/>
      <c r="E65" s="36"/>
      <c r="F65" s="38"/>
      <c r="G65" s="39"/>
      <c r="H65" s="12"/>
      <c r="I65" s="6"/>
      <c r="J65" s="13"/>
      <c r="K65" s="12"/>
      <c r="L65" s="6"/>
      <c r="M65" s="13"/>
      <c r="N65" s="17"/>
      <c r="O65" s="13"/>
      <c r="P65" s="5"/>
      <c r="Q65" s="13"/>
      <c r="R65" s="13"/>
    </row>
    <row r="66" spans="1:18" ht="15.75" hidden="1" outlineLevel="1" thickBot="1">
      <c r="A66" s="24"/>
      <c r="B66" s="51"/>
      <c r="C66" s="35"/>
      <c r="D66" s="36"/>
      <c r="E66" s="36"/>
      <c r="F66" s="38"/>
      <c r="G66" s="39"/>
      <c r="H66" s="12"/>
      <c r="I66" s="6"/>
      <c r="J66" s="13"/>
      <c r="K66" s="12"/>
      <c r="L66" s="6"/>
      <c r="M66" s="13"/>
      <c r="N66" s="17"/>
      <c r="O66" s="13"/>
      <c r="P66" s="5"/>
      <c r="Q66" s="13"/>
      <c r="R66" s="13"/>
    </row>
    <row r="67" spans="1:18" ht="15.75" hidden="1" outlineLevel="1" thickBot="1">
      <c r="A67" s="24"/>
      <c r="B67" s="51"/>
      <c r="C67" s="35"/>
      <c r="D67" s="36"/>
      <c r="E67" s="36"/>
      <c r="F67" s="38"/>
      <c r="G67" s="39"/>
      <c r="H67" s="12"/>
      <c r="I67" s="6"/>
      <c r="J67" s="13"/>
      <c r="K67" s="12"/>
      <c r="L67" s="6"/>
      <c r="M67" s="13"/>
      <c r="N67" s="17"/>
      <c r="O67" s="13"/>
      <c r="P67" s="5"/>
      <c r="Q67" s="13"/>
      <c r="R67" s="13"/>
    </row>
    <row r="68" spans="1:18" ht="15.75" hidden="1" outlineLevel="1" thickBot="1">
      <c r="A68" s="24"/>
      <c r="B68" s="51"/>
      <c r="C68" s="35"/>
      <c r="D68" s="36"/>
      <c r="E68" s="36"/>
      <c r="F68" s="38"/>
      <c r="G68" s="39"/>
      <c r="H68" s="12"/>
      <c r="I68" s="6"/>
      <c r="J68" s="13"/>
      <c r="K68" s="12"/>
      <c r="L68" s="6"/>
      <c r="M68" s="13"/>
      <c r="N68" s="17"/>
      <c r="O68" s="13"/>
      <c r="P68" s="5"/>
      <c r="Q68" s="13"/>
      <c r="R68" s="13"/>
    </row>
    <row r="69" spans="1:18" ht="15.75" hidden="1" outlineLevel="1" thickBot="1">
      <c r="A69" s="24"/>
      <c r="B69" s="51"/>
      <c r="C69" s="35"/>
      <c r="D69" s="36"/>
      <c r="E69" s="36"/>
      <c r="F69" s="38"/>
      <c r="G69" s="39"/>
      <c r="H69" s="12"/>
      <c r="I69" s="6"/>
      <c r="J69" s="13"/>
      <c r="K69" s="12"/>
      <c r="L69" s="6"/>
      <c r="M69" s="13"/>
      <c r="N69" s="17"/>
      <c r="O69" s="13"/>
      <c r="P69" s="5"/>
      <c r="Q69" s="13"/>
      <c r="R69" s="13"/>
    </row>
    <row r="70" spans="1:18" ht="15.75" hidden="1" outlineLevel="1" thickBot="1">
      <c r="A70" s="24"/>
      <c r="B70" s="51"/>
      <c r="C70" s="35"/>
      <c r="D70" s="36"/>
      <c r="E70" s="36"/>
      <c r="F70" s="38"/>
      <c r="G70" s="39"/>
      <c r="H70" s="12"/>
      <c r="I70" s="6"/>
      <c r="J70" s="13"/>
      <c r="K70" s="12"/>
      <c r="L70" s="6"/>
      <c r="M70" s="13"/>
      <c r="N70" s="17"/>
      <c r="O70" s="13"/>
      <c r="P70" s="5"/>
      <c r="Q70" s="13"/>
      <c r="R70" s="13"/>
    </row>
    <row r="71" spans="1:18" ht="15.75" hidden="1" outlineLevel="1" thickBot="1">
      <c r="A71" s="24"/>
      <c r="B71" s="51"/>
      <c r="C71" s="35"/>
      <c r="D71" s="36"/>
      <c r="E71" s="36"/>
      <c r="F71" s="38"/>
      <c r="G71" s="39"/>
      <c r="H71" s="12"/>
      <c r="I71" s="6"/>
      <c r="J71" s="13"/>
      <c r="K71" s="12"/>
      <c r="L71" s="6"/>
      <c r="M71" s="13"/>
      <c r="N71" s="17"/>
      <c r="O71" s="13"/>
      <c r="P71" s="5"/>
      <c r="Q71" s="13"/>
      <c r="R71" s="13"/>
    </row>
    <row r="72" spans="1:18" ht="15.75" collapsed="1" thickBot="1">
      <c r="A72" s="53" t="s">
        <v>54</v>
      </c>
      <c r="B72" s="54"/>
      <c r="C72" s="55"/>
      <c r="D72" s="56">
        <f>SUM(D60:D71)</f>
        <v>0</v>
      </c>
      <c r="E72" s="56"/>
      <c r="F72" s="56">
        <f>SUM(F60:F71)</f>
        <v>0</v>
      </c>
      <c r="G72" s="57">
        <f>SUM(G60:G71)</f>
        <v>529.9694444444444</v>
      </c>
      <c r="H72" s="58"/>
      <c r="I72" s="59"/>
      <c r="J72" s="60">
        <f>SUM(J60:J71)</f>
        <v>0</v>
      </c>
      <c r="K72" s="58"/>
      <c r="L72" s="59"/>
      <c r="M72" s="60">
        <f>SUM(M60:M71)</f>
        <v>0</v>
      </c>
      <c r="N72" s="61"/>
      <c r="O72" s="60">
        <f>SUM(O60:O71)</f>
        <v>0</v>
      </c>
      <c r="P72" s="61"/>
      <c r="Q72" s="60">
        <f>SUM(Q60:Q71)</f>
        <v>871.7467391666667</v>
      </c>
      <c r="R72" s="60">
        <f>SUM(R60:R71)</f>
        <v>871.7467391666667</v>
      </c>
    </row>
    <row r="73" spans="1:18" ht="15">
      <c r="A73" s="24"/>
      <c r="B73" s="51"/>
      <c r="C73" s="35"/>
      <c r="D73" s="36"/>
      <c r="E73" s="36"/>
      <c r="F73" s="38"/>
      <c r="G73" s="39"/>
      <c r="H73" s="14"/>
      <c r="I73" s="6"/>
      <c r="J73" s="13"/>
      <c r="K73" s="14"/>
      <c r="L73" s="6"/>
      <c r="M73" s="13"/>
      <c r="N73" s="17"/>
      <c r="O73" s="13"/>
      <c r="P73" s="17"/>
      <c r="Q73" s="13"/>
      <c r="R73" s="13"/>
    </row>
    <row r="74" spans="1:18" ht="15">
      <c r="A74" s="24" t="s">
        <v>3</v>
      </c>
      <c r="B74" s="51">
        <v>2006</v>
      </c>
      <c r="C74" s="35" t="s">
        <v>34</v>
      </c>
      <c r="D74" s="36"/>
      <c r="E74" s="36"/>
      <c r="F74" s="38"/>
      <c r="G74" s="39">
        <f>'C-1 Monthly Volumes'!P41</f>
        <v>587</v>
      </c>
      <c r="H74" s="12">
        <v>0</v>
      </c>
      <c r="I74" s="6">
        <v>0</v>
      </c>
      <c r="J74" s="13">
        <f>D74*E74*H74+(F74+G74)*I74</f>
        <v>0</v>
      </c>
      <c r="K74" s="12">
        <v>0</v>
      </c>
      <c r="L74" s="6">
        <v>0</v>
      </c>
      <c r="M74" s="13">
        <f>D74*E74*K74+(F74+G74)*L74</f>
        <v>0</v>
      </c>
      <c r="N74" s="17"/>
      <c r="O74" s="13">
        <f>(F74+G74)*N74</f>
        <v>0</v>
      </c>
      <c r="P74" s="5">
        <v>1.477</v>
      </c>
      <c r="Q74" s="13">
        <f>(F74+G74)*P74</f>
        <v>866.999</v>
      </c>
      <c r="R74" s="13">
        <f>J74+M74+O74+Q74</f>
        <v>866.999</v>
      </c>
    </row>
    <row r="75" spans="1:18" ht="15">
      <c r="A75" s="24" t="s">
        <v>3</v>
      </c>
      <c r="B75" s="51">
        <v>2006</v>
      </c>
      <c r="C75" s="35" t="s">
        <v>35</v>
      </c>
      <c r="D75" s="36"/>
      <c r="E75" s="36"/>
      <c r="F75" s="38"/>
      <c r="G75" s="39">
        <f>'C-1 Monthly Volumes'!P42</f>
        <v>587</v>
      </c>
      <c r="H75" s="12">
        <v>0</v>
      </c>
      <c r="I75" s="6">
        <v>0</v>
      </c>
      <c r="J75" s="13">
        <f>D75*E75*H75+(F75+G75)*I75</f>
        <v>0</v>
      </c>
      <c r="K75" s="12">
        <v>0</v>
      </c>
      <c r="L75" s="6">
        <v>0</v>
      </c>
      <c r="M75" s="13">
        <f>D75*E75*K75+(F75+G75)*L75</f>
        <v>0</v>
      </c>
      <c r="N75" s="17"/>
      <c r="O75" s="13">
        <f>(F75+G75)*N75</f>
        <v>0</v>
      </c>
      <c r="P75" s="5">
        <v>1.477</v>
      </c>
      <c r="Q75" s="13">
        <f>(F75+G75)*P75</f>
        <v>866.999</v>
      </c>
      <c r="R75" s="13">
        <f>J75+M75+O75+Q75</f>
        <v>866.999</v>
      </c>
    </row>
    <row r="76" spans="1:18" ht="15">
      <c r="A76" s="24" t="s">
        <v>3</v>
      </c>
      <c r="B76" s="51">
        <v>2006</v>
      </c>
      <c r="C76" s="35" t="s">
        <v>36</v>
      </c>
      <c r="D76" s="36"/>
      <c r="E76" s="36"/>
      <c r="F76" s="38"/>
      <c r="G76" s="39">
        <f>'C-1 Monthly Volumes'!P43</f>
        <v>587</v>
      </c>
      <c r="H76" s="12">
        <v>0</v>
      </c>
      <c r="I76" s="6">
        <v>0</v>
      </c>
      <c r="J76" s="13">
        <f>D76*E76*H76+(F76+G76)*I76</f>
        <v>0</v>
      </c>
      <c r="K76" s="12">
        <v>0</v>
      </c>
      <c r="L76" s="6">
        <v>0</v>
      </c>
      <c r="M76" s="13">
        <f>D76*E76*K76+(F76+G76)*L76</f>
        <v>0</v>
      </c>
      <c r="N76" s="17"/>
      <c r="O76" s="13">
        <f>(F76+G76)*N76</f>
        <v>0</v>
      </c>
      <c r="P76" s="5">
        <v>1.477</v>
      </c>
      <c r="Q76" s="13">
        <f>(F76+G76)*P76</f>
        <v>866.999</v>
      </c>
      <c r="R76" s="13">
        <f>J76+M76+O76+Q76</f>
        <v>866.999</v>
      </c>
    </row>
    <row r="77" spans="1:18" ht="15">
      <c r="A77" s="24" t="s">
        <v>3</v>
      </c>
      <c r="B77" s="51">
        <v>2006</v>
      </c>
      <c r="C77" s="35" t="s">
        <v>37</v>
      </c>
      <c r="D77" s="36"/>
      <c r="E77" s="36"/>
      <c r="F77" s="38"/>
      <c r="G77" s="39">
        <f>'C-1 Monthly Volumes'!P44</f>
        <v>587</v>
      </c>
      <c r="H77" s="12">
        <v>0</v>
      </c>
      <c r="I77" s="6">
        <v>0</v>
      </c>
      <c r="J77" s="13">
        <f>D77*E77*H77+(F77+G77)*I77</f>
        <v>0</v>
      </c>
      <c r="K77" s="12">
        <v>0</v>
      </c>
      <c r="L77" s="6">
        <v>0</v>
      </c>
      <c r="M77" s="13">
        <f>D77*E77*K77+(F77+G77)*L77</f>
        <v>0</v>
      </c>
      <c r="N77" s="17"/>
      <c r="O77" s="13">
        <f>(F77+G77)*N77</f>
        <v>0</v>
      </c>
      <c r="P77" s="5">
        <v>1.477</v>
      </c>
      <c r="Q77" s="13">
        <f>(F77+G77)*P77</f>
        <v>866.999</v>
      </c>
      <c r="R77" s="13">
        <f>J77+M77+O77+Q77</f>
        <v>866.999</v>
      </c>
    </row>
    <row r="78" spans="1:18" ht="15.75" thickBot="1">
      <c r="A78" s="24" t="s">
        <v>3</v>
      </c>
      <c r="B78" s="51">
        <v>2006</v>
      </c>
      <c r="C78" s="35" t="s">
        <v>33</v>
      </c>
      <c r="D78" s="36"/>
      <c r="E78" s="36"/>
      <c r="F78" s="38"/>
      <c r="G78" s="39">
        <f>'C-1 Monthly Volumes'!P53</f>
        <v>587</v>
      </c>
      <c r="H78" s="12">
        <v>0</v>
      </c>
      <c r="I78" s="6">
        <v>0</v>
      </c>
      <c r="J78" s="13">
        <f>D78*E78*H78+(F78+G78)*I78</f>
        <v>0</v>
      </c>
      <c r="K78" s="12">
        <v>0</v>
      </c>
      <c r="L78" s="6">
        <v>0</v>
      </c>
      <c r="M78" s="13">
        <f>D78*E78*K78+(F78+G78)*L78</f>
        <v>0</v>
      </c>
      <c r="N78" s="17"/>
      <c r="O78" s="13">
        <f>(F78+G78)*N78</f>
        <v>0</v>
      </c>
      <c r="P78" s="5">
        <v>1.477</v>
      </c>
      <c r="Q78" s="13">
        <f>(F78+G78)*P78</f>
        <v>866.999</v>
      </c>
      <c r="R78" s="13">
        <f>J78+M78+O78+Q78</f>
        <v>866.999</v>
      </c>
    </row>
    <row r="79" spans="1:18" ht="15" hidden="1" outlineLevel="1">
      <c r="A79" s="24"/>
      <c r="B79" s="51"/>
      <c r="C79" s="35"/>
      <c r="D79" s="36"/>
      <c r="E79" s="36"/>
      <c r="F79" s="38"/>
      <c r="G79" s="39"/>
      <c r="H79" s="12"/>
      <c r="I79" s="6"/>
      <c r="J79" s="13"/>
      <c r="K79" s="12"/>
      <c r="L79" s="6"/>
      <c r="M79" s="13"/>
      <c r="N79" s="17"/>
      <c r="O79" s="13"/>
      <c r="P79" s="5"/>
      <c r="Q79" s="13"/>
      <c r="R79" s="13"/>
    </row>
    <row r="80" spans="1:18" ht="15" hidden="1" outlineLevel="1">
      <c r="A80" s="24"/>
      <c r="B80" s="51"/>
      <c r="C80" s="35"/>
      <c r="D80" s="36"/>
      <c r="E80" s="36"/>
      <c r="F80" s="38"/>
      <c r="G80" s="39"/>
      <c r="H80" s="12"/>
      <c r="I80" s="6"/>
      <c r="J80" s="13"/>
      <c r="K80" s="12"/>
      <c r="L80" s="6"/>
      <c r="M80" s="13"/>
      <c r="N80" s="17"/>
      <c r="O80" s="13"/>
      <c r="P80" s="5"/>
      <c r="Q80" s="13"/>
      <c r="R80" s="13"/>
    </row>
    <row r="81" spans="1:18" ht="15" hidden="1" outlineLevel="1">
      <c r="A81" s="24"/>
      <c r="B81" s="51"/>
      <c r="C81" s="35"/>
      <c r="D81" s="36"/>
      <c r="E81" s="36"/>
      <c r="F81" s="38"/>
      <c r="G81" s="39"/>
      <c r="H81" s="12"/>
      <c r="I81" s="6"/>
      <c r="J81" s="13"/>
      <c r="K81" s="12"/>
      <c r="L81" s="6"/>
      <c r="M81" s="13"/>
      <c r="N81" s="17"/>
      <c r="O81" s="13"/>
      <c r="P81" s="5"/>
      <c r="Q81" s="13"/>
      <c r="R81" s="13"/>
    </row>
    <row r="82" spans="1:18" ht="15" hidden="1" outlineLevel="1">
      <c r="A82" s="24"/>
      <c r="B82" s="51"/>
      <c r="C82" s="35"/>
      <c r="D82" s="36"/>
      <c r="E82" s="36"/>
      <c r="F82" s="38"/>
      <c r="G82" s="39"/>
      <c r="H82" s="12"/>
      <c r="I82" s="6"/>
      <c r="J82" s="13"/>
      <c r="K82" s="12"/>
      <c r="L82" s="6"/>
      <c r="M82" s="13"/>
      <c r="N82" s="17"/>
      <c r="O82" s="13"/>
      <c r="P82" s="5"/>
      <c r="Q82" s="13"/>
      <c r="R82" s="13"/>
    </row>
    <row r="83" spans="1:18" ht="15" hidden="1" outlineLevel="1">
      <c r="A83" s="24"/>
      <c r="B83" s="51"/>
      <c r="C83" s="35"/>
      <c r="D83" s="36"/>
      <c r="E83" s="36"/>
      <c r="F83" s="38"/>
      <c r="G83" s="39"/>
      <c r="H83" s="12"/>
      <c r="I83" s="6"/>
      <c r="J83" s="13"/>
      <c r="K83" s="12"/>
      <c r="L83" s="6"/>
      <c r="M83" s="13"/>
      <c r="N83" s="17"/>
      <c r="O83" s="13"/>
      <c r="P83" s="5"/>
      <c r="Q83" s="13"/>
      <c r="R83" s="13"/>
    </row>
    <row r="84" spans="1:18" ht="15" hidden="1" outlineLevel="1">
      <c r="A84" s="24"/>
      <c r="B84" s="51"/>
      <c r="C84" s="35"/>
      <c r="D84" s="36"/>
      <c r="E84" s="36"/>
      <c r="F84" s="38"/>
      <c r="G84" s="39"/>
      <c r="H84" s="12"/>
      <c r="I84" s="6"/>
      <c r="J84" s="13"/>
      <c r="K84" s="12"/>
      <c r="L84" s="6"/>
      <c r="M84" s="13"/>
      <c r="N84" s="17"/>
      <c r="O84" s="13"/>
      <c r="P84" s="5"/>
      <c r="Q84" s="13"/>
      <c r="R84" s="13"/>
    </row>
    <row r="85" spans="1:18" ht="15.75" hidden="1" outlineLevel="1" thickBot="1">
      <c r="A85" s="24"/>
      <c r="B85" s="51"/>
      <c r="C85" s="35"/>
      <c r="D85" s="36"/>
      <c r="E85" s="36"/>
      <c r="F85" s="38"/>
      <c r="G85" s="39"/>
      <c r="H85" s="12"/>
      <c r="I85" s="6"/>
      <c r="J85" s="13"/>
      <c r="K85" s="12"/>
      <c r="L85" s="6"/>
      <c r="M85" s="13"/>
      <c r="N85" s="17"/>
      <c r="O85" s="13"/>
      <c r="P85" s="5"/>
      <c r="Q85" s="13"/>
      <c r="R85" s="13"/>
    </row>
    <row r="86" spans="1:18" ht="15.75" collapsed="1" thickBot="1">
      <c r="A86" s="53" t="s">
        <v>55</v>
      </c>
      <c r="B86" s="54"/>
      <c r="C86" s="55"/>
      <c r="D86" s="56">
        <f>SUM(D74:D85)</f>
        <v>0</v>
      </c>
      <c r="E86" s="56"/>
      <c r="F86" s="56">
        <f>SUM(F74:F85)</f>
        <v>0</v>
      </c>
      <c r="G86" s="57">
        <f>SUM(G74:G85)</f>
        <v>2935</v>
      </c>
      <c r="H86" s="58"/>
      <c r="I86" s="59"/>
      <c r="J86" s="60">
        <f>SUM(J74:J85)</f>
        <v>0</v>
      </c>
      <c r="K86" s="58"/>
      <c r="L86" s="59"/>
      <c r="M86" s="60">
        <f>SUM(M74:M85)</f>
        <v>0</v>
      </c>
      <c r="N86" s="61"/>
      <c r="O86" s="60">
        <f>SUM(O74:O85)</f>
        <v>0</v>
      </c>
      <c r="P86" s="61"/>
      <c r="Q86" s="60">
        <f>SUM(Q74:Q85)</f>
        <v>4334.995</v>
      </c>
      <c r="R86" s="60">
        <f>SUM(R74:R85)</f>
        <v>4334.995</v>
      </c>
    </row>
    <row r="87" spans="1:18" ht="15">
      <c r="A87" s="15"/>
      <c r="B87" s="3"/>
      <c r="C87" s="3"/>
      <c r="D87" s="62"/>
      <c r="E87" s="62"/>
      <c r="F87" s="62"/>
      <c r="G87" s="63"/>
      <c r="H87" s="14"/>
      <c r="I87" s="6"/>
      <c r="J87" s="13"/>
      <c r="K87" s="14"/>
      <c r="L87" s="6"/>
      <c r="M87" s="13"/>
      <c r="N87" s="17"/>
      <c r="O87" s="13"/>
      <c r="P87" s="17"/>
      <c r="Q87" s="13"/>
      <c r="R87" s="13"/>
    </row>
    <row r="88" spans="1:18" s="16" customFormat="1" ht="15.75" thickBot="1">
      <c r="A88" s="109" t="s">
        <v>23</v>
      </c>
      <c r="B88" s="110"/>
      <c r="C88" s="110"/>
      <c r="D88" s="111"/>
      <c r="E88" s="111"/>
      <c r="F88" s="111">
        <f>F15+F29+F44+F58+F72+F86</f>
        <v>81012527</v>
      </c>
      <c r="G88" s="111">
        <f>G15+G29+G44+G58+G72+G86</f>
        <v>182486.76944444442</v>
      </c>
      <c r="H88" s="109"/>
      <c r="I88" s="110"/>
      <c r="J88" s="112">
        <f>J15+J29+J44+J58+J72+J86</f>
        <v>0</v>
      </c>
      <c r="K88" s="109"/>
      <c r="L88" s="110"/>
      <c r="M88" s="112">
        <f>M15+M29+M44+M58+M72+M86</f>
        <v>0</v>
      </c>
      <c r="N88" s="109"/>
      <c r="O88" s="112">
        <f>O15+O29+O44+O58+O72+O86</f>
        <v>0</v>
      </c>
      <c r="P88" s="109"/>
      <c r="Q88" s="112">
        <f>Q15+Q29+Q44+Q58+Q72+Q86</f>
        <v>400689.2035691667</v>
      </c>
      <c r="R88" s="112">
        <f>R15+R29+R44+R58+R72+R86</f>
        <v>400689.2035691667</v>
      </c>
    </row>
    <row r="89" spans="1:18" ht="15">
      <c r="A89" s="3"/>
      <c r="B89" s="3"/>
      <c r="C89" s="3"/>
      <c r="D89" s="9"/>
      <c r="E89" s="9"/>
      <c r="F89" s="9"/>
      <c r="G89" s="9"/>
      <c r="H89" s="3"/>
      <c r="I89" s="3"/>
      <c r="J89" s="4"/>
      <c r="K89" s="3"/>
      <c r="L89" s="3"/>
      <c r="M89" s="4"/>
      <c r="N89" s="4"/>
      <c r="O89" s="4"/>
      <c r="P89" s="4"/>
      <c r="Q89" s="4"/>
      <c r="R89" s="4"/>
    </row>
    <row r="91" spans="10:11" ht="15">
      <c r="J91" s="8"/>
      <c r="K91" s="2"/>
    </row>
    <row r="92" spans="10:11" ht="15">
      <c r="J92" s="8"/>
      <c r="K92" s="2"/>
    </row>
    <row r="93" spans="10:11" ht="15">
      <c r="J93" s="8"/>
      <c r="K93" s="2"/>
    </row>
    <row r="94" spans="10:11" ht="15">
      <c r="J94" s="8"/>
      <c r="K94" s="2"/>
    </row>
  </sheetData>
  <sheetProtection/>
  <printOptions horizontalCentered="1"/>
  <pageMargins left="0.5118110236220472" right="0.5118110236220472" top="1.220472440944882" bottom="0.9055118110236221" header="0.5118110236220472" footer="0.5118110236220472"/>
  <pageSetup fitToHeight="2" horizontalDpi="600" verticalDpi="600" orientation="portrait" scale="85" r:id="rId1"/>
  <headerFooter>
    <oddHeader>&amp;ROrillia Power Distribution Corporation
EB-2011-0191
Filed: October 28, 2011
Appendix B</oddHeader>
    <oddFooter>&amp;C&amp;F
&amp;A&amp;RPage &amp;P
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96"/>
  <sheetViews>
    <sheetView showGridLines="0" zoomScalePageLayoutView="0" workbookViewId="0" topLeftCell="A1">
      <selection activeCell="H29" sqref="A1:H29"/>
    </sheetView>
  </sheetViews>
  <sheetFormatPr defaultColWidth="9.140625" defaultRowHeight="15"/>
  <cols>
    <col min="1" max="1" width="11.8515625" style="0" customWidth="1"/>
    <col min="2" max="2" width="10.28125" style="97" customWidth="1"/>
    <col min="3" max="3" width="15.28125" style="0" bestFit="1" customWidth="1"/>
    <col min="4" max="6" width="12.57421875" style="0" bestFit="1" customWidth="1"/>
    <col min="7" max="7" width="11.7109375" style="0" customWidth="1"/>
    <col min="8" max="8" width="1.7109375" style="0" customWidth="1"/>
    <col min="9" max="9" width="0.5625" style="0" customWidth="1"/>
    <col min="10" max="10" width="8.8515625" style="0" customWidth="1"/>
    <col min="11" max="11" width="13.140625" style="0" customWidth="1"/>
    <col min="12" max="16" width="11.7109375" style="0" customWidth="1"/>
    <col min="19" max="19" width="10.421875" style="0" bestFit="1" customWidth="1"/>
  </cols>
  <sheetData>
    <row r="1" spans="3:7" ht="15">
      <c r="C1" s="69"/>
      <c r="D1" s="69"/>
      <c r="E1" s="69"/>
      <c r="F1" s="69"/>
      <c r="G1" s="69"/>
    </row>
    <row r="2" spans="1:16" ht="15">
      <c r="A2" s="72" t="s">
        <v>32</v>
      </c>
      <c r="B2" s="98"/>
      <c r="C2" s="253" t="s">
        <v>25</v>
      </c>
      <c r="D2" s="254"/>
      <c r="E2" s="254"/>
      <c r="F2" s="254"/>
      <c r="G2" s="255"/>
      <c r="J2" s="72" t="s">
        <v>47</v>
      </c>
      <c r="K2" s="71"/>
      <c r="L2" s="253" t="s">
        <v>25</v>
      </c>
      <c r="M2" s="254"/>
      <c r="N2" s="254"/>
      <c r="O2" s="254"/>
      <c r="P2" s="255"/>
    </row>
    <row r="3" spans="1:17" ht="15">
      <c r="A3" s="73" t="s">
        <v>26</v>
      </c>
      <c r="B3" s="99" t="s">
        <v>27</v>
      </c>
      <c r="C3" s="73">
        <v>2002</v>
      </c>
      <c r="D3" s="73">
        <v>2003</v>
      </c>
      <c r="E3" s="73">
        <v>2004</v>
      </c>
      <c r="F3" s="73">
        <v>2005</v>
      </c>
      <c r="G3" s="73">
        <v>2006</v>
      </c>
      <c r="J3" s="73" t="s">
        <v>26</v>
      </c>
      <c r="K3" s="73" t="s">
        <v>27</v>
      </c>
      <c r="L3" s="73">
        <v>2002</v>
      </c>
      <c r="M3" s="73">
        <v>2003</v>
      </c>
      <c r="N3" s="73">
        <v>2004</v>
      </c>
      <c r="O3" s="73">
        <v>2005</v>
      </c>
      <c r="P3" s="73">
        <v>2006</v>
      </c>
      <c r="Q3" s="28"/>
    </row>
    <row r="4" spans="1:17" ht="15">
      <c r="A4" s="31" t="s">
        <v>34</v>
      </c>
      <c r="B4" s="100" t="s">
        <v>28</v>
      </c>
      <c r="C4" s="240"/>
      <c r="D4" s="33">
        <v>10949282</v>
      </c>
      <c r="E4" s="33">
        <v>10521352</v>
      </c>
      <c r="F4" s="33">
        <v>10907514</v>
      </c>
      <c r="G4" s="33">
        <v>10512826</v>
      </c>
      <c r="J4" s="31" t="s">
        <v>34</v>
      </c>
      <c r="K4" s="241" t="s">
        <v>136</v>
      </c>
      <c r="L4" s="31"/>
      <c r="M4" s="33">
        <v>21671</v>
      </c>
      <c r="N4" s="33">
        <v>23415</v>
      </c>
      <c r="O4" s="33">
        <v>22666</v>
      </c>
      <c r="P4" s="33">
        <v>23158.5</v>
      </c>
      <c r="Q4" s="11"/>
    </row>
    <row r="5" spans="1:17" ht="15">
      <c r="A5" s="31" t="s">
        <v>35</v>
      </c>
      <c r="B5" s="100" t="s">
        <v>28</v>
      </c>
      <c r="C5" s="240"/>
      <c r="D5" s="33">
        <v>14612863</v>
      </c>
      <c r="E5" s="33">
        <v>13822685</v>
      </c>
      <c r="F5" s="33">
        <v>13205325</v>
      </c>
      <c r="G5" s="33">
        <v>12283899</v>
      </c>
      <c r="J5" s="31" t="s">
        <v>35</v>
      </c>
      <c r="K5" s="241" t="s">
        <v>136</v>
      </c>
      <c r="L5" s="31"/>
      <c r="M5" s="33">
        <v>24645</v>
      </c>
      <c r="N5" s="33">
        <v>24238</v>
      </c>
      <c r="O5" s="33">
        <v>23357</v>
      </c>
      <c r="P5" s="33">
        <v>23614.7</v>
      </c>
      <c r="Q5" s="11"/>
    </row>
    <row r="6" spans="1:17" ht="15">
      <c r="A6" s="31" t="s">
        <v>36</v>
      </c>
      <c r="B6" s="100" t="s">
        <v>28</v>
      </c>
      <c r="C6" s="42">
        <v>10245295</v>
      </c>
      <c r="D6" s="33">
        <v>9348065</v>
      </c>
      <c r="E6" s="33">
        <v>24411133</v>
      </c>
      <c r="F6" s="33">
        <v>25378057</v>
      </c>
      <c r="G6" s="33">
        <v>10908520</v>
      </c>
      <c r="J6" s="31" t="s">
        <v>36</v>
      </c>
      <c r="K6" s="241" t="s">
        <v>136</v>
      </c>
      <c r="L6" s="42">
        <v>21908.24</v>
      </c>
      <c r="M6" s="33">
        <v>21632</v>
      </c>
      <c r="N6" s="33">
        <v>53024</v>
      </c>
      <c r="O6" s="33">
        <v>53739</v>
      </c>
      <c r="P6" s="33">
        <v>23464.5</v>
      </c>
      <c r="Q6" s="11"/>
    </row>
    <row r="7" spans="1:17" ht="15">
      <c r="A7" s="31" t="s">
        <v>144</v>
      </c>
      <c r="B7" s="100" t="s">
        <v>28</v>
      </c>
      <c r="C7" s="42">
        <v>9728559</v>
      </c>
      <c r="D7" s="33">
        <v>11457888</v>
      </c>
      <c r="E7" s="33">
        <v>88955</v>
      </c>
      <c r="F7" s="33">
        <v>135134</v>
      </c>
      <c r="G7" s="33">
        <v>10995296</v>
      </c>
      <c r="J7" s="31" t="s">
        <v>144</v>
      </c>
      <c r="K7" s="241" t="s">
        <v>136</v>
      </c>
      <c r="L7" s="42">
        <v>22719.7</v>
      </c>
      <c r="M7" s="33">
        <v>24669</v>
      </c>
      <c r="N7" s="33">
        <v>51</v>
      </c>
      <c r="O7" s="33">
        <v>69</v>
      </c>
      <c r="P7" s="33">
        <v>21930</v>
      </c>
      <c r="Q7" s="11"/>
    </row>
    <row r="8" spans="1:17" ht="15">
      <c r="A8" s="31" t="s">
        <v>134</v>
      </c>
      <c r="B8" s="100" t="s">
        <v>28</v>
      </c>
      <c r="C8" s="42">
        <v>751299</v>
      </c>
      <c r="D8" s="33">
        <v>10024318</v>
      </c>
      <c r="E8" s="33">
        <v>5982030</v>
      </c>
      <c r="F8" s="33">
        <v>5437155</v>
      </c>
      <c r="G8" s="33"/>
      <c r="J8" s="31" t="s">
        <v>134</v>
      </c>
      <c r="K8" s="241" t="s">
        <v>136</v>
      </c>
      <c r="L8" s="42">
        <v>2705</v>
      </c>
      <c r="M8" s="33">
        <v>25485</v>
      </c>
      <c r="N8" s="33">
        <v>12378</v>
      </c>
      <c r="O8" s="33">
        <v>13379</v>
      </c>
      <c r="P8" s="33"/>
      <c r="Q8" s="11"/>
    </row>
    <row r="9" spans="1:17" ht="15">
      <c r="A9" s="31" t="s">
        <v>38</v>
      </c>
      <c r="B9" s="100" t="s">
        <v>28</v>
      </c>
      <c r="C9" s="42">
        <v>5679552</v>
      </c>
      <c r="D9" s="33">
        <v>8860056</v>
      </c>
      <c r="E9" s="33">
        <v>7474340</v>
      </c>
      <c r="F9" s="33">
        <v>7387090</v>
      </c>
      <c r="G9" s="33"/>
      <c r="J9" s="31" t="s">
        <v>38</v>
      </c>
      <c r="K9" s="241" t="s">
        <v>136</v>
      </c>
      <c r="L9" s="42">
        <v>18719</v>
      </c>
      <c r="M9" s="33">
        <v>24073</v>
      </c>
      <c r="N9" s="33">
        <v>21477</v>
      </c>
      <c r="O9" s="33">
        <v>20945</v>
      </c>
      <c r="P9" s="33"/>
      <c r="Q9" s="11"/>
    </row>
    <row r="10" spans="1:17" ht="15">
      <c r="A10" s="31" t="s">
        <v>39</v>
      </c>
      <c r="B10" s="100" t="s">
        <v>28</v>
      </c>
      <c r="C10" s="42">
        <v>7186823</v>
      </c>
      <c r="D10" s="33">
        <v>6851400</v>
      </c>
      <c r="E10" s="33">
        <v>6811361</v>
      </c>
      <c r="F10" s="33">
        <v>7808494</v>
      </c>
      <c r="G10" s="33"/>
      <c r="J10" s="31" t="s">
        <v>39</v>
      </c>
      <c r="K10" s="241" t="s">
        <v>136</v>
      </c>
      <c r="L10" s="42">
        <v>21073</v>
      </c>
      <c r="M10" s="33">
        <v>23378</v>
      </c>
      <c r="N10" s="33">
        <v>21429</v>
      </c>
      <c r="O10" s="33">
        <v>22061</v>
      </c>
      <c r="P10" s="33"/>
      <c r="Q10" s="11"/>
    </row>
    <row r="11" spans="1:17" ht="15">
      <c r="A11" s="31" t="s">
        <v>40</v>
      </c>
      <c r="B11" s="100" t="s">
        <v>28</v>
      </c>
      <c r="C11" s="42">
        <v>9322469</v>
      </c>
      <c r="D11" s="33">
        <v>7619955</v>
      </c>
      <c r="E11" s="33">
        <v>7296239</v>
      </c>
      <c r="F11" s="33">
        <v>9405884</v>
      </c>
      <c r="G11" s="33"/>
      <c r="J11" s="31" t="s">
        <v>40</v>
      </c>
      <c r="K11" s="241" t="s">
        <v>136</v>
      </c>
      <c r="L11" s="42">
        <v>21241</v>
      </c>
      <c r="M11" s="33">
        <v>23230</v>
      </c>
      <c r="N11" s="33">
        <v>20984</v>
      </c>
      <c r="O11" s="33">
        <v>23441</v>
      </c>
      <c r="P11" s="33"/>
      <c r="Q11" s="11"/>
    </row>
    <row r="12" spans="1:17" ht="15">
      <c r="A12" s="31" t="s">
        <v>133</v>
      </c>
      <c r="B12" s="100" t="s">
        <v>28</v>
      </c>
      <c r="C12" s="42">
        <v>8186347</v>
      </c>
      <c r="D12" s="33">
        <v>7899958</v>
      </c>
      <c r="E12" s="33">
        <v>7706226</v>
      </c>
      <c r="F12" s="33">
        <v>-0.04584304988384247</v>
      </c>
      <c r="G12" s="33"/>
      <c r="J12" s="31" t="s">
        <v>133</v>
      </c>
      <c r="K12" s="241" t="s">
        <v>136</v>
      </c>
      <c r="L12" s="42">
        <v>20574</v>
      </c>
      <c r="M12" s="33">
        <v>23944</v>
      </c>
      <c r="N12" s="33">
        <v>19887</v>
      </c>
      <c r="O12" s="33">
        <v>0</v>
      </c>
      <c r="P12" s="33"/>
      <c r="Q12" s="11"/>
    </row>
    <row r="13" spans="1:17" ht="15">
      <c r="A13" s="31" t="s">
        <v>42</v>
      </c>
      <c r="B13" s="100" t="s">
        <v>28</v>
      </c>
      <c r="C13" s="42">
        <v>5084990</v>
      </c>
      <c r="D13" s="33">
        <v>7151067</v>
      </c>
      <c r="E13" s="33">
        <v>7289543</v>
      </c>
      <c r="F13" s="33">
        <v>5394470</v>
      </c>
      <c r="G13" s="33"/>
      <c r="J13" s="31" t="s">
        <v>42</v>
      </c>
      <c r="K13" s="241" t="s">
        <v>136</v>
      </c>
      <c r="L13" s="42">
        <v>20118</v>
      </c>
      <c r="M13" s="33">
        <v>23397</v>
      </c>
      <c r="N13" s="33">
        <v>21134</v>
      </c>
      <c r="O13" s="33">
        <v>14797.2</v>
      </c>
      <c r="P13" s="33"/>
      <c r="Q13" s="11"/>
    </row>
    <row r="14" spans="1:17" ht="15">
      <c r="A14" s="31" t="s">
        <v>43</v>
      </c>
      <c r="B14" s="100" t="s">
        <v>28</v>
      </c>
      <c r="C14" s="42">
        <v>5943690</v>
      </c>
      <c r="D14" s="33">
        <v>6791186</v>
      </c>
      <c r="E14" s="33">
        <v>6857247</v>
      </c>
      <c r="F14" s="33">
        <v>12973757</v>
      </c>
      <c r="G14" s="33"/>
      <c r="J14" s="31" t="s">
        <v>43</v>
      </c>
      <c r="K14" s="241" t="s">
        <v>136</v>
      </c>
      <c r="L14" s="42">
        <v>17865</v>
      </c>
      <c r="M14" s="33">
        <v>22015</v>
      </c>
      <c r="N14" s="33">
        <v>20761</v>
      </c>
      <c r="O14" s="33">
        <v>38981.5</v>
      </c>
      <c r="P14" s="33"/>
      <c r="Q14" s="11"/>
    </row>
    <row r="15" spans="1:17" ht="15">
      <c r="A15" s="31" t="s">
        <v>44</v>
      </c>
      <c r="B15" s="100" t="s">
        <v>28</v>
      </c>
      <c r="C15" s="42">
        <v>10128781</v>
      </c>
      <c r="D15" s="33">
        <v>9362496</v>
      </c>
      <c r="E15" s="33">
        <v>8808683</v>
      </c>
      <c r="F15" s="33">
        <v>13380525.95415695</v>
      </c>
      <c r="G15" s="33"/>
      <c r="J15" s="31" t="s">
        <v>44</v>
      </c>
      <c r="K15" s="241" t="s">
        <v>136</v>
      </c>
      <c r="L15" s="42">
        <v>27341</v>
      </c>
      <c r="M15" s="33">
        <v>23012</v>
      </c>
      <c r="N15" s="33">
        <v>21055</v>
      </c>
      <c r="O15" s="33">
        <v>33064.4</v>
      </c>
      <c r="P15" s="33"/>
      <c r="Q15" s="11"/>
    </row>
    <row r="16" spans="1:17" ht="15">
      <c r="A16" s="31" t="s">
        <v>33</v>
      </c>
      <c r="B16" s="100" t="s">
        <v>28</v>
      </c>
      <c r="C16" s="42"/>
      <c r="D16" s="42"/>
      <c r="E16" s="42"/>
      <c r="F16" s="42"/>
      <c r="G16" s="42">
        <v>11503482</v>
      </c>
      <c r="J16" s="31" t="s">
        <v>33</v>
      </c>
      <c r="K16" s="241" t="s">
        <v>136</v>
      </c>
      <c r="L16" s="42"/>
      <c r="M16" s="33"/>
      <c r="N16" s="33"/>
      <c r="O16" s="33"/>
      <c r="P16" s="42">
        <v>31864</v>
      </c>
      <c r="Q16" s="11"/>
    </row>
    <row r="17" spans="1:17" ht="15">
      <c r="A17" s="43" t="s">
        <v>6</v>
      </c>
      <c r="B17" s="101"/>
      <c r="C17" s="44">
        <f>SUM(C4:C16)</f>
        <v>72257805</v>
      </c>
      <c r="D17" s="44">
        <f>SUM(D4:D16)</f>
        <v>110928534</v>
      </c>
      <c r="E17" s="44">
        <f>SUM(E4:E16)</f>
        <v>107069794</v>
      </c>
      <c r="F17" s="44">
        <f>SUM(F4:F16)</f>
        <v>111413405.9083139</v>
      </c>
      <c r="G17" s="44">
        <f>SUM(G4:G16)</f>
        <v>56204023</v>
      </c>
      <c r="J17" s="43" t="s">
        <v>6</v>
      </c>
      <c r="K17" s="43"/>
      <c r="L17" s="44">
        <f>SUM(L4:L16)</f>
        <v>194263.94</v>
      </c>
      <c r="M17" s="44">
        <f>SUM(M4:M16)</f>
        <v>281151</v>
      </c>
      <c r="N17" s="44">
        <f>SUM(N4:N16)</f>
        <v>259833</v>
      </c>
      <c r="O17" s="44">
        <f>SUM(O4:O15)</f>
        <v>266500.10000000003</v>
      </c>
      <c r="P17" s="44">
        <f>SUM(P4:P16)</f>
        <v>124031.7</v>
      </c>
      <c r="Q17" s="11"/>
    </row>
    <row r="18" spans="1:17" ht="15">
      <c r="A18" s="49" t="s">
        <v>66</v>
      </c>
      <c r="B18" s="102"/>
      <c r="C18" s="95">
        <f>C17/10</f>
        <v>7225780.5</v>
      </c>
      <c r="D18" s="95">
        <f>D17/12</f>
        <v>9244044.5</v>
      </c>
      <c r="E18" s="95">
        <f>E17/12</f>
        <v>8922482.833333334</v>
      </c>
      <c r="F18" s="95">
        <f>F17/12</f>
        <v>9284450.492359491</v>
      </c>
      <c r="G18" s="96">
        <f>G17/5</f>
        <v>11240804.6</v>
      </c>
      <c r="I18" s="1"/>
      <c r="J18" s="49" t="s">
        <v>66</v>
      </c>
      <c r="K18" s="75"/>
      <c r="L18" s="95">
        <f>L17/10</f>
        <v>19426.394</v>
      </c>
      <c r="M18" s="95">
        <f>M17/12</f>
        <v>23429.25</v>
      </c>
      <c r="N18" s="95">
        <f>N17/12</f>
        <v>21652.75</v>
      </c>
      <c r="O18" s="95">
        <f>O17/12</f>
        <v>22208.34166666667</v>
      </c>
      <c r="P18" s="96">
        <f>P17/5</f>
        <v>24806.34</v>
      </c>
      <c r="Q18" s="28"/>
    </row>
    <row r="19" spans="1:17" ht="19.5" customHeight="1">
      <c r="A19" s="75"/>
      <c r="B19" s="102"/>
      <c r="C19" s="95"/>
      <c r="D19" s="95"/>
      <c r="E19" s="95"/>
      <c r="F19" s="95"/>
      <c r="G19" s="95"/>
      <c r="I19" s="1"/>
      <c r="J19" s="75"/>
      <c r="K19" s="75"/>
      <c r="L19" s="95"/>
      <c r="M19" s="95"/>
      <c r="N19" s="95"/>
      <c r="O19" s="95"/>
      <c r="P19" s="95"/>
      <c r="Q19" s="28"/>
    </row>
    <row r="20" spans="1:16" ht="15">
      <c r="A20" s="72" t="s">
        <v>32</v>
      </c>
      <c r="B20" s="98"/>
      <c r="C20" s="253" t="s">
        <v>25</v>
      </c>
      <c r="D20" s="254"/>
      <c r="E20" s="254"/>
      <c r="F20" s="254"/>
      <c r="G20" s="255"/>
      <c r="J20" s="72" t="s">
        <v>47</v>
      </c>
      <c r="K20" s="71"/>
      <c r="L20" s="253" t="s">
        <v>25</v>
      </c>
      <c r="M20" s="254"/>
      <c r="N20" s="254"/>
      <c r="O20" s="254"/>
      <c r="P20" s="255"/>
    </row>
    <row r="21" spans="1:17" ht="15">
      <c r="A21" s="73" t="s">
        <v>26</v>
      </c>
      <c r="B21" s="99" t="s">
        <v>27</v>
      </c>
      <c r="C21" s="73">
        <v>2002</v>
      </c>
      <c r="D21" s="73">
        <v>2003</v>
      </c>
      <c r="E21" s="73">
        <v>2004</v>
      </c>
      <c r="F21" s="73">
        <v>2005</v>
      </c>
      <c r="G21" s="73">
        <v>2006</v>
      </c>
      <c r="J21" s="73" t="s">
        <v>26</v>
      </c>
      <c r="K21" s="73" t="s">
        <v>27</v>
      </c>
      <c r="L21" s="73">
        <v>2002</v>
      </c>
      <c r="M21" s="73">
        <v>2003</v>
      </c>
      <c r="N21" s="73">
        <v>2004</v>
      </c>
      <c r="O21" s="73">
        <v>2005</v>
      </c>
      <c r="P21" s="73">
        <v>2006</v>
      </c>
      <c r="Q21" s="28"/>
    </row>
    <row r="22" spans="1:17" ht="15">
      <c r="A22" s="31" t="s">
        <v>34</v>
      </c>
      <c r="B22" s="100" t="s">
        <v>29</v>
      </c>
      <c r="C22" s="42"/>
      <c r="D22" s="42">
        <v>4523595</v>
      </c>
      <c r="E22" s="42">
        <v>4380013</v>
      </c>
      <c r="F22" s="32">
        <v>4368674</v>
      </c>
      <c r="G22" s="33">
        <v>4402791</v>
      </c>
      <c r="I22" s="1"/>
      <c r="J22" s="31" t="s">
        <v>34</v>
      </c>
      <c r="K22" s="241" t="s">
        <v>137</v>
      </c>
      <c r="L22" s="42"/>
      <c r="M22" s="32">
        <v>14736</v>
      </c>
      <c r="N22" s="32">
        <v>10467</v>
      </c>
      <c r="O22" s="32">
        <v>10977</v>
      </c>
      <c r="P22" s="32">
        <v>10918.5</v>
      </c>
      <c r="Q22" s="28"/>
    </row>
    <row r="23" spans="1:17" ht="15">
      <c r="A23" s="31" t="s">
        <v>35</v>
      </c>
      <c r="B23" s="100" t="s">
        <v>29</v>
      </c>
      <c r="C23" s="42"/>
      <c r="D23" s="42">
        <v>6407011</v>
      </c>
      <c r="E23" s="42">
        <v>5162809</v>
      </c>
      <c r="F23" s="32">
        <v>5137659</v>
      </c>
      <c r="G23" s="33">
        <v>5286693</v>
      </c>
      <c r="I23" s="1"/>
      <c r="J23" s="31" t="s">
        <v>35</v>
      </c>
      <c r="K23" s="241" t="s">
        <v>137</v>
      </c>
      <c r="L23" s="42"/>
      <c r="M23" s="32">
        <v>14594</v>
      </c>
      <c r="N23" s="32">
        <v>10282</v>
      </c>
      <c r="O23" s="32">
        <v>11057</v>
      </c>
      <c r="P23" s="32">
        <v>11168.5</v>
      </c>
      <c r="Q23" s="28"/>
    </row>
    <row r="24" spans="1:17" ht="15">
      <c r="A24" s="31" t="s">
        <v>36</v>
      </c>
      <c r="B24" s="100" t="s">
        <v>29</v>
      </c>
      <c r="C24" s="42">
        <v>4115362</v>
      </c>
      <c r="D24" s="42">
        <v>3699368</v>
      </c>
      <c r="E24" s="42">
        <v>10866626</v>
      </c>
      <c r="F24" s="32">
        <v>11496307</v>
      </c>
      <c r="G24" s="33">
        <v>4701502</v>
      </c>
      <c r="J24" s="31" t="s">
        <v>36</v>
      </c>
      <c r="K24" s="241" t="s">
        <v>137</v>
      </c>
      <c r="L24" s="42">
        <v>12038.9</v>
      </c>
      <c r="M24" s="32">
        <v>12907</v>
      </c>
      <c r="N24" s="32">
        <v>21175</v>
      </c>
      <c r="O24" s="32">
        <v>22681</v>
      </c>
      <c r="P24" s="32">
        <v>10698.1</v>
      </c>
      <c r="Q24" s="11"/>
    </row>
    <row r="25" spans="1:17" ht="15">
      <c r="A25" s="31" t="s">
        <v>144</v>
      </c>
      <c r="B25" s="100" t="s">
        <v>29</v>
      </c>
      <c r="C25" s="42">
        <v>3927822.6</v>
      </c>
      <c r="D25" s="42">
        <v>4918381</v>
      </c>
      <c r="E25" s="42">
        <v>17350</v>
      </c>
      <c r="F25" s="32">
        <v>15686</v>
      </c>
      <c r="G25" s="33">
        <v>4498971</v>
      </c>
      <c r="J25" s="31" t="s">
        <v>144</v>
      </c>
      <c r="K25" s="241" t="s">
        <v>137</v>
      </c>
      <c r="L25" s="42">
        <v>12668</v>
      </c>
      <c r="M25" s="32">
        <v>14591</v>
      </c>
      <c r="N25" s="32">
        <v>0</v>
      </c>
      <c r="O25" s="32">
        <v>0</v>
      </c>
      <c r="P25" s="32">
        <v>11375</v>
      </c>
      <c r="Q25" s="11"/>
    </row>
    <row r="26" spans="1:17" ht="15">
      <c r="A26" s="31" t="s">
        <v>134</v>
      </c>
      <c r="B26" s="100" t="s">
        <v>29</v>
      </c>
      <c r="C26" s="42">
        <v>368101</v>
      </c>
      <c r="D26" s="42">
        <v>4344105</v>
      </c>
      <c r="E26" s="42">
        <v>2424397</v>
      </c>
      <c r="F26" s="32">
        <v>2313711</v>
      </c>
      <c r="G26" s="32"/>
      <c r="J26" s="31" t="s">
        <v>134</v>
      </c>
      <c r="K26" s="241" t="s">
        <v>137</v>
      </c>
      <c r="L26" s="42">
        <v>0</v>
      </c>
      <c r="M26" s="32">
        <v>14827</v>
      </c>
      <c r="N26" s="32">
        <v>11285</v>
      </c>
      <c r="O26" s="32">
        <v>13586</v>
      </c>
      <c r="P26" s="32"/>
      <c r="Q26" s="11"/>
    </row>
    <row r="27" spans="1:17" ht="15">
      <c r="A27" s="31" t="s">
        <v>38</v>
      </c>
      <c r="B27" s="100" t="s">
        <v>29</v>
      </c>
      <c r="C27" s="42">
        <v>2805426</v>
      </c>
      <c r="D27" s="42">
        <v>4471181</v>
      </c>
      <c r="E27" s="42">
        <v>3860616</v>
      </c>
      <c r="F27" s="32">
        <v>3704999</v>
      </c>
      <c r="G27" s="32"/>
      <c r="J27" s="31" t="s">
        <v>38</v>
      </c>
      <c r="K27" s="241" t="s">
        <v>137</v>
      </c>
      <c r="L27" s="42">
        <v>13839</v>
      </c>
      <c r="M27" s="32">
        <v>10486</v>
      </c>
      <c r="N27" s="32">
        <v>11104</v>
      </c>
      <c r="O27" s="32">
        <v>11251</v>
      </c>
      <c r="P27" s="32"/>
      <c r="Q27" s="11"/>
    </row>
    <row r="28" spans="1:17" ht="15">
      <c r="A28" s="31" t="s">
        <v>39</v>
      </c>
      <c r="B28" s="100" t="s">
        <v>29</v>
      </c>
      <c r="C28" s="42">
        <v>3732384</v>
      </c>
      <c r="D28" s="42">
        <v>3650885</v>
      </c>
      <c r="E28" s="42">
        <v>3642459</v>
      </c>
      <c r="F28" s="32">
        <v>4088817</v>
      </c>
      <c r="G28" s="32"/>
      <c r="H28" s="41"/>
      <c r="I28" s="19"/>
      <c r="J28" s="31" t="s">
        <v>39</v>
      </c>
      <c r="K28" s="241" t="s">
        <v>137</v>
      </c>
      <c r="L28" s="42">
        <v>15834</v>
      </c>
      <c r="M28" s="32">
        <v>10276</v>
      </c>
      <c r="N28" s="32">
        <v>11178</v>
      </c>
      <c r="O28" s="32">
        <v>12653</v>
      </c>
      <c r="P28" s="32"/>
      <c r="Q28" s="11"/>
    </row>
    <row r="29" spans="1:17" ht="15">
      <c r="A29" s="31" t="s">
        <v>40</v>
      </c>
      <c r="B29" s="100" t="s">
        <v>29</v>
      </c>
      <c r="C29" s="42">
        <v>4770227</v>
      </c>
      <c r="D29" s="42">
        <v>4051878</v>
      </c>
      <c r="E29" s="42">
        <v>3884765</v>
      </c>
      <c r="F29" s="32">
        <v>4554211</v>
      </c>
      <c r="G29" s="32"/>
      <c r="H29" s="41"/>
      <c r="I29" s="3"/>
      <c r="J29" s="31" t="s">
        <v>40</v>
      </c>
      <c r="K29" s="241" t="s">
        <v>137</v>
      </c>
      <c r="L29" s="42">
        <v>14748</v>
      </c>
      <c r="M29" s="32">
        <v>10281</v>
      </c>
      <c r="N29" s="32">
        <v>11512</v>
      </c>
      <c r="O29" s="32">
        <v>11544</v>
      </c>
      <c r="P29" s="32"/>
      <c r="Q29" s="11"/>
    </row>
    <row r="30" spans="1:17" ht="15">
      <c r="A30" s="31" t="s">
        <v>133</v>
      </c>
      <c r="B30" s="100" t="s">
        <v>29</v>
      </c>
      <c r="C30" s="42">
        <v>4050171</v>
      </c>
      <c r="D30" s="42">
        <v>3933312</v>
      </c>
      <c r="E30" s="42">
        <v>4288179</v>
      </c>
      <c r="F30" s="32">
        <v>0</v>
      </c>
      <c r="G30" s="32"/>
      <c r="I30" s="3"/>
      <c r="J30" s="31" t="s">
        <v>133</v>
      </c>
      <c r="K30" s="241" t="s">
        <v>137</v>
      </c>
      <c r="L30" s="42">
        <v>16276</v>
      </c>
      <c r="M30" s="32">
        <v>10276</v>
      </c>
      <c r="N30" s="32">
        <v>11623</v>
      </c>
      <c r="O30" s="32">
        <v>0</v>
      </c>
      <c r="P30" s="32"/>
      <c r="Q30" s="11"/>
    </row>
    <row r="31" spans="1:17" ht="15">
      <c r="A31" s="31" t="s">
        <v>42</v>
      </c>
      <c r="B31" s="100" t="s">
        <v>29</v>
      </c>
      <c r="C31" s="42">
        <v>2759853</v>
      </c>
      <c r="D31" s="42">
        <v>3975134</v>
      </c>
      <c r="E31" s="42">
        <v>4209445</v>
      </c>
      <c r="F31" s="32">
        <v>2568882</v>
      </c>
      <c r="G31" s="32"/>
      <c r="J31" s="31" t="s">
        <v>42</v>
      </c>
      <c r="K31" s="241" t="s">
        <v>137</v>
      </c>
      <c r="L31" s="42">
        <v>14051</v>
      </c>
      <c r="M31" s="32">
        <v>10370</v>
      </c>
      <c r="N31" s="32">
        <v>11326</v>
      </c>
      <c r="O31" s="32">
        <v>10836</v>
      </c>
      <c r="P31" s="32"/>
      <c r="Q31" s="11"/>
    </row>
    <row r="32" spans="1:17" ht="15">
      <c r="A32" s="31" t="s">
        <v>43</v>
      </c>
      <c r="B32" s="100" t="s">
        <v>29</v>
      </c>
      <c r="C32" s="42">
        <v>2718779</v>
      </c>
      <c r="D32" s="42">
        <v>3347584</v>
      </c>
      <c r="E32" s="42">
        <v>3584780</v>
      </c>
      <c r="F32" s="32">
        <v>7043563.999999996</v>
      </c>
      <c r="G32" s="32"/>
      <c r="J32" s="31" t="s">
        <v>43</v>
      </c>
      <c r="K32" s="241" t="s">
        <v>137</v>
      </c>
      <c r="L32" s="42">
        <v>0</v>
      </c>
      <c r="M32" s="32">
        <v>10274</v>
      </c>
      <c r="N32" s="32">
        <v>11002</v>
      </c>
      <c r="O32" s="32">
        <v>23335.6</v>
      </c>
      <c r="P32" s="32"/>
      <c r="Q32" s="11"/>
    </row>
    <row r="33" spans="1:17" ht="15">
      <c r="A33" s="31" t="s">
        <v>44</v>
      </c>
      <c r="B33" s="100" t="s">
        <v>29</v>
      </c>
      <c r="C33" s="42">
        <v>4196544</v>
      </c>
      <c r="D33" s="42">
        <v>4051132</v>
      </c>
      <c r="E33" s="42">
        <v>4128045</v>
      </c>
      <c r="F33" s="32">
        <v>6346080.002276612</v>
      </c>
      <c r="G33" s="32"/>
      <c r="J33" s="31" t="s">
        <v>44</v>
      </c>
      <c r="K33" s="241" t="s">
        <v>137</v>
      </c>
      <c r="L33" s="42">
        <v>31545</v>
      </c>
      <c r="M33" s="32">
        <v>10161</v>
      </c>
      <c r="N33" s="32">
        <v>11053</v>
      </c>
      <c r="O33" s="32">
        <v>11574.7</v>
      </c>
      <c r="P33" s="32"/>
      <c r="Q33" s="11"/>
    </row>
    <row r="34" spans="1:17" ht="15">
      <c r="A34" s="31" t="s">
        <v>33</v>
      </c>
      <c r="B34" s="100"/>
      <c r="C34" s="42"/>
      <c r="D34" s="32"/>
      <c r="E34" s="32"/>
      <c r="F34" s="32"/>
      <c r="G34" s="32">
        <v>5918547</v>
      </c>
      <c r="J34" s="31" t="s">
        <v>33</v>
      </c>
      <c r="K34" s="241" t="s">
        <v>137</v>
      </c>
      <c r="L34" s="42"/>
      <c r="M34" s="32"/>
      <c r="N34" s="32"/>
      <c r="O34" s="32"/>
      <c r="P34" s="32">
        <v>10830</v>
      </c>
      <c r="Q34" s="11"/>
    </row>
    <row r="35" spans="1:17" ht="15">
      <c r="A35" s="43" t="s">
        <v>6</v>
      </c>
      <c r="B35" s="101"/>
      <c r="C35" s="45">
        <f>SUM(C22:C34)</f>
        <v>33444669.6</v>
      </c>
      <c r="D35" s="44">
        <f>SUM(D22:D34)</f>
        <v>51373566</v>
      </c>
      <c r="E35" s="44">
        <f>SUM(E22:E34)</f>
        <v>50449484</v>
      </c>
      <c r="F35" s="44">
        <f>SUM(F22:F34)</f>
        <v>51638590.002276614</v>
      </c>
      <c r="G35" s="44">
        <f>SUM(G22:G34)</f>
        <v>24808504</v>
      </c>
      <c r="J35" s="43" t="s">
        <v>6</v>
      </c>
      <c r="K35" s="43"/>
      <c r="L35" s="44">
        <f>SUM(L22:L34)</f>
        <v>130999.9</v>
      </c>
      <c r="M35" s="44">
        <f>SUM(M22:M34)</f>
        <v>143779</v>
      </c>
      <c r="N35" s="44">
        <f>SUM(N22:N34)</f>
        <v>132007</v>
      </c>
      <c r="O35" s="44">
        <f>SUM(O22:O34)</f>
        <v>139495.30000000002</v>
      </c>
      <c r="P35" s="44">
        <f>SUM(P22:P34)</f>
        <v>54990.1</v>
      </c>
      <c r="Q35" s="11"/>
    </row>
    <row r="36" spans="1:17" ht="15.75" thickBot="1">
      <c r="A36" s="49" t="s">
        <v>66</v>
      </c>
      <c r="B36" s="102"/>
      <c r="C36" s="95">
        <f>C35/10</f>
        <v>3344466.96</v>
      </c>
      <c r="D36" s="95">
        <f>D35/12</f>
        <v>4281130.5</v>
      </c>
      <c r="E36" s="95">
        <f>E35/12</f>
        <v>4204123.666666667</v>
      </c>
      <c r="F36" s="95">
        <f>F35/12</f>
        <v>4303215.833523051</v>
      </c>
      <c r="G36" s="96">
        <f>G35/5</f>
        <v>4961700.8</v>
      </c>
      <c r="I36" s="1"/>
      <c r="J36" s="49" t="s">
        <v>66</v>
      </c>
      <c r="K36" s="75"/>
      <c r="L36" s="95">
        <f>L35/10</f>
        <v>13099.99</v>
      </c>
      <c r="M36" s="95">
        <f>M35/12</f>
        <v>11981.583333333334</v>
      </c>
      <c r="N36" s="95">
        <f>N35/12</f>
        <v>11000.583333333334</v>
      </c>
      <c r="O36" s="95">
        <f>O35/12</f>
        <v>11624.608333333335</v>
      </c>
      <c r="P36" s="96">
        <f>P35/5</f>
        <v>10998.02</v>
      </c>
      <c r="Q36" s="28"/>
    </row>
    <row r="37" spans="1:17" ht="18" customHeight="1">
      <c r="A37" s="237" t="s">
        <v>125</v>
      </c>
      <c r="L37" s="30"/>
      <c r="M37" s="27"/>
      <c r="N37" s="29"/>
      <c r="O37" s="11"/>
      <c r="P37" s="11"/>
      <c r="Q37" s="11"/>
    </row>
    <row r="38" spans="1:17" ht="18" customHeight="1">
      <c r="A38" s="3"/>
      <c r="L38" s="30"/>
      <c r="M38" s="27"/>
      <c r="N38" s="29"/>
      <c r="O38" s="11"/>
      <c r="P38" s="11"/>
      <c r="Q38" s="11"/>
    </row>
    <row r="39" spans="1:16" ht="15">
      <c r="A39" s="72" t="s">
        <v>47</v>
      </c>
      <c r="B39" s="253" t="s">
        <v>25</v>
      </c>
      <c r="C39" s="254"/>
      <c r="D39" s="254"/>
      <c r="E39" s="254"/>
      <c r="F39" s="255"/>
      <c r="G39" s="70"/>
      <c r="J39" s="72" t="s">
        <v>47</v>
      </c>
      <c r="K39" s="71"/>
      <c r="L39" s="253" t="s">
        <v>25</v>
      </c>
      <c r="M39" s="254"/>
      <c r="N39" s="254"/>
      <c r="O39" s="254"/>
      <c r="P39" s="255"/>
    </row>
    <row r="40" spans="1:17" ht="15">
      <c r="A40" s="73" t="s">
        <v>26</v>
      </c>
      <c r="B40" s="73" t="s">
        <v>27</v>
      </c>
      <c r="C40" s="73">
        <v>2002</v>
      </c>
      <c r="D40" s="73">
        <v>2003</v>
      </c>
      <c r="E40" s="73">
        <v>2004</v>
      </c>
      <c r="F40" s="73">
        <v>2005</v>
      </c>
      <c r="G40" s="73">
        <v>2006</v>
      </c>
      <c r="J40" s="73" t="s">
        <v>26</v>
      </c>
      <c r="K40" s="73" t="s">
        <v>27</v>
      </c>
      <c r="L40" s="73">
        <v>2002</v>
      </c>
      <c r="M40" s="73">
        <v>2003</v>
      </c>
      <c r="N40" s="73">
        <v>2004</v>
      </c>
      <c r="O40" s="73">
        <v>2005</v>
      </c>
      <c r="P40" s="73">
        <v>2006</v>
      </c>
      <c r="Q40" s="28"/>
    </row>
    <row r="41" spans="1:17" ht="15">
      <c r="A41" s="31" t="s">
        <v>34</v>
      </c>
      <c r="B41" s="31" t="s">
        <v>50</v>
      </c>
      <c r="C41" s="42"/>
      <c r="D41" s="32">
        <v>108</v>
      </c>
      <c r="E41" s="32">
        <v>110</v>
      </c>
      <c r="F41" s="32">
        <v>104</v>
      </c>
      <c r="G41" s="32">
        <v>98.75277777777778</v>
      </c>
      <c r="J41" s="31" t="s">
        <v>34</v>
      </c>
      <c r="K41" s="31" t="s">
        <v>49</v>
      </c>
      <c r="L41" s="31"/>
      <c r="M41" s="33">
        <v>582</v>
      </c>
      <c r="N41" s="33">
        <v>581</v>
      </c>
      <c r="O41" s="33">
        <v>586</v>
      </c>
      <c r="P41" s="33">
        <v>587</v>
      </c>
      <c r="Q41" s="11"/>
    </row>
    <row r="42" spans="1:17" ht="15">
      <c r="A42" s="31" t="s">
        <v>35</v>
      </c>
      <c r="B42" s="31" t="s">
        <v>50</v>
      </c>
      <c r="C42" s="42"/>
      <c r="D42" s="32">
        <v>147</v>
      </c>
      <c r="E42" s="32">
        <v>116</v>
      </c>
      <c r="F42" s="32">
        <v>104</v>
      </c>
      <c r="G42" s="32">
        <v>108.00833333333334</v>
      </c>
      <c r="J42" s="31" t="s">
        <v>35</v>
      </c>
      <c r="K42" s="31" t="s">
        <v>49</v>
      </c>
      <c r="L42" s="31"/>
      <c r="M42" s="33">
        <v>581</v>
      </c>
      <c r="N42" s="33">
        <v>583</v>
      </c>
      <c r="O42" s="33">
        <v>586</v>
      </c>
      <c r="P42" s="33">
        <v>587</v>
      </c>
      <c r="Q42" s="11"/>
    </row>
    <row r="43" spans="1:17" ht="15">
      <c r="A43" s="31" t="s">
        <v>36</v>
      </c>
      <c r="B43" s="31" t="s">
        <v>50</v>
      </c>
      <c r="C43" s="42">
        <v>113</v>
      </c>
      <c r="D43" s="32">
        <v>103</v>
      </c>
      <c r="E43" s="32">
        <v>242</v>
      </c>
      <c r="F43" s="32">
        <v>224</v>
      </c>
      <c r="G43" s="32">
        <v>94.20833333333331</v>
      </c>
      <c r="J43" s="31" t="s">
        <v>36</v>
      </c>
      <c r="K43" s="31" t="s">
        <v>49</v>
      </c>
      <c r="L43" s="42">
        <v>577.8</v>
      </c>
      <c r="M43" s="33">
        <v>582</v>
      </c>
      <c r="N43" s="33">
        <v>1167</v>
      </c>
      <c r="O43" s="33">
        <v>1172</v>
      </c>
      <c r="P43" s="33">
        <v>587</v>
      </c>
      <c r="Q43" s="11"/>
    </row>
    <row r="44" spans="1:17" ht="15">
      <c r="A44" s="31" t="s">
        <v>144</v>
      </c>
      <c r="B44" s="31" t="s">
        <v>50</v>
      </c>
      <c r="C44" s="42">
        <v>118</v>
      </c>
      <c r="D44" s="32">
        <v>122</v>
      </c>
      <c r="E44" s="32">
        <v>0</v>
      </c>
      <c r="F44" s="32">
        <v>0</v>
      </c>
      <c r="G44" s="32">
        <v>99</v>
      </c>
      <c r="J44" s="31" t="s">
        <v>144</v>
      </c>
      <c r="K44" s="31" t="s">
        <v>49</v>
      </c>
      <c r="L44" s="42">
        <v>577.8</v>
      </c>
      <c r="M44" s="33">
        <v>582</v>
      </c>
      <c r="N44" s="33">
        <v>0</v>
      </c>
      <c r="O44" s="33">
        <v>0</v>
      </c>
      <c r="P44" s="33">
        <v>587</v>
      </c>
      <c r="Q44" s="11"/>
    </row>
    <row r="45" spans="1:17" ht="15.75" customHeight="1">
      <c r="A45" s="31" t="s">
        <v>134</v>
      </c>
      <c r="B45" s="31" t="s">
        <v>50</v>
      </c>
      <c r="C45" s="42">
        <v>8</v>
      </c>
      <c r="D45" s="32">
        <v>112</v>
      </c>
      <c r="E45" s="32">
        <v>80</v>
      </c>
      <c r="F45" s="32">
        <v>74</v>
      </c>
      <c r="G45" s="32"/>
      <c r="J45" s="31" t="s">
        <v>134</v>
      </c>
      <c r="K45" s="31" t="s">
        <v>49</v>
      </c>
      <c r="L45" s="42">
        <v>0</v>
      </c>
      <c r="M45" s="33">
        <v>582</v>
      </c>
      <c r="N45" s="33">
        <v>583</v>
      </c>
      <c r="O45" s="33">
        <v>586</v>
      </c>
      <c r="P45" s="33"/>
      <c r="Q45" s="11"/>
    </row>
    <row r="46" spans="1:17" s="1" customFormat="1" ht="15">
      <c r="A46" s="31" t="s">
        <v>38</v>
      </c>
      <c r="B46" s="31" t="s">
        <v>50</v>
      </c>
      <c r="C46" s="42">
        <v>97</v>
      </c>
      <c r="D46" s="32">
        <v>122</v>
      </c>
      <c r="E46" s="32">
        <v>111</v>
      </c>
      <c r="F46" s="32">
        <v>101</v>
      </c>
      <c r="G46" s="32"/>
      <c r="J46" s="31" t="s">
        <v>38</v>
      </c>
      <c r="K46" s="31" t="s">
        <v>49</v>
      </c>
      <c r="L46" s="42">
        <v>578</v>
      </c>
      <c r="M46" s="33">
        <v>582</v>
      </c>
      <c r="N46" s="33">
        <v>585</v>
      </c>
      <c r="O46" s="33">
        <v>587</v>
      </c>
      <c r="P46" s="33"/>
      <c r="Q46" s="40"/>
    </row>
    <row r="47" spans="1:17" s="1" customFormat="1" ht="15">
      <c r="A47" s="31" t="s">
        <v>39</v>
      </c>
      <c r="B47" s="31" t="s">
        <v>50</v>
      </c>
      <c r="C47" s="42">
        <v>111</v>
      </c>
      <c r="D47" s="32">
        <v>122</v>
      </c>
      <c r="E47" s="32">
        <v>99</v>
      </c>
      <c r="F47" s="32">
        <v>100</v>
      </c>
      <c r="G47" s="32"/>
      <c r="J47" s="31" t="s">
        <v>39</v>
      </c>
      <c r="K47" s="31" t="s">
        <v>49</v>
      </c>
      <c r="L47" s="42">
        <v>577</v>
      </c>
      <c r="M47" s="33">
        <v>582</v>
      </c>
      <c r="N47" s="33">
        <v>584</v>
      </c>
      <c r="O47" s="33">
        <v>586</v>
      </c>
      <c r="P47" s="33"/>
      <c r="Q47" s="40"/>
    </row>
    <row r="48" spans="1:17" ht="15">
      <c r="A48" s="31" t="s">
        <v>40</v>
      </c>
      <c r="B48" s="31" t="s">
        <v>50</v>
      </c>
      <c r="C48" s="42">
        <v>129</v>
      </c>
      <c r="D48" s="32">
        <v>112</v>
      </c>
      <c r="E48" s="32">
        <v>102</v>
      </c>
      <c r="F48" s="32">
        <v>106</v>
      </c>
      <c r="G48" s="32"/>
      <c r="J48" s="31" t="s">
        <v>40</v>
      </c>
      <c r="K48" s="31" t="s">
        <v>49</v>
      </c>
      <c r="L48" s="42">
        <v>577</v>
      </c>
      <c r="M48" s="33">
        <v>582</v>
      </c>
      <c r="N48" s="33">
        <v>585</v>
      </c>
      <c r="O48" s="33">
        <v>587</v>
      </c>
      <c r="P48" s="33"/>
      <c r="Q48" s="11"/>
    </row>
    <row r="49" spans="1:17" ht="15">
      <c r="A49" s="31" t="s">
        <v>133</v>
      </c>
      <c r="B49" s="31" t="s">
        <v>50</v>
      </c>
      <c r="C49" s="42">
        <v>113</v>
      </c>
      <c r="D49" s="32">
        <v>106</v>
      </c>
      <c r="E49" s="32">
        <v>111</v>
      </c>
      <c r="F49" s="32">
        <v>0</v>
      </c>
      <c r="G49" s="32"/>
      <c r="J49" s="31" t="s">
        <v>133</v>
      </c>
      <c r="K49" s="31" t="s">
        <v>49</v>
      </c>
      <c r="L49" s="42">
        <v>577</v>
      </c>
      <c r="M49" s="33">
        <v>582</v>
      </c>
      <c r="N49" s="33">
        <v>585</v>
      </c>
      <c r="O49" s="33">
        <v>0</v>
      </c>
      <c r="P49" s="33"/>
      <c r="Q49" s="11"/>
    </row>
    <row r="50" spans="1:17" ht="15">
      <c r="A50" s="31" t="s">
        <v>42</v>
      </c>
      <c r="B50" s="31" t="s">
        <v>50</v>
      </c>
      <c r="C50" s="42">
        <v>91</v>
      </c>
      <c r="D50" s="32">
        <v>113</v>
      </c>
      <c r="E50" s="32">
        <v>101</v>
      </c>
      <c r="F50" s="32">
        <v>34.05555555555554</v>
      </c>
      <c r="G50" s="32"/>
      <c r="J50" s="31" t="s">
        <v>42</v>
      </c>
      <c r="K50" s="31" t="s">
        <v>49</v>
      </c>
      <c r="L50" s="42">
        <v>577</v>
      </c>
      <c r="M50" s="33">
        <v>582</v>
      </c>
      <c r="N50" s="33">
        <v>584</v>
      </c>
      <c r="O50" s="33">
        <v>586.5</v>
      </c>
      <c r="P50" s="33"/>
      <c r="Q50" s="11"/>
    </row>
    <row r="51" spans="1:17" ht="15">
      <c r="A51" s="31" t="s">
        <v>43</v>
      </c>
      <c r="B51" s="31" t="s">
        <v>50</v>
      </c>
      <c r="C51" s="42">
        <v>90</v>
      </c>
      <c r="D51" s="32">
        <v>95</v>
      </c>
      <c r="E51" s="32">
        <v>97</v>
      </c>
      <c r="F51" s="32">
        <v>174.83333333333331</v>
      </c>
      <c r="G51" s="32"/>
      <c r="J51" s="31" t="s">
        <v>43</v>
      </c>
      <c r="K51" s="31" t="s">
        <v>49</v>
      </c>
      <c r="L51" s="42">
        <v>0</v>
      </c>
      <c r="M51" s="33">
        <v>581</v>
      </c>
      <c r="N51" s="33">
        <v>585</v>
      </c>
      <c r="O51" s="33">
        <v>1172.9</v>
      </c>
      <c r="P51" s="33"/>
      <c r="Q51" s="11"/>
    </row>
    <row r="52" spans="1:17" ht="15">
      <c r="A52" s="31" t="s">
        <v>44</v>
      </c>
      <c r="B52" s="31" t="s">
        <v>50</v>
      </c>
      <c r="C52" s="42">
        <v>93</v>
      </c>
      <c r="D52" s="32">
        <v>114</v>
      </c>
      <c r="E52" s="32">
        <v>104</v>
      </c>
      <c r="F52" s="32">
        <v>185.85</v>
      </c>
      <c r="G52" s="32"/>
      <c r="J52" s="31" t="s">
        <v>44</v>
      </c>
      <c r="K52" s="31" t="s">
        <v>49</v>
      </c>
      <c r="L52" s="42">
        <v>1154</v>
      </c>
      <c r="M52" s="33">
        <v>581</v>
      </c>
      <c r="N52" s="33">
        <v>584</v>
      </c>
      <c r="O52" s="33">
        <v>586.5</v>
      </c>
      <c r="P52" s="33"/>
      <c r="Q52" s="11"/>
    </row>
    <row r="53" spans="1:17" ht="15">
      <c r="A53" s="31" t="s">
        <v>33</v>
      </c>
      <c r="B53" s="31" t="s">
        <v>50</v>
      </c>
      <c r="C53" s="42"/>
      <c r="D53" s="32"/>
      <c r="E53" s="32"/>
      <c r="F53" s="32"/>
      <c r="G53" s="32">
        <v>130</v>
      </c>
      <c r="J53" s="31" t="s">
        <v>33</v>
      </c>
      <c r="K53" s="31" t="s">
        <v>49</v>
      </c>
      <c r="L53" s="42"/>
      <c r="M53" s="31"/>
      <c r="N53" s="33"/>
      <c r="O53" s="33"/>
      <c r="P53" s="42">
        <v>587</v>
      </c>
      <c r="Q53" s="11"/>
    </row>
    <row r="54" spans="1:17" ht="15">
      <c r="A54" s="43" t="s">
        <v>6</v>
      </c>
      <c r="B54" s="43"/>
      <c r="C54" s="44">
        <f>SUM(C41:C53)</f>
        <v>963</v>
      </c>
      <c r="D54" s="44">
        <f>SUM(D41:D53)</f>
        <v>1376</v>
      </c>
      <c r="E54" s="44">
        <f>SUM(E41:E53)</f>
        <v>1273</v>
      </c>
      <c r="F54" s="44">
        <f>SUM(F41:F53)</f>
        <v>1207.7388888888888</v>
      </c>
      <c r="G54" s="44">
        <f>SUM(G41:G53)</f>
        <v>529.9694444444444</v>
      </c>
      <c r="J54" s="43" t="s">
        <v>6</v>
      </c>
      <c r="K54" s="43"/>
      <c r="L54" s="44">
        <f>SUM(L41:L53)</f>
        <v>5195.6</v>
      </c>
      <c r="M54" s="44">
        <f>SUM(M41:M53)</f>
        <v>6981</v>
      </c>
      <c r="N54" s="44">
        <f>SUM(N41:N53)</f>
        <v>7006</v>
      </c>
      <c r="O54" s="44">
        <f>SUM(O41:O52)</f>
        <v>7035.9</v>
      </c>
      <c r="P54" s="44">
        <f>SUM(P41:P53)</f>
        <v>2935</v>
      </c>
      <c r="Q54" s="11"/>
    </row>
    <row r="55" spans="1:17" ht="15">
      <c r="A55" s="49" t="s">
        <v>66</v>
      </c>
      <c r="B55" s="75"/>
      <c r="C55" s="95">
        <f>C54/10</f>
        <v>96.3</v>
      </c>
      <c r="D55" s="95">
        <f>D54/12</f>
        <v>114.66666666666667</v>
      </c>
      <c r="E55" s="95">
        <f>E54/12</f>
        <v>106.08333333333333</v>
      </c>
      <c r="F55" s="95">
        <f>F54/12</f>
        <v>100.6449074074074</v>
      </c>
      <c r="G55" s="96">
        <f>G54/5</f>
        <v>105.99388888888889</v>
      </c>
      <c r="I55" s="1"/>
      <c r="J55" s="49" t="s">
        <v>66</v>
      </c>
      <c r="K55" s="75"/>
      <c r="L55" s="95">
        <f>L54/10</f>
        <v>519.5600000000001</v>
      </c>
      <c r="M55" s="95">
        <f>M54/12</f>
        <v>581.75</v>
      </c>
      <c r="N55" s="95">
        <f>N54/12</f>
        <v>583.8333333333334</v>
      </c>
      <c r="O55" s="95">
        <f>O54/12</f>
        <v>586.3249999999999</v>
      </c>
      <c r="P55" s="96">
        <f>P54/5</f>
        <v>587</v>
      </c>
      <c r="Q55" s="11"/>
    </row>
    <row r="56" spans="10:17" ht="18" customHeight="1">
      <c r="J56" s="191"/>
      <c r="K56" s="191"/>
      <c r="L56" s="238"/>
      <c r="M56" s="238"/>
      <c r="N56" s="238"/>
      <c r="O56" s="238"/>
      <c r="P56" s="238"/>
      <c r="Q56" s="11"/>
    </row>
    <row r="57" spans="10:17" ht="15">
      <c r="J57" s="3"/>
      <c r="K57" s="3"/>
      <c r="L57" s="239"/>
      <c r="M57" s="239"/>
      <c r="N57" s="239"/>
      <c r="O57" s="239"/>
      <c r="P57" s="239"/>
      <c r="Q57" s="11"/>
    </row>
    <row r="58" spans="1:17" ht="15">
      <c r="A58" s="114" t="s">
        <v>48</v>
      </c>
      <c r="B58" s="115"/>
      <c r="C58" s="116">
        <f>C17+C35</f>
        <v>105702474.6</v>
      </c>
      <c r="D58" s="116">
        <f>D17+D35</f>
        <v>162302100</v>
      </c>
      <c r="E58" s="116">
        <f>E17+E35</f>
        <v>157519278</v>
      </c>
      <c r="F58" s="116">
        <f>F17+F35</f>
        <v>163051995.91059053</v>
      </c>
      <c r="G58" s="116">
        <f>G17+G35</f>
        <v>81012527</v>
      </c>
      <c r="J58" s="3"/>
      <c r="K58" s="3"/>
      <c r="L58" s="239"/>
      <c r="M58" s="239"/>
      <c r="N58" s="239"/>
      <c r="O58" s="239"/>
      <c r="P58" s="239"/>
      <c r="Q58" s="11"/>
    </row>
    <row r="59" spans="10:17" ht="15">
      <c r="J59" s="3"/>
      <c r="K59" s="3"/>
      <c r="L59" s="239"/>
      <c r="M59" s="239"/>
      <c r="N59" s="239"/>
      <c r="O59" s="239"/>
      <c r="P59" s="239"/>
      <c r="Q59" s="11"/>
    </row>
    <row r="60" spans="1:17" ht="15">
      <c r="A60" s="3"/>
      <c r="B60" s="103"/>
      <c r="C60" s="3"/>
      <c r="D60" s="3"/>
      <c r="E60" s="3"/>
      <c r="F60" s="3"/>
      <c r="J60" s="3"/>
      <c r="K60" s="3"/>
      <c r="L60" s="239"/>
      <c r="M60" s="239"/>
      <c r="N60" s="239"/>
      <c r="O60" s="239"/>
      <c r="P60" s="239"/>
      <c r="Q60" s="11"/>
    </row>
    <row r="61" spans="1:17" ht="15">
      <c r="A61" s="114" t="s">
        <v>67</v>
      </c>
      <c r="B61" s="115"/>
      <c r="C61" s="117">
        <f>C54+L35+L17+L74+L54</f>
        <v>331422.43999999994</v>
      </c>
      <c r="D61" s="117">
        <f>D54+M35+M17+M74+M54</f>
        <v>433287</v>
      </c>
      <c r="E61" s="117">
        <f>E54+N35+N17+N74+N54</f>
        <v>400119</v>
      </c>
      <c r="F61" s="117">
        <f>F54+O35+O17+O74+O54</f>
        <v>414239.03888888896</v>
      </c>
      <c r="G61" s="117">
        <f>G54+P35+P17+P74+P54</f>
        <v>182486.76944444445</v>
      </c>
      <c r="J61" s="3"/>
      <c r="K61" s="3"/>
      <c r="L61" s="239"/>
      <c r="M61" s="239"/>
      <c r="N61" s="239"/>
      <c r="O61" s="239"/>
      <c r="P61" s="239"/>
      <c r="Q61" s="11"/>
    </row>
    <row r="62" spans="1:16" ht="15">
      <c r="A62" s="3"/>
      <c r="B62" s="104"/>
      <c r="C62" s="67"/>
      <c r="D62" s="66"/>
      <c r="E62" s="66"/>
      <c r="F62" s="66"/>
      <c r="G62" s="65"/>
      <c r="J62" s="3"/>
      <c r="K62" s="3"/>
      <c r="L62" s="239"/>
      <c r="M62" s="239"/>
      <c r="N62" s="239"/>
      <c r="O62" s="239"/>
      <c r="P62" s="239"/>
    </row>
    <row r="63" spans="1:16" ht="15">
      <c r="A63" s="3"/>
      <c r="B63" s="104"/>
      <c r="C63" s="67"/>
      <c r="D63" s="66"/>
      <c r="E63" s="66"/>
      <c r="F63" s="66"/>
      <c r="G63" s="65"/>
      <c r="J63" s="3"/>
      <c r="K63" s="3"/>
      <c r="L63" s="239"/>
      <c r="M63" s="239"/>
      <c r="N63" s="239"/>
      <c r="O63" s="239"/>
      <c r="P63" s="239"/>
    </row>
    <row r="64" spans="1:16" ht="15">
      <c r="A64" s="5" t="s">
        <v>145</v>
      </c>
      <c r="B64" s="104"/>
      <c r="C64" s="67"/>
      <c r="D64" s="66"/>
      <c r="E64" s="66"/>
      <c r="F64" s="66"/>
      <c r="G64" s="65"/>
      <c r="J64" s="3"/>
      <c r="K64" s="3"/>
      <c r="L64" s="239"/>
      <c r="M64" s="239"/>
      <c r="N64" s="239"/>
      <c r="O64" s="239"/>
      <c r="P64" s="239"/>
    </row>
    <row r="65" spans="1:16" ht="15">
      <c r="A65" s="5" t="s">
        <v>146</v>
      </c>
      <c r="B65" s="104"/>
      <c r="C65" s="67"/>
      <c r="D65" s="66"/>
      <c r="E65" s="66"/>
      <c r="F65" s="66"/>
      <c r="G65" s="65"/>
      <c r="J65" s="3"/>
      <c r="K65" s="3"/>
      <c r="L65" s="239"/>
      <c r="M65" s="239"/>
      <c r="N65" s="239"/>
      <c r="O65" s="239"/>
      <c r="P65" s="239"/>
    </row>
    <row r="66" spans="1:16" ht="15">
      <c r="A66" s="3"/>
      <c r="B66" s="104"/>
      <c r="C66" s="67"/>
      <c r="D66" s="66"/>
      <c r="E66" s="66"/>
      <c r="F66" s="66"/>
      <c r="G66" s="65"/>
      <c r="J66" s="3"/>
      <c r="K66" s="3"/>
      <c r="L66" s="239"/>
      <c r="M66" s="239"/>
      <c r="N66" s="239"/>
      <c r="O66" s="239"/>
      <c r="P66" s="239"/>
    </row>
    <row r="67" spans="1:16" ht="15">
      <c r="A67" s="3"/>
      <c r="B67" s="104"/>
      <c r="C67" s="67"/>
      <c r="D67" s="66"/>
      <c r="E67" s="66"/>
      <c r="F67" s="66"/>
      <c r="G67" s="65"/>
      <c r="J67" s="3"/>
      <c r="K67" s="3"/>
      <c r="L67" s="239"/>
      <c r="M67" s="239"/>
      <c r="N67" s="239"/>
      <c r="O67" s="239"/>
      <c r="P67" s="239"/>
    </row>
    <row r="68" spans="1:16" ht="15">
      <c r="A68" s="3"/>
      <c r="B68" s="104"/>
      <c r="C68" s="67"/>
      <c r="D68" s="66"/>
      <c r="E68" s="66"/>
      <c r="F68" s="66"/>
      <c r="G68" s="65"/>
      <c r="J68" s="3"/>
      <c r="K68" s="3"/>
      <c r="L68" s="239"/>
      <c r="M68" s="239"/>
      <c r="N68" s="239"/>
      <c r="O68" s="239"/>
      <c r="P68" s="239"/>
    </row>
    <row r="69" spans="1:16" ht="15">
      <c r="A69" s="3"/>
      <c r="B69" s="104"/>
      <c r="C69" s="67"/>
      <c r="D69" s="66"/>
      <c r="E69" s="66"/>
      <c r="F69" s="66"/>
      <c r="G69" s="65"/>
      <c r="J69" s="3"/>
      <c r="K69" s="3"/>
      <c r="L69" s="239"/>
      <c r="M69" s="239"/>
      <c r="N69" s="239"/>
      <c r="O69" s="239"/>
      <c r="P69" s="239"/>
    </row>
    <row r="70" spans="1:16" ht="15">
      <c r="A70" s="3"/>
      <c r="B70" s="104"/>
      <c r="C70" s="67"/>
      <c r="D70" s="66"/>
      <c r="E70" s="66"/>
      <c r="F70" s="66"/>
      <c r="G70" s="65"/>
      <c r="J70" s="3"/>
      <c r="K70" s="3"/>
      <c r="L70" s="239"/>
      <c r="M70" s="239"/>
      <c r="N70" s="239"/>
      <c r="O70" s="239"/>
      <c r="P70" s="239"/>
    </row>
    <row r="71" spans="1:16" ht="15">
      <c r="A71" s="3"/>
      <c r="B71" s="104"/>
      <c r="C71" s="67"/>
      <c r="D71" s="66"/>
      <c r="E71" s="66"/>
      <c r="F71" s="66"/>
      <c r="G71" s="65"/>
      <c r="J71" s="3"/>
      <c r="K71" s="3"/>
      <c r="L71" s="239"/>
      <c r="M71" s="239"/>
      <c r="N71" s="239"/>
      <c r="O71" s="239"/>
      <c r="P71" s="239"/>
    </row>
    <row r="72" spans="1:16" ht="15">
      <c r="A72" s="3"/>
      <c r="B72" s="104"/>
      <c r="C72" s="67"/>
      <c r="D72" s="66"/>
      <c r="E72" s="66"/>
      <c r="F72" s="66"/>
      <c r="G72" s="65"/>
      <c r="J72" s="3"/>
      <c r="K72" s="3"/>
      <c r="L72" s="239"/>
      <c r="M72" s="239"/>
      <c r="N72" s="239"/>
      <c r="O72" s="239"/>
      <c r="P72" s="239"/>
    </row>
    <row r="73" spans="1:16" ht="15">
      <c r="A73" s="3"/>
      <c r="B73" s="104"/>
      <c r="C73" s="67"/>
      <c r="D73" s="66"/>
      <c r="E73" s="66"/>
      <c r="F73" s="66"/>
      <c r="G73" s="65"/>
      <c r="J73" s="3"/>
      <c r="K73" s="3"/>
      <c r="L73" s="239"/>
      <c r="M73" s="239"/>
      <c r="N73" s="239"/>
      <c r="O73" s="239"/>
      <c r="P73" s="239"/>
    </row>
    <row r="74" spans="1:16" ht="15">
      <c r="A74" s="3"/>
      <c r="B74" s="104"/>
      <c r="C74" s="67"/>
      <c r="D74" s="66"/>
      <c r="E74" s="66"/>
      <c r="F74" s="66"/>
      <c r="G74" s="65"/>
      <c r="J74" s="3"/>
      <c r="K74" s="3"/>
      <c r="L74" s="239"/>
      <c r="M74" s="239"/>
      <c r="N74" s="239"/>
      <c r="O74" s="239"/>
      <c r="P74" s="239"/>
    </row>
    <row r="75" spans="1:16" ht="15">
      <c r="A75" s="3"/>
      <c r="B75" s="104"/>
      <c r="C75" s="67"/>
      <c r="D75" s="66"/>
      <c r="E75" s="66"/>
      <c r="F75" s="66"/>
      <c r="G75" s="65"/>
      <c r="J75" s="3"/>
      <c r="K75" s="3"/>
      <c r="L75" s="239"/>
      <c r="M75" s="239"/>
      <c r="N75" s="239"/>
      <c r="O75" s="239"/>
      <c r="P75" s="239"/>
    </row>
    <row r="76" spans="1:16" ht="15">
      <c r="A76" s="3"/>
      <c r="B76" s="104"/>
      <c r="C76" s="67"/>
      <c r="D76" s="66"/>
      <c r="E76" s="66"/>
      <c r="F76" s="3"/>
      <c r="J76" s="3"/>
      <c r="K76" s="3"/>
      <c r="L76" s="3"/>
      <c r="M76" s="3"/>
      <c r="N76" s="3"/>
      <c r="O76" s="3"/>
      <c r="P76" s="3"/>
    </row>
    <row r="77" spans="1:6" ht="15">
      <c r="A77" s="3"/>
      <c r="B77" s="103"/>
      <c r="C77" s="3"/>
      <c r="D77" s="3"/>
      <c r="E77" s="3"/>
      <c r="F77" s="3"/>
    </row>
    <row r="78" spans="1:6" ht="15">
      <c r="A78" s="3"/>
      <c r="B78" s="103"/>
      <c r="C78" s="3"/>
      <c r="D78" s="3"/>
      <c r="E78" s="3"/>
      <c r="F78" s="3"/>
    </row>
    <row r="79" spans="1:6" ht="15">
      <c r="A79" s="3"/>
      <c r="B79" s="103"/>
      <c r="C79" s="3"/>
      <c r="D79" s="3"/>
      <c r="E79" s="3"/>
      <c r="F79" s="3"/>
    </row>
    <row r="80" spans="1:6" ht="4.5" customHeight="1">
      <c r="A80" s="3"/>
      <c r="B80" s="103"/>
      <c r="C80" s="3"/>
      <c r="D80" s="3"/>
      <c r="E80" s="3"/>
      <c r="F80" s="3"/>
    </row>
    <row r="81" spans="1:6" ht="15">
      <c r="A81" s="3"/>
      <c r="B81" s="105"/>
      <c r="C81" s="67"/>
      <c r="D81" s="66"/>
      <c r="E81" s="66"/>
      <c r="F81" s="3"/>
    </row>
    <row r="82" spans="1:6" ht="15">
      <c r="A82" s="3"/>
      <c r="B82" s="105"/>
      <c r="C82" s="67"/>
      <c r="D82" s="66"/>
      <c r="E82" s="66"/>
      <c r="F82" s="3"/>
    </row>
    <row r="83" spans="1:6" ht="15">
      <c r="A83" s="3"/>
      <c r="B83" s="105"/>
      <c r="C83" s="67"/>
      <c r="D83" s="66"/>
      <c r="E83" s="66"/>
      <c r="F83" s="3"/>
    </row>
    <row r="84" spans="1:6" ht="15">
      <c r="A84" s="3"/>
      <c r="B84" s="105"/>
      <c r="C84" s="67"/>
      <c r="D84" s="66"/>
      <c r="E84" s="66"/>
      <c r="F84" s="3"/>
    </row>
    <row r="85" spans="1:6" ht="15">
      <c r="A85" s="3"/>
      <c r="B85" s="105"/>
      <c r="C85" s="67"/>
      <c r="D85" s="66"/>
      <c r="E85" s="66"/>
      <c r="F85" s="3"/>
    </row>
    <row r="86" spans="1:6" ht="15">
      <c r="A86" s="3"/>
      <c r="B86" s="105"/>
      <c r="C86" s="67"/>
      <c r="D86" s="66"/>
      <c r="E86" s="66"/>
      <c r="F86" s="3"/>
    </row>
    <row r="87" spans="1:6" ht="15">
      <c r="A87" s="3"/>
      <c r="B87" s="105"/>
      <c r="C87" s="67"/>
      <c r="D87" s="66"/>
      <c r="E87" s="66"/>
      <c r="F87" s="3"/>
    </row>
    <row r="88" spans="1:6" ht="15">
      <c r="A88" s="3"/>
      <c r="B88" s="105"/>
      <c r="C88" s="67"/>
      <c r="D88" s="66"/>
      <c r="E88" s="66"/>
      <c r="F88" s="3"/>
    </row>
    <row r="89" spans="1:6" ht="15">
      <c r="A89" s="3"/>
      <c r="B89" s="105"/>
      <c r="C89" s="67"/>
      <c r="D89" s="66"/>
      <c r="E89" s="66"/>
      <c r="F89" s="3"/>
    </row>
    <row r="90" spans="1:6" ht="15">
      <c r="A90" s="3"/>
      <c r="B90" s="105"/>
      <c r="C90" s="67"/>
      <c r="D90" s="66"/>
      <c r="E90" s="66"/>
      <c r="F90" s="3"/>
    </row>
    <row r="91" spans="1:6" ht="15">
      <c r="A91" s="3"/>
      <c r="B91" s="105"/>
      <c r="C91" s="67"/>
      <c r="D91" s="66"/>
      <c r="E91" s="66"/>
      <c r="F91" s="3"/>
    </row>
    <row r="92" spans="1:6" ht="15">
      <c r="A92" s="3"/>
      <c r="B92" s="105"/>
      <c r="C92" s="67"/>
      <c r="D92" s="66"/>
      <c r="E92" s="66"/>
      <c r="F92" s="3"/>
    </row>
    <row r="93" spans="1:6" ht="15">
      <c r="A93" s="3"/>
      <c r="B93" s="104"/>
      <c r="C93" s="67"/>
      <c r="D93" s="66"/>
      <c r="E93" s="66"/>
      <c r="F93" s="3"/>
    </row>
    <row r="94" spans="1:6" ht="15">
      <c r="A94" s="3"/>
      <c r="B94" s="103"/>
      <c r="C94" s="3"/>
      <c r="D94" s="3"/>
      <c r="E94" s="3"/>
      <c r="F94" s="3"/>
    </row>
    <row r="95" spans="1:6" ht="15">
      <c r="A95" s="3"/>
      <c r="B95" s="103"/>
      <c r="C95" s="3"/>
      <c r="D95" s="3"/>
      <c r="E95" s="3"/>
      <c r="F95" s="3"/>
    </row>
    <row r="96" spans="1:6" ht="15">
      <c r="A96" s="3"/>
      <c r="B96" s="103"/>
      <c r="C96" s="3"/>
      <c r="D96" s="3"/>
      <c r="E96" s="3"/>
      <c r="F96" s="3"/>
    </row>
  </sheetData>
  <sheetProtection/>
  <mergeCells count="6">
    <mergeCell ref="C2:G2"/>
    <mergeCell ref="L2:P2"/>
    <mergeCell ref="C20:G20"/>
    <mergeCell ref="L20:P20"/>
    <mergeCell ref="B39:F39"/>
    <mergeCell ref="L39:P39"/>
  </mergeCells>
  <printOptions horizontalCentered="1"/>
  <pageMargins left="0.31496062992125984" right="0.31496062992125984" top="1.220472440944882" bottom="0.9055118110236221" header="0.5118110236220472" footer="0.5118110236220472"/>
  <pageSetup horizontalDpi="600" verticalDpi="600" orientation="landscape" scale="75" r:id="rId1"/>
  <headerFooter>
    <oddHeader>&amp;ROrillia Power Distribution Corporation
EB-2011-0191
Filed: October 28, 2011
Appendix B</oddHeader>
    <oddFooter>&amp;C&amp;F
&amp;A&amp;RPage &amp;P
of &amp;N</oddFooter>
  </headerFooter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peitel</dc:creator>
  <cp:keywords/>
  <dc:description/>
  <cp:lastModifiedBy>Pauline Welsh</cp:lastModifiedBy>
  <cp:lastPrinted>2011-10-20T14:38:59Z</cp:lastPrinted>
  <dcterms:created xsi:type="dcterms:W3CDTF">2011-09-05T15:48:41Z</dcterms:created>
  <dcterms:modified xsi:type="dcterms:W3CDTF">2011-10-20T14:39:25Z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