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5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Calculation'!$A$1:$O$75</definedName>
    <definedName name="_xlnm.Print_Area" localSheetId="0">'REGINFO'!$A$1:$E$70</definedName>
    <definedName name="_xlnm.Print_Area" localSheetId="6">'Tax Rates'!$A$1:$G$60</definedName>
    <definedName name="_xlnm.Print_Area" localSheetId="3">'Tax Reserves'!$A$1:$F$63</definedName>
    <definedName name="_xlnm.Print_Area" localSheetId="1">'TAXCALC'!$A$1:$H$208</definedName>
    <definedName name="_xlnm.Print_Area" localSheetId="2">'TAXREC'!$A$1:$E$160</definedName>
    <definedName name="_xlnm.Print_Area" localSheetId="4">'TAXREC 2'!$A$1:$E$121</definedName>
    <definedName name="_xlnm.Print_Area" localSheetId="5">'TAXREC 3 No True-up'!$A$1:$E$71</definedName>
    <definedName name="_xlnm.Print_Titles" localSheetId="7">'PILs 1562 Calculation'!$1:$5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<sst xmlns="http://schemas.openxmlformats.org/spreadsheetml/2006/main" count="875" uniqueCount="505">
  <si>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</si>
  <si>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</si>
  <si>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</si>
  <si>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</si>
  <si>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</si>
  <si>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</si>
  <si>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</si>
  <si>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</si>
  <si>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</si>
  <si>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</si>
  <si>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</si>
  <si>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</si>
  <si>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</si>
  <si>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</si>
  <si>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</si>
  <si>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</si>
  <si>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</si>
  <si>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</si>
  <si>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</si>
  <si>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</si>
  <si>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</si>
  <si>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</si>
  <si>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</si>
  <si>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</si>
  <si>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</si>
  <si>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</si>
  <si>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</si>
  <si>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</si>
  <si>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</si>
  <si>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</si>
  <si>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</si>
  <si>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</si>
  <si>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</si>
  <si>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</si>
  <si>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</si>
  <si>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</si>
  <si>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</si>
  <si>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</si>
  <si>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</si>
  <si>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</si>
  <si>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</si>
  <si>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</si>
  <si>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</si>
  <si>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</si>
  <si>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</si>
  <si>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</si>
  <si>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</si>
  <si>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</si>
  <si>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</si>
  <si>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</si>
  <si>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</si>
  <si>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</si>
  <si>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</si>
  <si>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</si>
  <si>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</si>
  <si>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</si>
  <si>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</si>
  <si>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</si>
  <si>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</si>
  <si>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</si>
  <si>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</si>
  <si>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</si>
  <si>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</si>
  <si>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</si>
  <si>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</si>
  <si>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</si>
  <si>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</si>
  <si>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</si>
  <si>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</si>
  <si>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</si>
  <si>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</si>
  <si>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</si>
  <si>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</si>
  <si>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</si>
  <si>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</si>
  <si>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</si>
  <si>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</si>
  <si>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</si>
  <si>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</si>
  <si>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</si>
  <si>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</si>
  <si>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</si>
  <si>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</si>
  <si>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</si>
  <si>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</si>
  <si>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</si>
  <si>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</si>
  <si>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</si>
  <si>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</si>
  <si>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</si>
  <si>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</si>
  <si>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</si>
  <si>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</si>
  <si>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</si>
  <si>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</si>
  <si>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</si>
  <si>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</si>
  <si>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</si>
  <si>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</si>
  <si>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</si>
  <si>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</si>
  <si>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</si>
  <si>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</si>
  <si>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</si>
  <si>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</si>
  <si>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</si>
  <si>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</si>
  <si>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</si>
  <si>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</si>
  <si>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</si>
  <si>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</si>
  <si>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</si>
  <si>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</si>
  <si>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</si>
  <si>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</si>
  <si>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</si>
  <si>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</si>
  <si>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</si>
  <si>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</si>
  <si>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</si>
  <si>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</si>
  <si>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</si>
  <si>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</si>
  <si>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</si>
  <si>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</si>
  <si>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</si>
  <si>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</si>
  <si>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</si>
  <si>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</si>
  <si>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</si>
  <si>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</si>
  <si>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</si>
  <si>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</si>
  <si>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</si>
  <si>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</si>
  <si>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</si>
  <si>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</si>
  <si>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</si>
  <si>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</si>
  <si>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</si>
  <si>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</si>
  <si>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</si>
  <si>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</si>
  <si>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</si>
  <si>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</si>
  <si>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</si>
  <si>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</si>
  <si>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</si>
  <si>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</si>
  <si>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</si>
  <si>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</si>
  <si>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</si>
  <si>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</si>
  <si>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</si>
  <si>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</si>
  <si>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</si>
  <si>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</si>
  <si>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</si>
  <si>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</si>
  <si>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</si>
  <si>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</si>
  <si>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</si>
  <si>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</si>
  <si>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</si>
  <si>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</si>
  <si>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</si>
  <si>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</si>
  <si>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</si>
  <si>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</si>
  <si>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</si>
  <si>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</si>
  <si>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</si>
  <si>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</si>
  <si>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</si>
  <si>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</si>
  <si>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</si>
  <si>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</si>
  <si>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</si>
  <si>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</si>
  <si>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</si>
  <si>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</si>
  <si>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</si>
  <si>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</si>
  <si>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</si>
  <si>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</si>
  <si>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</si>
  <si>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</si>
  <si>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</si>
  <si>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</si>
  <si>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</si>
  <si>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</si>
  <si>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</si>
  <si>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</si>
  <si>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</si>
  <si>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</si>
  <si>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</si>
  <si>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</si>
  <si>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</si>
  <si>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</si>
  <si>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</si>
  <si>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</si>
  <si>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</si>
  <si>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</si>
  <si>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</si>
  <si>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</si>
  <si>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</si>
  <si>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</si>
  <si>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</si>
  <si>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</si>
  <si>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</si>
  <si>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</si>
  <si>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</si>
  <si>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</si>
  <si>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</si>
  <si>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</si>
  <si>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</si>
  <si>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</si>
  <si>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</si>
  <si>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</si>
  <si>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</si>
  <si>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</si>
  <si>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</si>
  <si>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</si>
  <si>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</si>
  <si>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</si>
  <si>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</si>
  <si>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</si>
  <si>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</si>
  <si>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</si>
  <si>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</si>
  <si>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</si>
  <si>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</si>
  <si>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</si>
  <si>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</si>
  <si>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</si>
  <si>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</si>
  <si>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</si>
  <si>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</si>
  <si>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</si>
  <si>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</si>
  <si>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</si>
  <si>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</si>
  <si>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</si>
  <si>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</si>
  <si>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</si>
  <si>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</si>
  <si>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</si>
  <si>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</si>
  <si>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</si>
  <si>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</si>
  <si>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</si>
  <si>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</si>
  <si>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</si>
  <si>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</si>
  <si>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</si>
  <si>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</si>
  <si>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</si>
  <si>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</si>
  <si>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</si>
  <si>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</si>
  <si>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</si>
  <si>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</si>
  <si>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</si>
  <si>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</si>
  <si>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</si>
  <si>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</si>
  <si>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</si>
  <si>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</si>
  <si>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</si>
  <si>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</si>
  <si>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</si>
  <si>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</si>
  <si>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</si>
  <si>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</si>
  <si>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</si>
  <si>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</si>
  <si>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</si>
  <si>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</si>
  <si>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</si>
  <si>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</si>
  <si>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</si>
  <si>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</si>
  <si>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</si>
  <si>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</si>
  <si>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</si>
  <si>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</si>
  <si>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</si>
  <si>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</si>
  <si>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</si>
  <si>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</si>
  <si>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</si>
  <si>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</si>
  <si>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</si>
  <si>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</si>
  <si>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</si>
  <si>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</si>
  <si>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</si>
  <si>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</si>
  <si>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</si>
  <si>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</si>
  <si>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</si>
  <si>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</si>
  <si>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</si>
  <si>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</si>
  <si>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</si>
  <si>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</si>
  <si>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</si>
  <si>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</si>
  <si>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</si>
  <si>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</si>
  <si>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</si>
  <si>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</si>
  <si>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</si>
  <si>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</si>
  <si>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</si>
  <si>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</si>
  <si>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</si>
  <si>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</si>
  <si>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</si>
  <si>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</si>
  <si>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</si>
  <si>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</si>
  <si>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</si>
  <si>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</si>
  <si>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</si>
  <si>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</si>
  <si>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</si>
  <si>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</si>
  <si>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</si>
  <si>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</si>
  <si>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</si>
  <si>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</si>
  <si>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</si>
  <si>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</si>
  <si>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</si>
  <si>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</si>
  <si>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</si>
  <si>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</si>
  <si>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</si>
  <si>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</si>
  <si>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</si>
  <si>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</si>
  <si>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</si>
  <si>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</si>
  <si>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</si>
  <si>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</si>
  <si>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</si>
  <si>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</si>
  <si>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</si>
  <si>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</si>
  <si>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</si>
  <si>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</si>
  <si>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</si>
  <si>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</si>
  <si>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</si>
  <si>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</si>
  <si>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</si>
  <si>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</si>
  <si>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</si>
  <si>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</si>
  <si>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</si>
  <si>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</si>
  <si>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</si>
  <si>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</si>
  <si>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</si>
  <si>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</si>
  <si>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</si>
  <si>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</si>
  <si>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</si>
  <si>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</si>
  <si>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</si>
  <si>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</si>
  <si>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</si>
  <si>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</si>
  <si>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</si>
  <si>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</si>
  <si>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</si>
  <si>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</si>
  <si>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</si>
  <si>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</si>
  <si>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</si>
  <si>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</si>
  <si>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</si>
  <si>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</si>
  <si>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</si>
  <si>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</si>
  <si>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</si>
  <si>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</si>
  <si>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</si>
  <si>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</si>
  <si>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</si>
  <si>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</si>
  <si>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</si>
  <si>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</si>
  <si>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</si>
  <si>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</si>
  <si>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</si>
  <si>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</si>
  <si>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</si>
  <si>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</si>
  <si>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</si>
  <si>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</si>
  <si>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</si>
  <si>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</si>
  <si>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</si>
  <si>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</si>
  <si>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</si>
  <si>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</si>
  <si>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</si>
  <si>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</si>
  <si>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</si>
  <si>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</si>
  <si>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</si>
  <si>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</si>
  <si>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</si>
  <si>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</si>
  <si>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</si>
  <si>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</si>
  <si>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</si>
  <si>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</si>
  <si>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</si>
  <si>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</si>
  <si>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</si>
  <si>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</si>
  <si>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</si>
  <si>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</si>
  <si>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</si>
  <si>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</si>
  <si>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</si>
  <si>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</si>
  <si>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</si>
  <si>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</si>
  <si>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</si>
  <si>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</si>
  <si>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</si>
  <si>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</si>
  <si>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</si>
  <si>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</si>
  <si>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</si>
  <si>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</si>
  <si>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</si>
  <si>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</si>
  <si>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</si>
  <si>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</si>
  <si>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</si>
  <si>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</si>
  <si>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</si>
  <si>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</si>
  <si>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</si>
  <si>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</si>
  <si>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</si>
  <si>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</si>
  <si>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</si>
  <si>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</si>
  <si>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</si>
  <si>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</si>
  <si>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</si>
  <si>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</si>
  <si>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</si>
  <si>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</si>
  <si>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</si>
  <si>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</si>
  <si>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</si>
  <si>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</si>
  <si>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</si>
  <si>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</si>
  <si>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</si>
  <si>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</si>
  <si>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</si>
  <si>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</si>
  <si>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</si>
  <si>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</si>
  <si>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</si>
  <si>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</si>
  <si>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</si>
  <si>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</si>
  <si>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</si>
  <si>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</si>
  <si>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</si>
  <si>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</si>
  <si>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</si>
  <si>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</si>
  <si>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</si>
  <si>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</si>
  <si>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</si>
  <si>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</si>
  <si>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</si>
  <si>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</si>
  <si>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</si>
  <si>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</si>
  <si>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</si>
  <si>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</si>
  <si>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</si>
  <si>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Yes</t>
  </si>
  <si>
    <t>No</t>
  </si>
  <si>
    <t>No for intial estimate but yes 
 for 2004 MoF filing</t>
  </si>
  <si>
    <t>Utility Name: Orillia Power Distribution Corporation</t>
  </si>
  <si>
    <t>PILs TAXES as per EB-2008-0381</t>
  </si>
  <si>
    <t>Interest Inccome</t>
  </si>
  <si>
    <t>Charitable donations</t>
  </si>
  <si>
    <t xml:space="preserve">Net Federal Income Tax Rate  </t>
  </si>
  <si>
    <r>
      <t xml:space="preserve">Net Ontario Income Tax Rate  </t>
    </r>
  </si>
  <si>
    <t>Total deemed interest  (REGINFO CELL D62)</t>
  </si>
  <si>
    <t xml:space="preserve">Other - accrued health and dental benefit costs </t>
  </si>
  <si>
    <t>Method 3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</si>
</sst>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0" borderId="17" xfId="0" applyFont="1" applyFill="1" applyBorder="1" applyAlignment="1" applyProtection="1">
      <alignment horizontal="center" vertical="top" wrapText="1"/>
      <protection locked="0"/>
    </xf>
    <xf numFmtId="0" fontId="0" fillId="0" borderId="24" xfId="0" applyFont="1" applyFill="1" applyBorder="1" applyAlignment="1" applyProtection="1">
      <alignment vertical="top"/>
      <protection/>
    </xf>
    <xf numFmtId="0" fontId="0" fillId="4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Orillia\2012%20Rate%20Appl\PILs%201562%20Final\2003%20Analysis\OPDC_revised_2003_PILs_Model_2011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0">
        <row r="62">
          <cell r="D62">
            <v>648659.2236875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PageLayoutView="0" workbookViewId="0" topLeftCell="A1">
      <selection activeCell="A75" sqref="A7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8.2812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497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496</v>
      </c>
      <c r="C3" s="8"/>
      <c r="D3" s="455" t="s">
        <v>444</v>
      </c>
      <c r="E3" s="8"/>
      <c r="F3" s="8"/>
      <c r="G3" s="8"/>
      <c r="H3" s="8"/>
    </row>
    <row r="4" spans="1:8" ht="12.75">
      <c r="A4" s="2" t="s">
        <v>480</v>
      </c>
      <c r="C4" s="8"/>
      <c r="D4" s="454" t="s">
        <v>439</v>
      </c>
      <c r="E4" s="428"/>
      <c r="H4" s="8"/>
    </row>
    <row r="5" spans="1:8" ht="12.75">
      <c r="A5" s="52"/>
      <c r="C5" s="8"/>
      <c r="D5" s="453" t="s">
        <v>440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9.75" customHeight="1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494</v>
      </c>
    </row>
    <row r="18" spans="1:4" ht="15" customHeight="1">
      <c r="A18" s="390" t="s">
        <v>315</v>
      </c>
      <c r="C18" s="8"/>
      <c r="D18" s="8"/>
    </row>
    <row r="19" spans="1:4" ht="42.75" customHeight="1" thickBot="1">
      <c r="A19" s="488" t="s">
        <v>316</v>
      </c>
      <c r="B19" s="8" t="s">
        <v>313</v>
      </c>
      <c r="C19" s="8" t="s">
        <v>64</v>
      </c>
      <c r="D19" s="485" t="s">
        <v>495</v>
      </c>
    </row>
    <row r="20" spans="1:4" ht="42" customHeight="1" thickBot="1">
      <c r="A20" s="489"/>
      <c r="B20" s="8" t="s">
        <v>314</v>
      </c>
      <c r="C20" s="8" t="s">
        <v>64</v>
      </c>
      <c r="D20" s="485" t="s">
        <v>495</v>
      </c>
    </row>
    <row r="21" spans="1:4" ht="12.75">
      <c r="A21" s="488" t="s">
        <v>312</v>
      </c>
      <c r="B21" s="8" t="s">
        <v>313</v>
      </c>
      <c r="C21" s="8"/>
      <c r="D21" s="424">
        <v>1</v>
      </c>
    </row>
    <row r="22" spans="1:4" ht="12.75">
      <c r="A22" s="488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481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9.75" customHeight="1">
      <c r="A30" s="35"/>
    </row>
    <row r="31" spans="1:8" ht="12.75">
      <c r="A31" t="s">
        <v>287</v>
      </c>
      <c r="D31" s="422">
        <v>17894047.55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1532625.1726575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913712</v>
      </c>
      <c r="E43" s="388">
        <f>D43</f>
        <v>913712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618913.1726575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206304.39088583333</v>
      </c>
      <c r="E47" s="388">
        <f aca="true" t="shared" si="0" ref="E47:E53">D47</f>
        <v>206304.39088583333</v>
      </c>
      <c r="H47" s="40"/>
      <c r="J47" s="5"/>
      <c r="K47" s="5"/>
    </row>
    <row r="48" spans="1:11" ht="12.75">
      <c r="A48" t="s">
        <v>290</v>
      </c>
      <c r="D48" s="427">
        <v>206304.39088583333</v>
      </c>
      <c r="E48" s="388">
        <f>D48</f>
        <v>206304.39088583333</v>
      </c>
      <c r="F48" s="22"/>
      <c r="H48" s="40"/>
      <c r="J48" s="5"/>
      <c r="K48" s="5"/>
    </row>
    <row r="49" spans="1:11" ht="12.75">
      <c r="A49" t="s">
        <v>291</v>
      </c>
      <c r="D49" s="427">
        <v>206304.390885833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8">
        <f t="shared" si="0"/>
        <v>0</v>
      </c>
      <c r="H50" s="40"/>
      <c r="J50" s="5"/>
      <c r="K50" s="5"/>
    </row>
    <row r="51" spans="1:11" ht="12.75">
      <c r="A51" t="s">
        <v>436</v>
      </c>
      <c r="D51" s="428"/>
      <c r="E51" s="388">
        <f t="shared" si="0"/>
        <v>0</v>
      </c>
      <c r="H51" s="40"/>
      <c r="J51" s="5"/>
      <c r="K51" s="5"/>
    </row>
    <row r="52" spans="1:11" ht="12.75">
      <c r="A52" t="s">
        <v>459</v>
      </c>
      <c r="D52" s="428"/>
      <c r="E52" s="388">
        <f t="shared" si="0"/>
        <v>0</v>
      </c>
      <c r="H52" s="40"/>
      <c r="J52" s="5"/>
      <c r="K52" s="5"/>
    </row>
    <row r="53" spans="4:11" ht="12.75">
      <c r="D53" s="428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1326320.7817716668</v>
      </c>
      <c r="H54" s="40"/>
      <c r="J54" s="5"/>
      <c r="K54" s="5"/>
    </row>
    <row r="55" spans="4:11" ht="9" customHeight="1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8947023.775</v>
      </c>
      <c r="H56" s="32"/>
      <c r="J56" s="5"/>
      <c r="K56" s="5"/>
    </row>
    <row r="57" spans="1:11" ht="8.25" customHeight="1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883965.94897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8947023.775</v>
      </c>
      <c r="F60" s="5"/>
      <c r="H60" s="32"/>
      <c r="J60" s="5"/>
      <c r="K60" s="5"/>
    </row>
    <row r="61" spans="2:11" ht="12" customHeight="1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648659.2236875</v>
      </c>
      <c r="F62" s="5"/>
      <c r="H62" s="32"/>
      <c r="J62" s="5"/>
      <c r="K62" s="5"/>
    </row>
    <row r="63" spans="2:11" ht="10.5" customHeight="1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474029.12048583146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561344.1720866658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561344.1720866658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3">
        <f>D62</f>
        <v>648659.2236875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F</oddHeader>
    <oddFooter>&amp;C&amp;F
&amp;A&amp;RPage &amp;P
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50">
      <selection activeCell="A75" sqref="A75"/>
    </sheetView>
  </sheetViews>
  <sheetFormatPr defaultColWidth="9.140625" defaultRowHeight="12.75"/>
  <cols>
    <col min="1" max="1" width="59.28125" style="0" customWidth="1"/>
    <col min="2" max="2" width="7.8515625" style="0" customWidth="1"/>
    <col min="3" max="3" width="13.140625" style="0" customWidth="1"/>
    <col min="4" max="4" width="4.28125" style="0" customWidth="1"/>
    <col min="5" max="5" width="14.00390625" style="0" customWidth="1"/>
    <col min="6" max="6" width="13.7109375" style="0" customWidth="1"/>
    <col min="7" max="7" width="14.00390625" style="0" customWidth="1"/>
    <col min="8" max="8" width="2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as per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Orillia Power Distribution Corporation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9">
        <f>REGINFO!E54</f>
        <v>1326320.7817716668</v>
      </c>
      <c r="D16" s="17"/>
      <c r="E16" s="267">
        <f>G16-C16</f>
        <v>1341170.338228338</v>
      </c>
      <c r="F16" s="3"/>
      <c r="G16" s="267">
        <f>TAXREC!E50</f>
        <v>2667491.120000005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1595307</v>
      </c>
      <c r="D20" s="18"/>
      <c r="E20" s="267">
        <f>G20-C20</f>
        <v>-329702.3300000001</v>
      </c>
      <c r="F20" s="6"/>
      <c r="G20" s="267">
        <f>TAXREC!E61</f>
        <v>1265604.67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110000</v>
      </c>
      <c r="F23" s="6"/>
      <c r="G23" s="267">
        <f>TAXREC!E64</f>
        <v>110000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77" t="s">
        <v>392</v>
      </c>
      <c r="B30" s="127"/>
      <c r="C30" s="259"/>
      <c r="D30" s="18"/>
      <c r="E30" s="267">
        <f>G30-C30</f>
        <v>78598</v>
      </c>
      <c r="F30" s="6"/>
      <c r="G30" s="267">
        <f>TAXREC!E66</f>
        <v>78598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1018760.74</v>
      </c>
      <c r="D33" s="132"/>
      <c r="E33" s="267">
        <f aca="true" t="shared" si="0" ref="E33:E42">G33-C33</f>
        <v>-24473.73999999999</v>
      </c>
      <c r="F33" s="6"/>
      <c r="G33" s="267">
        <f>TAXREC!E97+TAXREC!E98</f>
        <v>994287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561344.1720866658</v>
      </c>
      <c r="D37" s="132"/>
      <c r="E37" s="267">
        <f t="shared" si="0"/>
        <v>170805.82791333424</v>
      </c>
      <c r="F37" s="6"/>
      <c r="G37" s="267">
        <f>TAXREC!E51</f>
        <v>732150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132000</v>
      </c>
      <c r="F39" s="6"/>
      <c r="G39" s="267">
        <f>TAXREC!E105</f>
        <v>132000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392</v>
      </c>
      <c r="B48" s="127"/>
      <c r="C48" s="259"/>
      <c r="D48" s="132"/>
      <c r="E48" s="267">
        <f>G48-C48</f>
        <v>37011</v>
      </c>
      <c r="F48" s="6"/>
      <c r="G48" s="251">
        <f>TAXREC!E108</f>
        <v>37011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1341522.8696850012</v>
      </c>
      <c r="D50" s="102"/>
      <c r="E50" s="263">
        <f>E16+SUM(E20:E30)-SUM(E33:E48)</f>
        <v>884722.9203150036</v>
      </c>
      <c r="F50" s="431"/>
      <c r="G50" s="263">
        <f>G16+SUM(G20:G30)-SUM(G33:G48)</f>
        <v>2226245.7900000047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-0.024999999999999967</v>
      </c>
      <c r="F53" s="114"/>
      <c r="G53" s="262">
        <f>TAXREC!E151</f>
        <v>0.3612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518096.13227234746</v>
      </c>
      <c r="D55" s="102"/>
      <c r="E55" s="267">
        <f>G55-C55</f>
        <v>268499.86772765254</v>
      </c>
      <c r="F55" s="431" t="s">
        <v>365</v>
      </c>
      <c r="G55" s="264">
        <f>TAXREC!E144</f>
        <v>786596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365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518096.13227234746</v>
      </c>
      <c r="D60" s="133"/>
      <c r="E60" s="269">
        <f>+E55-E58</f>
        <v>268499.86772765254</v>
      </c>
      <c r="F60" s="431" t="s">
        <v>365</v>
      </c>
      <c r="G60" s="269">
        <f>+G55-G58</f>
        <v>786596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17894047.55</v>
      </c>
      <c r="D66" s="102"/>
      <c r="E66" s="267">
        <f>G66-C66</f>
        <v>9459586.45</v>
      </c>
      <c r="F66" s="6"/>
      <c r="G66" s="470">
        <v>27353634</v>
      </c>
      <c r="H66" s="151"/>
      <c r="I66" s="471" t="s">
        <v>469</v>
      </c>
    </row>
    <row r="67" spans="1:10" ht="12.75">
      <c r="A67" s="152" t="s">
        <v>358</v>
      </c>
      <c r="B67" s="125">
        <v>16</v>
      </c>
      <c r="C67" s="260">
        <f>IF(C66&gt;0,'Tax Rates'!C21,0)</f>
        <v>5000000</v>
      </c>
      <c r="D67" s="102"/>
      <c r="E67" s="267">
        <f>G67-C67</f>
        <v>-1276865</v>
      </c>
      <c r="F67" s="6"/>
      <c r="G67" s="267">
        <f>'Tax Rates'!C57</f>
        <v>3723135</v>
      </c>
      <c r="H67" s="151"/>
      <c r="I67" s="471"/>
      <c r="J67" s="472" t="s">
        <v>470</v>
      </c>
    </row>
    <row r="68" spans="1:8" ht="12.75">
      <c r="A68" s="152" t="s">
        <v>42</v>
      </c>
      <c r="B68" s="125"/>
      <c r="C68" s="264">
        <f>IF((C66-C67)&gt;0,C66-C67,0)</f>
        <v>12894047.55</v>
      </c>
      <c r="D68" s="102"/>
      <c r="E68" s="267">
        <f>SUM(E66:E67)</f>
        <v>8182721.449999999</v>
      </c>
      <c r="F68" s="114"/>
      <c r="G68" s="264">
        <f>G66-G67</f>
        <v>23630499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38682.14265</v>
      </c>
      <c r="D72" s="101"/>
      <c r="E72" s="267">
        <f>+G72-C72</f>
        <v>32209.35435</v>
      </c>
      <c r="F72" s="473"/>
      <c r="G72" s="264">
        <f>IF(G68&gt;0,G68*G70,0)*REGINFO!$B$6/REGINFO!$B$7</f>
        <v>70891.497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17894047.55</v>
      </c>
      <c r="D75" s="102"/>
      <c r="E75" s="267">
        <f>+G75-C75</f>
        <v>5487984.449999999</v>
      </c>
      <c r="F75" s="6"/>
      <c r="G75" s="470">
        <v>23382032</v>
      </c>
      <c r="H75" s="151"/>
      <c r="I75" s="471" t="s">
        <v>469</v>
      </c>
    </row>
    <row r="76" spans="1:9" ht="12.75">
      <c r="A76" s="152" t="s">
        <v>358</v>
      </c>
      <c r="B76" s="125">
        <v>19</v>
      </c>
      <c r="C76" s="260">
        <f>IF(C75&gt;0,'Tax Rates'!C22,0)</f>
        <v>10000000</v>
      </c>
      <c r="D76" s="18"/>
      <c r="E76" s="267">
        <f>+G76-C76</f>
        <v>29000000</v>
      </c>
      <c r="F76" s="6"/>
      <c r="G76" s="267">
        <f>'Tax Rates'!C58</f>
        <v>39000000</v>
      </c>
      <c r="H76" s="151"/>
      <c r="I76" s="471"/>
    </row>
    <row r="77" spans="1:8" ht="12.75">
      <c r="A77" s="152" t="s">
        <v>42</v>
      </c>
      <c r="B77" s="125"/>
      <c r="C77" s="264">
        <f>IF((C75-C76)&gt;0,C75-C76,0)</f>
        <v>7894047.550000001</v>
      </c>
      <c r="D77" s="19"/>
      <c r="E77" s="267">
        <f>SUM(E75:E76)</f>
        <v>34487984.45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17761.6069875</v>
      </c>
      <c r="D81" s="102"/>
      <c r="E81" s="267">
        <f>+G81-C81</f>
        <v>-17761.6069875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15025.056140472014</v>
      </c>
      <c r="D82" s="102"/>
      <c r="E82" s="267">
        <f>+G82-C82</f>
        <v>-15025.056140472014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2736.5508470279856</v>
      </c>
      <c r="D84" s="16"/>
      <c r="E84" s="267">
        <f>E81-E82</f>
        <v>-2736.5508470279856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4">
        <f>C60/(1-C88)</f>
        <v>828953.8116357559</v>
      </c>
      <c r="D90" s="20"/>
      <c r="E90" s="139"/>
      <c r="F90" s="430" t="s">
        <v>483</v>
      </c>
      <c r="G90" s="270">
        <f>TAXREC!E156</f>
        <v>786596</v>
      </c>
      <c r="H90" s="151"/>
    </row>
    <row r="91" spans="1:8" ht="12.75">
      <c r="A91" s="158" t="s">
        <v>367</v>
      </c>
      <c r="B91" s="127">
        <v>23</v>
      </c>
      <c r="C91" s="264">
        <f>C84/(1-C88)</f>
        <v>4378.481355244777</v>
      </c>
      <c r="D91" s="20"/>
      <c r="E91" s="139"/>
      <c r="F91" s="430" t="s">
        <v>483</v>
      </c>
      <c r="G91" s="270">
        <f>TAXREC!E158</f>
        <v>0</v>
      </c>
      <c r="H91" s="151"/>
    </row>
    <row r="92" spans="1:8" ht="12.75">
      <c r="A92" s="158" t="s">
        <v>346</v>
      </c>
      <c r="B92" s="127">
        <v>24</v>
      </c>
      <c r="C92" s="264">
        <f>C72</f>
        <v>38682.14265</v>
      </c>
      <c r="D92" s="20"/>
      <c r="E92" s="139"/>
      <c r="F92" s="430" t="s">
        <v>483</v>
      </c>
      <c r="G92" s="270">
        <f>TAXREC!E157</f>
        <v>70891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474</v>
      </c>
      <c r="B95" s="125">
        <v>25</v>
      </c>
      <c r="C95" s="269">
        <f>SUM(C90:C93)</f>
        <v>872014.4356410007</v>
      </c>
      <c r="D95" s="6"/>
      <c r="E95" s="139"/>
      <c r="F95" s="430" t="s">
        <v>483</v>
      </c>
      <c r="G95" s="414">
        <f>SUM(G90:G94)</f>
        <v>857487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110000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478</v>
      </c>
      <c r="B112" s="127">
        <v>11</v>
      </c>
      <c r="C112" s="112"/>
      <c r="D112" s="3"/>
      <c r="E112" s="251">
        <f>E206</f>
        <v>83490.7763125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132000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-105490.7763125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231</v>
      </c>
      <c r="E122" s="262">
        <f>+'Tax Rates'!F52</f>
        <v>0.3612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-38103.268404075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-38103.268404075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481">
        <f>E128/(1-E130)</f>
        <v>-58620.41292934617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1341522.8696850012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484558.0605302225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484558.0605302225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518096.13227234746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-33538.07174212497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17894047.55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12894047.55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38682.14265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38682.14265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30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17894047.55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-32105952.45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345</v>
      </c>
      <c r="B172" s="130"/>
      <c r="C172" s="112"/>
      <c r="D172" s="118" t="s">
        <v>188</v>
      </c>
      <c r="E172" s="305">
        <f>C84</f>
        <v>2736.5508470279856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305">
        <f>E170-E172</f>
        <v>-2736.5508470279856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262">
        <f>IF((E120+G50)&gt;'Tax Rates'!E47,'Tax Rates'!F52-1.12%,IF((E120+G50)&gt;'Tax Rates'!D47,'Tax Rates'!E52-1.12%,IF((E120+G50)&gt;'Tax Rates'!C47,'Tax Rates'!D52,'Tax Rates'!C52-1.12%)))</f>
        <v>0.35000000000000003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-51597.03344942304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-4378.481355244777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480">
        <f>SUM(E177:E179)</f>
        <v>-55975.514804667815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477</v>
      </c>
      <c r="B183" s="130"/>
      <c r="C183" s="112"/>
      <c r="D183" s="119" t="s">
        <v>187</v>
      </c>
      <c r="E183" s="480">
        <f>E132</f>
        <v>-58620.41292934617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352</v>
      </c>
      <c r="B185" s="130"/>
      <c r="C185" s="112"/>
      <c r="D185" s="119" t="s">
        <v>189</v>
      </c>
      <c r="E185" s="480">
        <f>E181+E183</f>
        <v>-114595.92773401398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648659.2236875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561344.1720866658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8">
        <f>E193-E194</f>
        <v>87315.05160083424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3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732150</v>
      </c>
      <c r="F201" s="3"/>
      <c r="G201" s="483"/>
      <c r="H201" s="164"/>
    </row>
    <row r="202" spans="1:8" ht="12.75">
      <c r="A202" s="486" t="s">
        <v>502</v>
      </c>
      <c r="B202" s="127"/>
      <c r="C202" s="112"/>
      <c r="D202" s="120"/>
      <c r="E202" s="308">
        <f>'[2]REGINFO'!D62</f>
        <v>648659.2236875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83490.7763125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479</v>
      </c>
      <c r="B206" s="127"/>
      <c r="C206" s="112"/>
      <c r="D206" s="120"/>
      <c r="E206" s="303">
        <f>IF((E201-E202)&gt;0,E201-E202,0)</f>
        <v>83490.7763125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3824.2752883342328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 horizontalCentered="1"/>
  <pageMargins left="0.11811023622047245" right="0.11811023622047245" top="1.1023622047244095" bottom="0.7874015748031497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F</oddHeader>
    <oddFooter>&amp;C&amp;F
&amp;A&amp;RPage &amp;P
of &amp;N</oddFooter>
  </headerFooter>
  <rowBreaks count="3" manualBreakCount="3">
    <brk id="62" max="7" man="1"/>
    <brk id="15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PageLayoutView="0" workbookViewId="0" topLeftCell="A94">
      <selection activeCell="A75" sqref="A7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as per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Orillia Power Distribution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45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20654576</v>
      </c>
      <c r="D31" s="286"/>
      <c r="E31" s="284">
        <f>C31-D31</f>
        <v>20654576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6762105</v>
      </c>
      <c r="D32" s="286"/>
      <c r="E32" s="284">
        <f>C32-D32</f>
        <v>6762105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309149.6</v>
      </c>
      <c r="D33" s="286"/>
      <c r="E33" s="284">
        <f>C33-D33</f>
        <v>309149.6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 t="s">
        <v>498</v>
      </c>
      <c r="B35" s="23" t="s">
        <v>187</v>
      </c>
      <c r="C35" s="285">
        <v>134791</v>
      </c>
      <c r="D35" s="286"/>
      <c r="E35" s="284">
        <f>C35-D35</f>
        <v>134791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20654576</v>
      </c>
      <c r="D39" s="286"/>
      <c r="E39" s="284">
        <f>C39-D39</f>
        <v>20654576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787518</v>
      </c>
      <c r="D40" s="286"/>
      <c r="E40" s="284">
        <f aca="true" t="shared" si="0" ref="E40:E48">C40-D40</f>
        <v>787518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914811</v>
      </c>
      <c r="D41" s="286"/>
      <c r="E41" s="284">
        <f t="shared" si="0"/>
        <v>914811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1501318.81</v>
      </c>
      <c r="D42" s="286"/>
      <c r="E42" s="284">
        <f t="shared" si="0"/>
        <v>1501318.81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1265604.67</v>
      </c>
      <c r="D43" s="286"/>
      <c r="E43" s="284">
        <f t="shared" si="0"/>
        <v>1265604.67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69302</v>
      </c>
      <c r="D44" s="286"/>
      <c r="E44" s="284">
        <f t="shared" si="0"/>
        <v>69302</v>
      </c>
      <c r="F44" s="11"/>
      <c r="G44" s="11"/>
      <c r="H44" s="6"/>
      <c r="I44" s="6"/>
    </row>
    <row r="45" spans="1:11" ht="12.75">
      <c r="A45" s="4" t="s">
        <v>491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2667491.120000005</v>
      </c>
      <c r="D50" s="281">
        <f>SUM(D31:D36)-SUM(D39:D49)</f>
        <v>0</v>
      </c>
      <c r="E50" s="281">
        <f>SUM(E31:E35)-SUM(E39:E48)</f>
        <v>2667491.120000005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732150</v>
      </c>
      <c r="D51" s="285"/>
      <c r="E51" s="282">
        <f>+C51-D51</f>
        <v>732150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678950</v>
      </c>
      <c r="D52" s="285"/>
      <c r="E52" s="283">
        <f>+C52-D52</f>
        <v>678950</v>
      </c>
      <c r="F52" s="8"/>
      <c r="G52" s="416"/>
    </row>
    <row r="53" spans="1:6" ht="12.75">
      <c r="A53" s="2" t="s">
        <v>131</v>
      </c>
      <c r="B53" s="8" t="s">
        <v>189</v>
      </c>
      <c r="C53" s="281">
        <f>C50-C51-C52</f>
        <v>1256391.1200000048</v>
      </c>
      <c r="D53" s="281">
        <f>D50-D51-D52</f>
        <v>0</v>
      </c>
      <c r="E53" s="281">
        <f>E50-E51-E52</f>
        <v>1256391.1200000048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678950</v>
      </c>
      <c r="D59" s="287">
        <f>D52</f>
        <v>0</v>
      </c>
      <c r="E59" s="272">
        <f>+C59-D59</f>
        <v>678950</v>
      </c>
      <c r="F59" s="8"/>
      <c r="G59" s="416"/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1265604.67</v>
      </c>
      <c r="D61" s="287">
        <f>D43</f>
        <v>0</v>
      </c>
      <c r="E61" s="272">
        <f>+C61-D61</f>
        <v>1265604.67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110000</v>
      </c>
      <c r="D64" s="317">
        <f>'Tax Reserves'!D63</f>
        <v>0</v>
      </c>
      <c r="E64" s="272">
        <f>+C64-D64</f>
        <v>110000</v>
      </c>
      <c r="F64" s="8"/>
    </row>
    <row r="65" spans="1:6" ht="12.75">
      <c r="A65" t="s">
        <v>441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392</v>
      </c>
      <c r="B66" s="8"/>
      <c r="C66" s="446">
        <f>'TAXREC 3 No True-up'!C45</f>
        <v>78598</v>
      </c>
      <c r="D66" s="446">
        <f>'TAXREC 3 No True-up'!D45</f>
        <v>0</v>
      </c>
      <c r="E66" s="272">
        <f>+C66-D66</f>
        <v>78598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2133152.67</v>
      </c>
      <c r="D70" s="272">
        <f>SUM(D59:D68)</f>
        <v>0</v>
      </c>
      <c r="E70" s="272">
        <f>SUM(E59:E68)</f>
        <v>2133152.67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8">
        <v>0</v>
      </c>
      <c r="D76" s="294"/>
      <c r="E76" s="47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2133152.67</v>
      </c>
      <c r="D82" s="251">
        <f>D70+D80</f>
        <v>0</v>
      </c>
      <c r="E82" s="251">
        <f>E70+E80</f>
        <v>2133152.67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429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994287</v>
      </c>
      <c r="D97" s="294"/>
      <c r="E97" s="272">
        <f>+C97-D97</f>
        <v>994287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132000</v>
      </c>
      <c r="D105" s="319">
        <f>'Tax Reserves'!D50</f>
        <v>0</v>
      </c>
      <c r="E105" s="282">
        <f t="shared" si="5"/>
        <v>132000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392</v>
      </c>
      <c r="B108" s="8"/>
      <c r="C108" s="254">
        <f>'TAXREC 3 No True-up'!C71</f>
        <v>37011</v>
      </c>
      <c r="D108" s="254">
        <f>'TAXREC 3 No True-up'!D71</f>
        <v>0</v>
      </c>
      <c r="E108" s="272">
        <f t="shared" si="5"/>
        <v>37011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1163298</v>
      </c>
      <c r="D113" s="251">
        <f>SUM(D97:D111)</f>
        <v>0</v>
      </c>
      <c r="E113" s="251">
        <f>SUM(E97:E111)</f>
        <v>1163298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1163298</v>
      </c>
      <c r="D122" s="251">
        <f>D113+D120</f>
        <v>0</v>
      </c>
      <c r="E122" s="251">
        <f>+E113+E120</f>
        <v>1163298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2226245.7900000047</v>
      </c>
      <c r="D134" s="251">
        <f>D53+D82-D122</f>
        <v>0</v>
      </c>
      <c r="E134" s="251">
        <f>E53+E82-E122</f>
        <v>2226245.7900000047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2226245.7900000047</v>
      </c>
      <c r="D139" s="252">
        <f>D134-D136-D137-D138</f>
        <v>0</v>
      </c>
      <c r="E139" s="252">
        <f>E134-E136-E137-E138</f>
        <v>2226245.7900000047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474922</v>
      </c>
      <c r="D142" s="482">
        <f>D139*C149</f>
        <v>0</v>
      </c>
      <c r="E142" s="252">
        <f>C142-D142</f>
        <v>474922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311674</v>
      </c>
      <c r="D143" s="482">
        <f>D139*C150</f>
        <v>0</v>
      </c>
      <c r="E143" s="292">
        <f>C143-D143</f>
        <v>311674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786596</v>
      </c>
      <c r="D144" s="252">
        <f>D142+D143</f>
        <v>0</v>
      </c>
      <c r="E144" s="252">
        <f>E142+E143</f>
        <v>786596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8">
        <v>0</v>
      </c>
      <c r="D145" s="482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786596</v>
      </c>
      <c r="D146" s="252">
        <f>D144-D145</f>
        <v>0</v>
      </c>
      <c r="E146" s="252">
        <f>E144-E145</f>
        <v>786596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500</v>
      </c>
      <c r="B149" s="8"/>
      <c r="C149" s="405">
        <f>+'Tax Rates'!F50</f>
        <v>0.2212</v>
      </c>
      <c r="D149" s="5"/>
      <c r="E149" s="406">
        <f>C149</f>
        <v>0.2212</v>
      </c>
      <c r="F149" s="8"/>
      <c r="G149" s="479"/>
      <c r="H149" s="45"/>
      <c r="I149" s="45"/>
      <c r="J149" s="45"/>
      <c r="K149" s="45"/>
    </row>
    <row r="150" spans="1:11" ht="12.75">
      <c r="A150" s="46" t="s">
        <v>501</v>
      </c>
      <c r="B150" s="8"/>
      <c r="C150" s="405">
        <f>+'Tax Rates'!F51</f>
        <v>0.14</v>
      </c>
      <c r="D150" s="5"/>
      <c r="E150" s="406">
        <f>C150</f>
        <v>0.14</v>
      </c>
      <c r="F150" s="8"/>
      <c r="G150" s="479"/>
      <c r="H150" s="45"/>
      <c r="I150" s="45"/>
      <c r="J150" s="45"/>
      <c r="K150" s="45"/>
    </row>
    <row r="151" spans="1:11" ht="12.75">
      <c r="A151" t="s">
        <v>329</v>
      </c>
      <c r="B151" s="8"/>
      <c r="C151" s="406">
        <f>SUM(C149:C150)</f>
        <v>0.3612</v>
      </c>
      <c r="D151" s="5"/>
      <c r="E151" s="406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219</v>
      </c>
      <c r="B156" s="86" t="s">
        <v>187</v>
      </c>
      <c r="C156" s="251">
        <f>C146</f>
        <v>786596</v>
      </c>
      <c r="D156" s="251">
        <f>D146</f>
        <v>0</v>
      </c>
      <c r="E156" s="251">
        <f>E146</f>
        <v>786596</v>
      </c>
    </row>
    <row r="157" spans="1:5" ht="12.75">
      <c r="A157" t="s">
        <v>20</v>
      </c>
      <c r="B157" s="86" t="s">
        <v>187</v>
      </c>
      <c r="C157" s="475">
        <v>70891</v>
      </c>
      <c r="D157" s="251"/>
      <c r="E157" s="251">
        <f>C157+D157</f>
        <v>70891</v>
      </c>
    </row>
    <row r="158" spans="1:5" ht="12.75">
      <c r="A158" t="s">
        <v>218</v>
      </c>
      <c r="B158" s="86" t="s">
        <v>187</v>
      </c>
      <c r="C158" s="475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857487</v>
      </c>
      <c r="D160" s="251">
        <f>D156+D157+D158</f>
        <v>0</v>
      </c>
      <c r="E160" s="251">
        <f>E156+E157+E158</f>
        <v>857487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F</oddHeader>
    <oddFooter>&amp;C&amp;F
&amp;A&amp;RPage &amp;P
of &amp;N</oddFooter>
  </headerFooter>
  <rowBreaks count="2" manualBreakCount="2">
    <brk id="65" max="4" man="1"/>
    <brk id="12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7">
      <selection activeCell="A75" sqref="A75"/>
    </sheetView>
  </sheetViews>
  <sheetFormatPr defaultColWidth="9.140625" defaultRowHeight="12.75"/>
  <cols>
    <col min="1" max="1" width="46.574218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2.8515625" style="0" customWidth="1"/>
  </cols>
  <sheetData>
    <row r="1" spans="1:6" ht="12.75">
      <c r="A1" s="1" t="str">
        <f>REGINFO!A1</f>
        <v>PILs TAXES as per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Orillia Power Distribution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446</v>
      </c>
      <c r="B18" s="61"/>
      <c r="C18" s="294"/>
      <c r="D18" s="294"/>
      <c r="E18" s="251">
        <f t="shared" si="0"/>
        <v>0</v>
      </c>
    </row>
    <row r="19" spans="1:5" ht="12.75">
      <c r="A19" s="61" t="s">
        <v>446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446</v>
      </c>
      <c r="B30" s="61"/>
      <c r="C30" s="294"/>
      <c r="D30" s="294"/>
      <c r="E30" s="251">
        <f t="shared" si="1"/>
        <v>0</v>
      </c>
    </row>
    <row r="31" spans="1:5" ht="12.75">
      <c r="A31" s="61" t="s">
        <v>446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503</v>
      </c>
      <c r="B47" s="61"/>
      <c r="C47" s="294">
        <v>132000</v>
      </c>
      <c r="D47" s="294"/>
      <c r="E47" s="251">
        <f t="shared" si="2"/>
        <v>132000</v>
      </c>
    </row>
    <row r="48" spans="1:5" ht="12.75">
      <c r="A48" s="61" t="s">
        <v>446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132000</v>
      </c>
      <c r="D50" s="251">
        <f>SUM(D41:D49)</f>
        <v>0</v>
      </c>
      <c r="E50" s="251">
        <f>SUM(E41:E49)</f>
        <v>132000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503</v>
      </c>
      <c r="B59" s="61"/>
      <c r="C59" s="294">
        <v>110000</v>
      </c>
      <c r="D59" s="294"/>
      <c r="E59" s="251">
        <f t="shared" si="3"/>
        <v>110000</v>
      </c>
    </row>
    <row r="60" spans="1:5" ht="12.75">
      <c r="A60" s="61" t="s">
        <v>446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110000</v>
      </c>
      <c r="D63" s="251">
        <f>SUM(D53:D61)</f>
        <v>0</v>
      </c>
      <c r="E63" s="251">
        <f>SUM(E53:E61)</f>
        <v>110000</v>
      </c>
    </row>
  </sheetData>
  <sheetProtection/>
  <printOptions gridLines="1" headings="1"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F</oddHeader>
    <oddFooter>&amp;C&amp;F
&amp;A&amp;RPage &amp;P
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PageLayoutView="0" workbookViewId="0" topLeftCell="A1">
      <pane xSplit="1" ySplit="6" topLeftCell="B49" activePane="bottomRight" state="frozen"/>
      <selection pane="topLeft" activeCell="A75" sqref="A75"/>
      <selection pane="topRight" activeCell="A75" sqref="A75"/>
      <selection pane="bottomLeft" activeCell="A75" sqref="A75"/>
      <selection pane="bottomRight" activeCell="A75" sqref="A7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as per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463</v>
      </c>
      <c r="B5" s="8"/>
      <c r="C5" s="8" t="s">
        <v>2</v>
      </c>
      <c r="D5" s="8"/>
      <c r="E5" s="8"/>
      <c r="F5" s="8"/>
    </row>
    <row r="6" spans="1:6" ht="12.75">
      <c r="A6" s="416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Orillia Power Distribution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447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471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374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472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F</oddHeader>
    <oddFooter>&amp;C&amp;F
&amp;A&amp;RPage &amp;P
of &amp;N</oddFooter>
  </headerFooter>
  <rowBreaks count="1" manualBreakCount="1">
    <brk id="6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0"/>
  <sheetViews>
    <sheetView tabSelected="1" zoomScalePageLayoutView="0" workbookViewId="0" topLeftCell="A1">
      <pane xSplit="1" ySplit="8" topLeftCell="B9" activePane="bottomRight" state="frozen"/>
      <selection pane="topLeft" activeCell="A75" sqref="A75"/>
      <selection pane="topRight" activeCell="A75" sqref="A75"/>
      <selection pane="bottomLeft" activeCell="A75" sqref="A75"/>
      <selection pane="bottomRight" activeCell="A75" sqref="A75"/>
    </sheetView>
  </sheetViews>
  <sheetFormatPr defaultColWidth="9.140625" defaultRowHeight="12.75" outlineLevelRow="1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as per EB-2008-0381</v>
      </c>
    </row>
    <row r="3" spans="1:5" ht="12.75">
      <c r="A3" s="2" t="s">
        <v>382</v>
      </c>
      <c r="E3" s="92"/>
    </row>
    <row r="4" spans="1:6" ht="15.75">
      <c r="A4" s="464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Orillia Power Distribution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1:6" ht="12.75">
      <c r="A10" s="35" t="str">
        <f>REGINFO!A4</f>
        <v>Reporting period:  2004</v>
      </c>
      <c r="B10" s="20"/>
      <c r="C10" s="25"/>
      <c r="D10" s="25"/>
      <c r="E10" s="25"/>
      <c r="F10" s="20"/>
    </row>
    <row r="11" spans="1:6" ht="12.75">
      <c r="A11" s="2" t="s">
        <v>122</v>
      </c>
      <c r="B11" s="20"/>
      <c r="C11" s="271">
        <f>TAXREC!C11</f>
        <v>366</v>
      </c>
      <c r="D11" s="60"/>
      <c r="E11" s="25"/>
      <c r="F11" s="20"/>
    </row>
    <row r="12" spans="1:6" ht="13.5" thickBot="1">
      <c r="A12" s="2"/>
      <c r="B12" s="20"/>
      <c r="C12" s="234"/>
      <c r="D12" s="25"/>
      <c r="E12" s="25"/>
      <c r="F12" s="20"/>
    </row>
    <row r="13" spans="1:6" ht="13.5" thickTop="1">
      <c r="A13" s="7"/>
      <c r="B13" s="9"/>
      <c r="C13" s="24"/>
      <c r="D13" s="24"/>
      <c r="E13" s="24"/>
      <c r="F13" s="20"/>
    </row>
    <row r="14" spans="1:6" ht="12.75">
      <c r="A14" s="36" t="s">
        <v>177</v>
      </c>
      <c r="B14" s="20"/>
      <c r="C14" s="25"/>
      <c r="D14" s="25"/>
      <c r="E14" s="26"/>
      <c r="F14" s="8"/>
    </row>
    <row r="15" spans="1:6" ht="12.75">
      <c r="A15" s="2" t="s">
        <v>123</v>
      </c>
      <c r="B15" s="20"/>
      <c r="C15" s="25"/>
      <c r="D15" s="25"/>
      <c r="E15" s="26"/>
      <c r="F15" s="8"/>
    </row>
    <row r="17" spans="1:5" ht="12.75">
      <c r="A17" s="67" t="s">
        <v>133</v>
      </c>
      <c r="B17" t="s">
        <v>187</v>
      </c>
      <c r="C17" s="295"/>
      <c r="D17" s="295"/>
      <c r="E17" s="313">
        <f aca="true" t="shared" si="0" ref="E17:E43">C17-D17</f>
        <v>0</v>
      </c>
    </row>
    <row r="18" spans="1:5" ht="12.75">
      <c r="A18" t="s">
        <v>385</v>
      </c>
      <c r="B18" t="s">
        <v>187</v>
      </c>
      <c r="C18" s="295"/>
      <c r="D18" s="295"/>
      <c r="E18" s="313">
        <f t="shared" si="0"/>
        <v>0</v>
      </c>
    </row>
    <row r="19" spans="1:5" ht="12.75">
      <c r="A19" t="s">
        <v>451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388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389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452</v>
      </c>
      <c r="B22" t="s">
        <v>187</v>
      </c>
      <c r="C22" s="295">
        <v>3652</v>
      </c>
      <c r="D22" s="295"/>
      <c r="E22" s="313">
        <f t="shared" si="0"/>
        <v>3652</v>
      </c>
    </row>
    <row r="23" spans="1:5" ht="12.75">
      <c r="A23" s="67" t="s">
        <v>125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134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435</v>
      </c>
      <c r="B25" t="s">
        <v>187</v>
      </c>
      <c r="C25" s="295">
        <v>44436</v>
      </c>
      <c r="D25" s="295"/>
      <c r="E25" s="313">
        <f t="shared" si="0"/>
        <v>44436</v>
      </c>
    </row>
    <row r="26" spans="1:5" ht="12.75">
      <c r="A26" s="67" t="s">
        <v>387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136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386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192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430</v>
      </c>
      <c r="B30" t="s">
        <v>187</v>
      </c>
      <c r="C30" s="295">
        <v>3838</v>
      </c>
      <c r="D30" s="295"/>
      <c r="E30" s="313">
        <f t="shared" si="0"/>
        <v>3838</v>
      </c>
    </row>
    <row r="31" spans="1:5" ht="12.75">
      <c r="A31" s="67" t="s">
        <v>431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448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81" t="s">
        <v>449</v>
      </c>
      <c r="C33" s="295"/>
      <c r="D33" s="295"/>
      <c r="E33" s="313">
        <f t="shared" si="0"/>
        <v>0</v>
      </c>
    </row>
    <row r="34" spans="1:5" ht="12.75">
      <c r="A34" s="67" t="s">
        <v>432</v>
      </c>
      <c r="C34" s="295">
        <v>3661</v>
      </c>
      <c r="D34" s="295"/>
      <c r="E34" s="313">
        <f t="shared" si="0"/>
        <v>3661</v>
      </c>
    </row>
    <row r="35" spans="1:5" ht="12.75">
      <c r="A35" s="67" t="s">
        <v>433</v>
      </c>
      <c r="C35" s="295"/>
      <c r="D35" s="295"/>
      <c r="E35" s="313">
        <f t="shared" si="0"/>
        <v>0</v>
      </c>
    </row>
    <row r="36" spans="1:5" ht="12.75">
      <c r="A36" s="81" t="s">
        <v>390</v>
      </c>
      <c r="C36" s="295"/>
      <c r="D36" s="295"/>
      <c r="E36" s="313">
        <f t="shared" si="0"/>
        <v>0</v>
      </c>
    </row>
    <row r="37" spans="2:5" ht="12.75">
      <c r="B37" t="s">
        <v>187</v>
      </c>
      <c r="C37" s="295"/>
      <c r="D37" s="295"/>
      <c r="E37" s="313">
        <f t="shared" si="0"/>
        <v>0</v>
      </c>
    </row>
    <row r="38" spans="1:5" ht="12.75">
      <c r="A38" s="81" t="s">
        <v>384</v>
      </c>
      <c r="B38" t="s">
        <v>187</v>
      </c>
      <c r="C38" s="295"/>
      <c r="D38" s="295"/>
      <c r="E38" s="313">
        <f t="shared" si="0"/>
        <v>0</v>
      </c>
    </row>
    <row r="39" spans="1:5" ht="12.75">
      <c r="A39" s="67" t="s">
        <v>455</v>
      </c>
      <c r="B39" t="s">
        <v>187</v>
      </c>
      <c r="C39" s="295"/>
      <c r="D39" s="295"/>
      <c r="E39" s="313">
        <f t="shared" si="0"/>
        <v>0</v>
      </c>
    </row>
    <row r="40" spans="2:5" ht="12.75">
      <c r="B40" t="s">
        <v>187</v>
      </c>
      <c r="C40" s="295"/>
      <c r="D40" s="295"/>
      <c r="E40" s="313">
        <f t="shared" si="0"/>
        <v>0</v>
      </c>
    </row>
    <row r="41" spans="1:5" ht="12.75">
      <c r="A41" s="68" t="s">
        <v>204</v>
      </c>
      <c r="B41" t="s">
        <v>187</v>
      </c>
      <c r="C41" s="295"/>
      <c r="D41" s="295"/>
      <c r="E41" s="313">
        <f t="shared" si="0"/>
        <v>0</v>
      </c>
    </row>
    <row r="42" spans="1:5" ht="12.75">
      <c r="A42" t="s">
        <v>499</v>
      </c>
      <c r="B42" t="s">
        <v>187</v>
      </c>
      <c r="C42" s="294">
        <v>23011</v>
      </c>
      <c r="D42" s="294"/>
      <c r="E42" s="251">
        <f t="shared" si="0"/>
        <v>23011</v>
      </c>
    </row>
    <row r="43" spans="2:5" ht="12.75"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79"/>
    </row>
    <row r="45" spans="1:5" ht="12.75">
      <c r="A45" s="449" t="s">
        <v>394</v>
      </c>
      <c r="B45" t="s">
        <v>189</v>
      </c>
      <c r="C45" s="251">
        <f>SUM(C17:C44)</f>
        <v>78598</v>
      </c>
      <c r="D45" s="251">
        <f>SUM(D17:D44)</f>
        <v>0</v>
      </c>
      <c r="E45" s="251">
        <f>SUM(E17:E44)</f>
        <v>78598</v>
      </c>
    </row>
    <row r="46" ht="12.75">
      <c r="A46" s="67"/>
    </row>
    <row r="47" ht="12.75">
      <c r="A47" s="81" t="s">
        <v>145</v>
      </c>
    </row>
    <row r="49" spans="1:5" ht="12.75">
      <c r="A49" s="71" t="s">
        <v>385</v>
      </c>
      <c r="B49" s="8" t="s">
        <v>188</v>
      </c>
      <c r="C49" s="294"/>
      <c r="D49" s="294"/>
      <c r="E49" s="251">
        <f aca="true" t="shared" si="1" ref="E49:E59">C49-D49</f>
        <v>0</v>
      </c>
    </row>
    <row r="50" spans="1:5" ht="12.75">
      <c r="A50" s="67" t="s">
        <v>451</v>
      </c>
      <c r="B50" s="8" t="s">
        <v>188</v>
      </c>
      <c r="C50" s="294"/>
      <c r="D50" s="294"/>
      <c r="E50" s="251">
        <f t="shared" si="1"/>
        <v>0</v>
      </c>
    </row>
    <row r="51" spans="1:5" ht="12.75">
      <c r="A51" t="s">
        <v>386</v>
      </c>
      <c r="B51" s="8" t="s">
        <v>188</v>
      </c>
      <c r="C51" s="294"/>
      <c r="D51" s="294"/>
      <c r="E51" s="251">
        <f t="shared" si="1"/>
        <v>0</v>
      </c>
    </row>
    <row r="52" spans="1:5" ht="12.75">
      <c r="A52" t="s">
        <v>434</v>
      </c>
      <c r="B52" s="8" t="s">
        <v>188</v>
      </c>
      <c r="C52" s="294">
        <v>14000</v>
      </c>
      <c r="D52" s="294"/>
      <c r="E52" s="251">
        <f t="shared" si="1"/>
        <v>14000</v>
      </c>
    </row>
    <row r="53" spans="1:5" ht="12.75">
      <c r="A53" s="67" t="s">
        <v>442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s="67" t="s">
        <v>454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2" t="s">
        <v>450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453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67"/>
      <c r="B57" s="8" t="s">
        <v>188</v>
      </c>
      <c r="C57" s="294"/>
      <c r="D57" s="294"/>
      <c r="E57" s="251">
        <f t="shared" si="1"/>
        <v>0</v>
      </c>
    </row>
    <row r="58" spans="1:5" ht="12.75">
      <c r="A58" s="468" t="s">
        <v>391</v>
      </c>
      <c r="B58" s="8" t="s">
        <v>188</v>
      </c>
      <c r="C58" s="294"/>
      <c r="D58" s="294"/>
      <c r="E58" s="251">
        <f t="shared" si="1"/>
        <v>0</v>
      </c>
    </row>
    <row r="59" spans="2:5" ht="12.75">
      <c r="B59" s="8" t="s">
        <v>188</v>
      </c>
      <c r="C59" s="294"/>
      <c r="D59" s="294"/>
      <c r="E59" s="251">
        <f t="shared" si="1"/>
        <v>0</v>
      </c>
    </row>
    <row r="60" spans="1:5" ht="12.75">
      <c r="A60" s="468" t="s">
        <v>384</v>
      </c>
      <c r="B60" s="8" t="s">
        <v>188</v>
      </c>
      <c r="C60" s="294"/>
      <c r="D60" s="294"/>
      <c r="E60" s="251">
        <f aca="true" t="shared" si="2" ref="E60:E70">C60-D60</f>
        <v>0</v>
      </c>
    </row>
    <row r="61" spans="2:5" ht="12.75">
      <c r="B61" s="8" t="s">
        <v>188</v>
      </c>
      <c r="C61" s="294"/>
      <c r="D61" s="294"/>
      <c r="E61" s="251">
        <f t="shared" si="2"/>
        <v>0</v>
      </c>
    </row>
    <row r="62" spans="1:5" ht="12.75">
      <c r="A62" t="s">
        <v>492</v>
      </c>
      <c r="B62" s="8" t="s">
        <v>188</v>
      </c>
      <c r="C62" s="294">
        <f>2249257-2226246</f>
        <v>23011</v>
      </c>
      <c r="D62" s="294"/>
      <c r="E62" s="251">
        <f t="shared" si="2"/>
        <v>23011</v>
      </c>
    </row>
    <row r="63" spans="2:5" ht="12.75" hidden="1" outlineLevel="1">
      <c r="B63" s="8" t="s">
        <v>188</v>
      </c>
      <c r="C63" s="294"/>
      <c r="D63" s="294"/>
      <c r="E63" s="251">
        <f t="shared" si="2"/>
        <v>0</v>
      </c>
    </row>
    <row r="64" spans="2:5" ht="12.75" hidden="1" outlineLevel="1">
      <c r="B64" s="8" t="s">
        <v>188</v>
      </c>
      <c r="C64" s="294"/>
      <c r="D64" s="294"/>
      <c r="E64" s="251">
        <f t="shared" si="2"/>
        <v>0</v>
      </c>
    </row>
    <row r="65" spans="1:5" ht="12.75" collapsed="1">
      <c r="A65" s="67"/>
      <c r="B65" s="8" t="s">
        <v>188</v>
      </c>
      <c r="C65" s="294"/>
      <c r="D65" s="294"/>
      <c r="E65" s="251">
        <f t="shared" si="2"/>
        <v>0</v>
      </c>
    </row>
    <row r="66" spans="1:5" ht="12.75">
      <c r="A66" s="68" t="s">
        <v>205</v>
      </c>
      <c r="B66" s="8" t="s">
        <v>188</v>
      </c>
      <c r="C66" s="294"/>
      <c r="D66" s="294"/>
      <c r="E66" s="251">
        <f t="shared" si="2"/>
        <v>0</v>
      </c>
    </row>
    <row r="67" spans="1:5" ht="12.75" hidden="1" outlineLevel="1">
      <c r="A67" s="67"/>
      <c r="B67" s="8" t="s">
        <v>188</v>
      </c>
      <c r="C67" s="294"/>
      <c r="D67" s="294"/>
      <c r="E67" s="251">
        <f t="shared" si="2"/>
        <v>0</v>
      </c>
    </row>
    <row r="68" spans="1:5" ht="12.75" hidden="1" outlineLevel="1">
      <c r="A68" s="67"/>
      <c r="B68" s="8" t="s">
        <v>188</v>
      </c>
      <c r="C68" s="294"/>
      <c r="D68" s="294"/>
      <c r="E68" s="251">
        <f t="shared" si="2"/>
        <v>0</v>
      </c>
    </row>
    <row r="69" spans="1:5" ht="12.75" collapsed="1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79">
        <f t="shared" si="2"/>
        <v>0</v>
      </c>
    </row>
    <row r="71" spans="1:5" ht="12.75">
      <c r="A71" s="448" t="s">
        <v>393</v>
      </c>
      <c r="B71" s="8" t="s">
        <v>189</v>
      </c>
      <c r="C71" s="251">
        <f>SUM(C49:C70)</f>
        <v>37011</v>
      </c>
      <c r="D71" s="251">
        <f>SUM(D49:D70)</f>
        <v>0</v>
      </c>
      <c r="E71" s="251">
        <f>SUM(E49:E70)</f>
        <v>37011</v>
      </c>
    </row>
    <row r="72" ht="12.75">
      <c r="A72" s="67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</sheetData>
  <sheetProtection/>
  <printOptions gridLines="1" headings="1"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F</oddHeader>
    <oddFooter>&amp;C&amp;F
&amp;A&amp;RPage &amp;P
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1">
      <selection activeCell="A75" sqref="A75"/>
    </sheetView>
  </sheetViews>
  <sheetFormatPr defaultColWidth="9.140625" defaultRowHeight="12.75"/>
  <cols>
    <col min="1" max="1" width="48.42187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7" max="7" width="2.57421875" style="0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as per EB-2008-0381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Orillia Power Distribution Corporation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6" customHeight="1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6" t="s">
        <v>475</v>
      </c>
      <c r="B8" s="497"/>
      <c r="C8" s="497"/>
      <c r="D8" s="497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465</v>
      </c>
      <c r="B10" s="327"/>
      <c r="C10" s="376" t="s">
        <v>111</v>
      </c>
      <c r="D10" s="376"/>
      <c r="E10" s="376" t="s">
        <v>111</v>
      </c>
      <c r="F10" s="377" t="s">
        <v>476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330</v>
      </c>
      <c r="B21" s="407" t="s">
        <v>467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0" customHeight="1" thickBot="1">
      <c r="A22" s="325" t="s">
        <v>331</v>
      </c>
      <c r="B22" s="408" t="s">
        <v>468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20.25" customHeight="1">
      <c r="A23" s="490" t="s">
        <v>490</v>
      </c>
      <c r="B23" s="491"/>
      <c r="C23" s="491"/>
      <c r="D23" s="491"/>
      <c r="E23" s="491"/>
      <c r="F23" s="491"/>
      <c r="G23" s="438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5.25" customHeight="1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496" t="s">
        <v>486</v>
      </c>
      <c r="B26" s="497"/>
      <c r="C26" s="497"/>
      <c r="D26" s="497"/>
      <c r="E26" s="497"/>
      <c r="F26" s="49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438</v>
      </c>
      <c r="B28" s="327"/>
      <c r="C28" s="370" t="s">
        <v>111</v>
      </c>
      <c r="D28" s="370" t="s">
        <v>111</v>
      </c>
      <c r="E28" s="370" t="s">
        <v>111</v>
      </c>
      <c r="F28" s="371" t="s">
        <v>489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487</v>
      </c>
      <c r="B39" s="407" t="s">
        <v>467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28.5" customHeight="1" thickBot="1">
      <c r="A40" s="325" t="s">
        <v>488</v>
      </c>
      <c r="B40" s="408" t="s">
        <v>485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2" t="s">
        <v>333</v>
      </c>
      <c r="B41" s="491"/>
      <c r="C41" s="491"/>
      <c r="D41" s="491"/>
      <c r="E41" s="491"/>
      <c r="F41" s="491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18.75" customHeight="1">
      <c r="A42" s="493"/>
      <c r="B42" s="493"/>
      <c r="C42" s="493"/>
      <c r="D42" s="493"/>
      <c r="E42" s="493"/>
      <c r="F42" s="493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484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489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84"/>
      <c r="I50" s="48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84"/>
      <c r="I51" s="48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84"/>
      <c r="I52" s="48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347</v>
      </c>
      <c r="B57" s="407" t="s">
        <v>467</v>
      </c>
      <c r="C57" s="362">
        <v>3723135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29.25" customHeight="1" thickBot="1">
      <c r="A58" s="325" t="s">
        <v>348</v>
      </c>
      <c r="B58" s="408" t="s">
        <v>485</v>
      </c>
      <c r="C58" s="363">
        <v>39000000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0" t="s">
        <v>349</v>
      </c>
      <c r="B59" s="494"/>
      <c r="C59" s="494"/>
      <c r="D59" s="494"/>
      <c r="E59" s="494"/>
      <c r="F59" s="494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1" customHeight="1">
      <c r="A60" s="495"/>
      <c r="B60" s="495"/>
      <c r="C60" s="495"/>
      <c r="D60" s="495"/>
      <c r="E60" s="495"/>
      <c r="F60" s="495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 horizontalCentered="1"/>
  <pageMargins left="0.5118110236220472" right="0.5118110236220472" top="0.9448818897637796" bottom="0.7480314960629921" header="0.4330708661417323" footer="0.4330708661417323"/>
  <pageSetup horizontalDpi="600" verticalDpi="600" orientation="portrait" scale="75" r:id="rId1"/>
  <headerFooter alignWithMargins="0">
    <oddHeader>&amp;R&amp;9Orillia Power Distribution Corporation
EB-2011-0191
Filed: October 28, 2011
Appendix F</oddHeader>
    <oddFooter>&amp;C&amp;F
&amp;A&amp;RPage &amp;P
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workbookViewId="0" topLeftCell="A30">
      <selection activeCell="A75" sqref="A75"/>
    </sheetView>
  </sheetViews>
  <sheetFormatPr defaultColWidth="9.140625" defaultRowHeight="12.75"/>
  <cols>
    <col min="1" max="1" width="25.28125" style="0" customWidth="1"/>
    <col min="2" max="2" width="5.0039062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57421875" style="0" customWidth="1"/>
    <col min="7" max="7" width="12.7109375" style="0" customWidth="1"/>
    <col min="8" max="8" width="1.57421875" style="0" customWidth="1"/>
    <col min="9" max="9" width="12.7109375" style="0" customWidth="1"/>
    <col min="10" max="10" width="1.57421875" style="0" customWidth="1"/>
    <col min="11" max="11" width="12.7109375" style="0" customWidth="1"/>
    <col min="12" max="12" width="1.57421875" style="0" customWidth="1"/>
    <col min="13" max="13" width="12.7109375" style="0" customWidth="1"/>
    <col min="14" max="14" width="1.57421875" style="0" customWidth="1"/>
    <col min="15" max="15" width="13.7109375" style="0" customWidth="1"/>
  </cols>
  <sheetData>
    <row r="1" ht="12.75">
      <c r="A1" s="1" t="str">
        <f>REGINFO!A1</f>
        <v>PILs TAXES as per EB-2008-0381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Orillia Power Distribution Corporation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/>
      <c r="M8" s="50">
        <v>38353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/>
      <c r="M9" s="51">
        <v>38717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304090.38907294156</v>
      </c>
      <c r="F11" s="420"/>
      <c r="G11" s="397">
        <f>E22</f>
        <v>257672.8189286443</v>
      </c>
      <c r="H11" s="420"/>
      <c r="I11" s="397">
        <f>G22</f>
        <v>166347.36871066433</v>
      </c>
      <c r="J11" s="391"/>
      <c r="K11" s="397"/>
      <c r="L11" s="391"/>
      <c r="M11" s="397">
        <f>I22</f>
        <v>82290.75193146511</v>
      </c>
      <c r="N11" s="391"/>
      <c r="O11" s="397">
        <f>C11</f>
        <v>0</v>
      </c>
    </row>
    <row r="12" spans="1:15" ht="27" customHeight="1">
      <c r="A12" s="81" t="s">
        <v>395</v>
      </c>
      <c r="B12" s="66" t="s">
        <v>190</v>
      </c>
      <c r="C12" s="396">
        <v>304090.38907294156</v>
      </c>
      <c r="D12" s="392"/>
      <c r="E12" s="396">
        <v>872014.4356410007</v>
      </c>
      <c r="F12" s="95"/>
      <c r="G12" s="419">
        <f>C12+E12</f>
        <v>1176104.8247139424</v>
      </c>
      <c r="H12" s="95"/>
      <c r="I12" s="419">
        <f>(E12/12*9)+(G12/12*3)</f>
        <v>948037.0329092361</v>
      </c>
      <c r="J12" s="392"/>
      <c r="K12" s="419"/>
      <c r="L12" s="392"/>
      <c r="M12" s="419">
        <f>K13/9*12/4</f>
        <v>0</v>
      </c>
      <c r="N12" s="392"/>
      <c r="O12" s="397">
        <f aca="true" t="shared" si="0" ref="O12:O20">SUM(C12:N12)</f>
        <v>3300246.682337121</v>
      </c>
    </row>
    <row r="13" spans="1:15" ht="27" customHeight="1">
      <c r="A13" s="81" t="s">
        <v>437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396</v>
      </c>
      <c r="B14" s="66" t="s">
        <v>190</v>
      </c>
      <c r="C14" s="396"/>
      <c r="D14" s="392"/>
      <c r="E14" s="396">
        <v>0</v>
      </c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397</v>
      </c>
      <c r="B15" s="66" t="s">
        <v>190</v>
      </c>
      <c r="C15" s="396"/>
      <c r="D15" s="392"/>
      <c r="E15" s="396"/>
      <c r="F15" s="95"/>
      <c r="G15" s="396">
        <v>-48288.45601902</v>
      </c>
      <c r="H15" s="95"/>
      <c r="I15" s="396">
        <v>27626.368549399216</v>
      </c>
      <c r="J15" s="392"/>
      <c r="K15" s="396"/>
      <c r="L15" s="392"/>
      <c r="M15" s="419">
        <f>TAXCALC!E132</f>
        <v>-58620.41292934617</v>
      </c>
      <c r="N15" s="392"/>
      <c r="O15" s="397">
        <f t="shared" si="0"/>
        <v>-79282.50039896695</v>
      </c>
    </row>
    <row r="16" spans="1:15" ht="27" customHeight="1">
      <c r="A16" s="81" t="s">
        <v>398</v>
      </c>
      <c r="B16" s="66"/>
      <c r="C16" s="396"/>
      <c r="D16" s="392"/>
      <c r="E16" s="396">
        <v>139.80856999009376</v>
      </c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139.80856999009376</v>
      </c>
    </row>
    <row r="17" spans="1:15" ht="27.75" customHeight="1">
      <c r="A17" s="81" t="s">
        <v>399</v>
      </c>
      <c r="B17" s="66" t="s">
        <v>190</v>
      </c>
      <c r="C17" s="396"/>
      <c r="D17" s="392"/>
      <c r="E17" s="396"/>
      <c r="F17" s="95"/>
      <c r="G17" s="396">
        <v>0</v>
      </c>
      <c r="H17" s="95"/>
      <c r="I17" s="396">
        <v>-41597.60836232571</v>
      </c>
      <c r="J17" s="392"/>
      <c r="K17" s="396"/>
      <c r="L17" s="392"/>
      <c r="M17" s="419">
        <f>TAXCALC!E181</f>
        <v>-55975.514804667815</v>
      </c>
      <c r="N17" s="392"/>
      <c r="O17" s="397">
        <f t="shared" si="0"/>
        <v>-97573.12316699352</v>
      </c>
    </row>
    <row r="18" spans="1:15" ht="25.5">
      <c r="A18" s="81" t="s">
        <v>400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2" t="s">
        <v>401</v>
      </c>
      <c r="B19" s="66" t="s">
        <v>190</v>
      </c>
      <c r="C19" s="396"/>
      <c r="D19" s="392"/>
      <c r="E19" s="396">
        <v>7318.0886970318315</v>
      </c>
      <c r="F19" s="95"/>
      <c r="G19" s="396">
        <v>13734.812817097436</v>
      </c>
      <c r="H19" s="95"/>
      <c r="I19" s="396">
        <v>7548.456015491185</v>
      </c>
      <c r="J19" s="392"/>
      <c r="K19" s="396"/>
      <c r="L19" s="392"/>
      <c r="M19" s="396"/>
      <c r="N19" s="392"/>
      <c r="O19" s="397">
        <f t="shared" si="0"/>
        <v>28601.357529620454</v>
      </c>
    </row>
    <row r="20" spans="1:15" ht="24.75" customHeight="1">
      <c r="A20" s="81" t="s">
        <v>466</v>
      </c>
      <c r="B20" s="66" t="s">
        <v>188</v>
      </c>
      <c r="C20" s="419">
        <v>0</v>
      </c>
      <c r="D20" s="392"/>
      <c r="E20" s="396">
        <v>-925889.90305232</v>
      </c>
      <c r="F20" s="95"/>
      <c r="G20" s="396">
        <v>-1232876.6317299998</v>
      </c>
      <c r="H20" s="95"/>
      <c r="I20" s="396">
        <v>-1025670.8658910001</v>
      </c>
      <c r="J20" s="392"/>
      <c r="K20" s="396"/>
      <c r="L20" s="392"/>
      <c r="M20" s="396"/>
      <c r="N20" s="392"/>
      <c r="O20" s="397">
        <f t="shared" si="0"/>
        <v>-3184437.40067332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371</v>
      </c>
      <c r="B22" s="34"/>
      <c r="C22" s="398">
        <f>SUM(C11:C20)</f>
        <v>304090.38907294156</v>
      </c>
      <c r="D22" s="420"/>
      <c r="E22" s="398">
        <f>SUM(E11:E20)</f>
        <v>257672.8189286443</v>
      </c>
      <c r="F22" s="420"/>
      <c r="G22" s="398">
        <f>SUM(G11:G20)</f>
        <v>166347.36871066433</v>
      </c>
      <c r="H22" s="420"/>
      <c r="I22" s="398">
        <f>SUM(I11:I20)</f>
        <v>82290.75193146511</v>
      </c>
      <c r="J22" s="391"/>
      <c r="K22" s="398">
        <f>SUM(K11:K20)</f>
        <v>0</v>
      </c>
      <c r="L22" s="391"/>
      <c r="M22" s="398">
        <f>SUM(M11:M21)</f>
        <v>-32305.175802548867</v>
      </c>
      <c r="N22" s="391"/>
      <c r="O22" s="450">
        <f>SUM(O11:O20)</f>
        <v>-32305.17580254888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402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403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404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405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87" t="s">
        <v>504</v>
      </c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499" t="s">
        <v>406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421"/>
      <c r="Q33" s="421"/>
      <c r="R33" s="421"/>
      <c r="S33" s="421"/>
    </row>
    <row r="34" spans="1:19" ht="12.75">
      <c r="A34" s="498" t="s">
        <v>407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421"/>
      <c r="Q34" s="421"/>
      <c r="R34" s="421"/>
      <c r="S34" s="421"/>
    </row>
    <row r="35" spans="1:19" ht="12.75">
      <c r="A35" s="498" t="s">
        <v>428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421"/>
      <c r="Q35" s="421"/>
      <c r="R35" s="421"/>
      <c r="S35" s="421"/>
    </row>
    <row r="36" spans="1:19" ht="12.75">
      <c r="A36" s="498" t="s">
        <v>408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421"/>
      <c r="Q36" s="421"/>
      <c r="R36" s="421"/>
      <c r="S36" s="421"/>
    </row>
    <row r="37" spans="1:19" ht="12.75">
      <c r="A37" s="437" t="s">
        <v>368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1"/>
      <c r="Q37" s="421"/>
      <c r="R37" s="421"/>
      <c r="S37" s="421"/>
    </row>
    <row r="38" spans="1:19" ht="12.75">
      <c r="A38" s="437" t="s">
        <v>369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1"/>
      <c r="Q38" s="421"/>
      <c r="R38" s="421"/>
      <c r="S38" s="421"/>
    </row>
    <row r="39" spans="1:19" ht="12.75">
      <c r="A39" s="437" t="s">
        <v>409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1"/>
      <c r="Q39" s="421"/>
      <c r="R39" s="421"/>
      <c r="S39" s="421"/>
    </row>
    <row r="40" spans="1:19" ht="12.75">
      <c r="A40" s="437" t="s">
        <v>410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1"/>
      <c r="Q40" s="421"/>
      <c r="R40" s="421"/>
      <c r="S40" s="421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1"/>
      <c r="Q41" s="421"/>
      <c r="R41" s="421"/>
      <c r="S41" s="421"/>
    </row>
    <row r="42" spans="1:15" ht="12.75">
      <c r="A42" s="439" t="s">
        <v>411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412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413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414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415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416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417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414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418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419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420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421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422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378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423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424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380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379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381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425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426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427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498" t="s">
        <v>457</v>
      </c>
      <c r="B74" s="498"/>
      <c r="C74" s="498"/>
      <c r="D74" s="498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</row>
    <row r="75" spans="1:15" ht="12.75">
      <c r="A75" s="434" t="s">
        <v>370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11811023622047245" right="0.11811023622047245" top="1.220472440944882" bottom="0.7874015748031497" header="0.5118110236220472" footer="0.5118110236220472"/>
  <pageSetup horizontalDpi="600" verticalDpi="600" orientation="portrait" scale="75" r:id="rId1"/>
  <headerFooter alignWithMargins="0">
    <oddHeader>&amp;R&amp;9Orillia Power Distribution Corporation
EB-2011-0191
Filed: October 28, 2011
Appendix F</oddHeader>
    <oddFooter>&amp;C&amp;F
&amp;A&amp;RPage &amp;P
of &amp;N</oddFooter>
  </headerFooter>
  <rowBreaks count="1" manualBreakCount="1"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Pauline Welsh</cp:lastModifiedBy>
  <cp:lastPrinted>2011-10-20T14:48:45Z</cp:lastPrinted>
  <dcterms:created xsi:type="dcterms:W3CDTF">2001-11-07T16:15:53Z</dcterms:created>
  <dcterms:modified xsi:type="dcterms:W3CDTF">2011-10-20T14:49:19Z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