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685" tabRatio="901" activeTab="5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Calculation'!$A$1:$AB$75</definedName>
    <definedName name="_xlnm.Print_Area" localSheetId="0">'REGINFO'!$A$1:$E$70</definedName>
    <definedName name="_xlnm.Print_Area" localSheetId="6">'Tax Rates'!$A$1:$G$60</definedName>
    <definedName name="_xlnm.Print_Area" localSheetId="3">'Tax Reserves'!$A$1:$F$63</definedName>
    <definedName name="_xlnm.Print_Area" localSheetId="1">'TAXCALC'!$A$1:$H$208</definedName>
    <definedName name="_xlnm.Print_Area" localSheetId="2">'TAXREC'!$A$1:$E$160</definedName>
    <definedName name="_xlnm.Print_Area" localSheetId="4">'TAXREC 2'!$A$1:$E$121</definedName>
    <definedName name="_xlnm.Print_Area" localSheetId="5">'TAXREC 3 No True-up'!$A$1:$E$73</definedName>
    <definedName name="_xlnm.Print_Titles" localSheetId="7">'PILs 1562 Calculation'!$1:$5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<sst xmlns="http://schemas.openxmlformats.org/spreadsheetml/2006/main" count="872" uniqueCount="501">
  <si>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</si>
  <si>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</si>
  <si>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</si>
  <si>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</si>
  <si>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</si>
  <si>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</si>
  <si>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</si>
  <si>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</si>
  <si>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</si>
  <si>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</si>
  <si>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</si>
  <si>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</si>
  <si>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</si>
  <si>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</si>
  <si>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</si>
  <si>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</si>
  <si>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</si>
  <si>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</si>
  <si>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</si>
  <si>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</si>
  <si>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</si>
  <si>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</si>
  <si>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</si>
  <si>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</si>
  <si>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</si>
  <si>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</si>
  <si>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</si>
  <si>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</si>
  <si>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</si>
  <si>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</si>
  <si>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</si>
  <si>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</si>
  <si>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</si>
  <si>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</si>
  <si>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</si>
  <si>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</si>
  <si>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</si>
  <si>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</si>
  <si>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</si>
  <si>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</si>
  <si>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</si>
  <si>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</si>
  <si>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</si>
  <si>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</si>
  <si>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</si>
  <si>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</si>
  <si>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</si>
  <si>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</si>
  <si>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</si>
  <si>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</si>
  <si>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</si>
  <si>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</si>
  <si>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</si>
  <si>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</si>
  <si>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</si>
  <si>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</si>
  <si>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</si>
  <si>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</si>
  <si>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</si>
  <si>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</si>
  <si>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</si>
  <si>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</si>
  <si>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</si>
  <si>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</si>
  <si>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</si>
  <si>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</si>
  <si>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</si>
  <si>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</si>
  <si>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</si>
  <si>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</si>
  <si>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</si>
  <si>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</si>
  <si>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</si>
  <si>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</si>
  <si>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</si>
  <si>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</si>
  <si>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</si>
  <si>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</si>
  <si>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</si>
  <si>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</si>
  <si>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</si>
  <si>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</si>
  <si>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</si>
  <si>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</si>
  <si>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</si>
  <si>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</si>
  <si>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</si>
  <si>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</si>
  <si>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</si>
  <si>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</si>
  <si>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</si>
  <si>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</si>
  <si>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</si>
  <si>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</si>
  <si>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</si>
  <si>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</si>
  <si>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</si>
  <si>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</si>
  <si>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</si>
  <si>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</si>
  <si>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</si>
  <si>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</si>
  <si>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</si>
  <si>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</si>
  <si>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</si>
  <si>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</si>
  <si>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</si>
  <si>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</si>
  <si>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</si>
  <si>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</si>
  <si>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</si>
  <si>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</si>
  <si>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</si>
  <si>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</si>
  <si>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</si>
  <si>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</si>
  <si>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</si>
  <si>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</si>
  <si>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</si>
  <si>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</si>
  <si>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</si>
  <si>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</si>
  <si>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</si>
  <si>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</si>
  <si>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</si>
  <si>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</si>
  <si>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</si>
  <si>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</si>
  <si>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</si>
  <si>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</si>
  <si>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</si>
  <si>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</si>
  <si>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</si>
  <si>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</si>
  <si>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</si>
  <si>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</si>
  <si>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</si>
  <si>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</si>
  <si>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</si>
  <si>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</si>
  <si>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</si>
  <si>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</si>
  <si>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</si>
  <si>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</si>
  <si>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</si>
  <si>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</si>
  <si>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</si>
  <si>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</si>
  <si>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</si>
  <si>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</si>
  <si>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</si>
  <si>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</si>
  <si>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</si>
  <si>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</si>
  <si>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</si>
  <si>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</si>
  <si>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</si>
  <si>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</si>
  <si>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</si>
  <si>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</si>
  <si>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</si>
  <si>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</si>
  <si>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</si>
  <si>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</si>
  <si>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</si>
  <si>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</si>
  <si>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</si>
  <si>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</si>
  <si>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</si>
  <si>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</si>
  <si>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</si>
  <si>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</si>
  <si>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</si>
  <si>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</si>
  <si>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</si>
  <si>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</si>
  <si>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</si>
  <si>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</si>
  <si>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</si>
  <si>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</si>
  <si>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</si>
  <si>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</si>
  <si>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</si>
  <si>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</si>
  <si>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</si>
  <si>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</si>
  <si>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</si>
  <si>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</si>
  <si>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</si>
  <si>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</si>
  <si>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</si>
  <si>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</si>
  <si>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</si>
  <si>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</si>
  <si>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</si>
  <si>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</si>
  <si>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</si>
  <si>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</si>
  <si>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</si>
  <si>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</si>
  <si>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</si>
  <si>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</si>
  <si>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</si>
  <si>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</si>
  <si>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</si>
  <si>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</si>
  <si>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</si>
  <si>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</si>
  <si>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</si>
  <si>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</si>
  <si>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</si>
  <si>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</si>
  <si>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</si>
  <si>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</si>
  <si>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</si>
  <si>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</si>
  <si>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</si>
  <si>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</si>
  <si>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</si>
  <si>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</si>
  <si>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</si>
  <si>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</si>
  <si>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</si>
  <si>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</si>
  <si>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</si>
  <si>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</si>
  <si>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</si>
  <si>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</si>
  <si>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</si>
  <si>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</si>
  <si>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</si>
  <si>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</si>
  <si>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</si>
  <si>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</si>
  <si>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</si>
  <si>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</si>
  <si>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</si>
  <si>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</si>
  <si>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</si>
  <si>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</si>
  <si>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</si>
  <si>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</si>
  <si>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</si>
  <si>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</si>
  <si>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</si>
  <si>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</si>
  <si>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</si>
  <si>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</si>
  <si>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</si>
  <si>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</si>
  <si>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</si>
  <si>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</si>
  <si>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</si>
  <si>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</si>
  <si>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</si>
  <si>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</si>
  <si>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</si>
  <si>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</si>
  <si>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</si>
  <si>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</si>
  <si>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</si>
  <si>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</si>
  <si>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</si>
  <si>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</si>
  <si>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</si>
  <si>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</si>
  <si>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</si>
  <si>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</si>
  <si>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</si>
  <si>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</si>
  <si>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</si>
  <si>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</si>
  <si>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</si>
  <si>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</si>
  <si>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</si>
  <si>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</si>
  <si>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</si>
  <si>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</si>
  <si>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</si>
  <si>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</si>
  <si>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</si>
  <si>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</si>
  <si>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</si>
  <si>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</si>
  <si>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</si>
  <si>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</si>
  <si>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</si>
  <si>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</si>
  <si>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</si>
  <si>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</si>
  <si>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</si>
  <si>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</si>
  <si>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</si>
  <si>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</si>
  <si>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</si>
  <si>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</si>
  <si>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</si>
  <si>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</si>
  <si>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</si>
  <si>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</si>
  <si>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</si>
  <si>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</si>
  <si>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</si>
  <si>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</si>
  <si>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</si>
  <si>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</si>
  <si>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</si>
  <si>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</si>
  <si>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</si>
  <si>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</si>
  <si>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</si>
  <si>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</si>
  <si>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</si>
  <si>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</si>
  <si>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</si>
  <si>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</si>
  <si>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</si>
  <si>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</si>
  <si>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</si>
  <si>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</si>
  <si>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</si>
  <si>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</si>
  <si>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</si>
  <si>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</si>
  <si>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</si>
  <si>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</si>
  <si>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</si>
  <si>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</si>
  <si>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</si>
  <si>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</si>
  <si>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</si>
  <si>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</si>
  <si>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</si>
  <si>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</si>
  <si>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</si>
  <si>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</si>
  <si>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</si>
  <si>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</si>
  <si>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</si>
  <si>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</si>
  <si>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</si>
  <si>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</si>
  <si>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</si>
  <si>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</si>
  <si>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</si>
  <si>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</si>
  <si>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</si>
  <si>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</si>
  <si>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</si>
  <si>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</si>
  <si>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</si>
  <si>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</si>
  <si>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</si>
  <si>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</si>
  <si>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</si>
  <si>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</si>
  <si>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</si>
  <si>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</si>
  <si>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</si>
  <si>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</si>
  <si>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</si>
  <si>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</si>
  <si>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</si>
  <si>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</si>
  <si>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</si>
  <si>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</si>
  <si>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</si>
  <si>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</si>
  <si>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</si>
  <si>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</si>
  <si>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</si>
  <si>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</si>
  <si>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</si>
  <si>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</si>
  <si>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</si>
  <si>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</si>
  <si>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</si>
  <si>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</si>
  <si>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</si>
  <si>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</si>
  <si>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</si>
  <si>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</si>
  <si>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</si>
  <si>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</si>
  <si>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</si>
  <si>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</si>
  <si>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</si>
  <si>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</si>
  <si>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</si>
  <si>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</si>
  <si>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</si>
  <si>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</si>
  <si>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</si>
  <si>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</si>
  <si>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</si>
  <si>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</si>
  <si>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</si>
  <si>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</si>
  <si>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</si>
  <si>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</si>
  <si>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</si>
  <si>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</si>
  <si>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</si>
  <si>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</si>
  <si>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</si>
  <si>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</si>
  <si>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</si>
  <si>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</si>
  <si>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</si>
  <si>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</si>
  <si>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</si>
  <si>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</si>
  <si>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</si>
  <si>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</si>
  <si>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</si>
  <si>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</si>
  <si>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</si>
  <si>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</si>
  <si>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</si>
  <si>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</si>
  <si>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</si>
  <si>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</si>
  <si>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</si>
  <si>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</si>
  <si>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</si>
  <si>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</si>
  <si>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</si>
  <si>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</si>
  <si>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</si>
  <si>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</si>
  <si>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</si>
  <si>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</si>
  <si>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</si>
  <si>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</si>
  <si>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</si>
  <si>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</si>
  <si>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</si>
  <si>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</si>
  <si>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</si>
  <si>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</si>
  <si>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</si>
  <si>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</si>
  <si>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</si>
  <si>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</si>
  <si>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</si>
  <si>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</si>
  <si>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</si>
  <si>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</si>
  <si>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</si>
  <si>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</si>
  <si>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</si>
  <si>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</si>
  <si>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</si>
  <si>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</si>
  <si>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</si>
  <si>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</si>
  <si>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</si>
  <si>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</si>
  <si>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</si>
  <si>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</si>
  <si>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</si>
  <si>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</si>
  <si>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</si>
  <si>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</si>
  <si>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PILs billed to (collected from) customers             (8)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</si>
  <si>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</si>
  <si>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</si>
  <si>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</si>
  <si>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</si>
  <si>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</si>
  <si>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</si>
  <si>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</si>
  <si>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</si>
  <si>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</si>
  <si>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</si>
  <si>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</si>
  <si>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</si>
  <si>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</si>
  <si>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</si>
  <si>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</si>
  <si>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</si>
  <si>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</si>
  <si>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</si>
  <si>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</si>
  <si>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</si>
  <si>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</si>
  <si>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</si>
  <si>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</si>
  <si>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</si>
  <si>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</si>
  <si>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Utility Name: Orillia Power Distribution Corporation</t>
  </si>
  <si>
    <t>PILs TAXES as per EB-2008-0381</t>
  </si>
  <si>
    <t>No for intial estimate but yes 
 for 2005 MoF filing</t>
  </si>
  <si>
    <r>
      <t xml:space="preserve">   Amount allowed in Year 3 - 2005; </t>
    </r>
    <r>
      <rPr>
        <sz val="10"/>
        <color indexed="10"/>
        <rFont val="Arial"/>
        <family val="2"/>
      </rPr>
      <t>no gross-up</t>
    </r>
    <r>
      <rPr>
        <sz val="10"/>
        <rFont val="Arial"/>
        <family val="0"/>
      </rPr>
      <t>; (with approved CDM plan)</t>
    </r>
  </si>
  <si>
    <t>Total deemed interest  (REGINFO CELL D62)</t>
  </si>
  <si>
    <t>Charitable donations</t>
  </si>
  <si>
    <t>Assessment Notice</t>
  </si>
  <si>
    <t xml:space="preserve">Net Federal Income Tax Rate  </t>
  </si>
  <si>
    <r>
      <t xml:space="preserve">Net Ontario Income Tax Rate  </t>
    </r>
  </si>
  <si>
    <t xml:space="preserve">Other - accrued health and dental benefit costs </t>
  </si>
  <si>
    <t>Method 3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</si>
</sst>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#,##0.000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0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0" fontId="0" fillId="40" borderId="17" xfId="0" applyFill="1" applyBorder="1" applyAlignment="1" applyProtection="1">
      <alignment horizontal="center" vertical="top" wrapText="1"/>
      <protection locked="0"/>
    </xf>
    <xf numFmtId="10" fontId="0" fillId="0" borderId="0" xfId="63" applyFont="1" applyFill="1" applyAlignment="1" applyProtection="1">
      <alignment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3" fontId="0" fillId="0" borderId="0" xfId="0" applyNumberFormat="1" applyFill="1" applyAlignment="1">
      <alignment vertical="center"/>
    </xf>
    <xf numFmtId="0" fontId="0" fillId="40" borderId="0" xfId="0" applyFont="1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acon\My%20Documents\Orillia\2012%20Rate%20Appl\PILs%201562%20Final\2001%20Analysis\OPDC_revised_2001_PILs_Model_201109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acon\My%20Documents\Orillia\2012%20Rate%20Appl\PILs%201562%20Final\2002%20Analyisis\OPDC_revised_2002_PILs_Model_201109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acon\My%20Documents\Orillia\2012%20Rate%20Appl\PILs%201562%20Final\2003%20Analysis\OPDC_revised_2003_PILs_Model_201109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acon\My%20Documents\Orillia\2012%20Rate%20Appl\PILs%201562%20Final\2004%20Analysis\OPDC_revised_2004_PILs_Model_201109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LEGAL%20&amp;%20GOVERNMENT\Ontario%20Energy%20Board\Rate%20Decisions_Orders\2012_05_RA\Application\Models_Working%20Copy_not%20formatted\Orillia%20PILS%20Reconciliation%202001%20-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"/>
      <sheetName val="Tax Rates"/>
      <sheetName val="PILs 1562 Calculation"/>
    </sheetNames>
    <sheetDataSet>
      <sheetData sheetId="1">
        <row r="181">
          <cell r="E181">
            <v>139.80856999009376</v>
          </cell>
        </row>
        <row r="183">
          <cell r="E18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81">
          <cell r="E181">
            <v>0</v>
          </cell>
        </row>
        <row r="183">
          <cell r="E183">
            <v>-48288.45601902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81">
          <cell r="E181">
            <v>-41597.60836232571</v>
          </cell>
        </row>
        <row r="183">
          <cell r="E183">
            <v>27626.368549399216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81">
          <cell r="E181">
            <v>-55975.514804667815</v>
          </cell>
        </row>
        <row r="183">
          <cell r="E183">
            <v>-58620.41292934617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-1 Summary"/>
      <sheetName val="A-2 Principal trueup"/>
      <sheetName val="A-3 Interest Trueup"/>
      <sheetName val="B-1 2002  PILS Recoveries"/>
      <sheetName val="B-2 2003 PILS Recoveries"/>
      <sheetName val="B-3 2004 PILS Recoveries"/>
      <sheetName val="B-4 2005 PILS Recoveries"/>
      <sheetName val="B-5 2006  PILS Recoveries"/>
      <sheetName val="C-1 Monthly Volumes"/>
      <sheetName val="C-2 Customer Count"/>
      <sheetName val="C-3 1562 Billing Journal"/>
    </sheetNames>
    <sheetDataSet>
      <sheetData sheetId="1">
        <row r="14">
          <cell r="E14">
            <v>-925889.90305232</v>
          </cell>
        </row>
        <row r="28">
          <cell r="E28">
            <v>-1232876.6317299998</v>
          </cell>
        </row>
        <row r="42">
          <cell r="E42">
            <v>-1025670.8658910001</v>
          </cell>
        </row>
        <row r="56">
          <cell r="E56">
            <v>-941306.5640566075</v>
          </cell>
        </row>
        <row r="68">
          <cell r="E68">
            <v>-400689.20356916665</v>
          </cell>
        </row>
      </sheetData>
      <sheetData sheetId="2">
        <row r="14">
          <cell r="G14">
            <v>7318.0886970318315</v>
          </cell>
        </row>
        <row r="29">
          <cell r="G29">
            <v>13734.812817097436</v>
          </cell>
        </row>
        <row r="44">
          <cell r="G44">
            <v>7548.456015491185</v>
          </cell>
        </row>
        <row r="59">
          <cell r="G59">
            <v>-6655.145424386829</v>
          </cell>
        </row>
        <row r="74">
          <cell r="G74">
            <v>-14092.974491404333</v>
          </cell>
        </row>
        <row r="89">
          <cell r="G89">
            <v>-15880.693756568846</v>
          </cell>
        </row>
        <row r="103">
          <cell r="G103">
            <v>-13369.679778137282</v>
          </cell>
        </row>
        <row r="117">
          <cell r="G117">
            <v>-3821.108228048032</v>
          </cell>
        </row>
        <row r="131">
          <cell r="G131">
            <v>-2678.974779664443</v>
          </cell>
        </row>
        <row r="145">
          <cell r="G145">
            <v>-4938.047556246685</v>
          </cell>
        </row>
        <row r="159">
          <cell r="G159">
            <v>-1646.0158520822285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PageLayoutView="0" workbookViewId="0" topLeftCell="A34">
      <selection activeCell="A46" sqref="A46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8.4218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491</v>
      </c>
      <c r="C1" s="8"/>
      <c r="E1" s="2" t="s">
        <v>457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490</v>
      </c>
      <c r="C3" s="8"/>
      <c r="D3" s="455" t="s">
        <v>443</v>
      </c>
      <c r="E3" s="8"/>
      <c r="F3" s="8"/>
      <c r="G3" s="8"/>
      <c r="H3" s="8"/>
    </row>
    <row r="4" spans="1:8" ht="12.75">
      <c r="A4" s="2" t="s">
        <v>475</v>
      </c>
      <c r="C4" s="8"/>
      <c r="D4" s="454" t="s">
        <v>438</v>
      </c>
      <c r="E4" s="429"/>
      <c r="H4" s="8"/>
    </row>
    <row r="5" spans="1:8" ht="12.75">
      <c r="A5" s="52"/>
      <c r="C5" s="8"/>
      <c r="D5" s="453" t="s">
        <v>439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9" customHeight="1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90" t="s">
        <v>315</v>
      </c>
      <c r="C18" s="8"/>
      <c r="D18" s="8"/>
    </row>
    <row r="19" spans="1:4" ht="42" customHeight="1" thickBot="1">
      <c r="A19" s="493" t="s">
        <v>316</v>
      </c>
      <c r="B19" s="8" t="s">
        <v>313</v>
      </c>
      <c r="C19" s="8" t="s">
        <v>64</v>
      </c>
      <c r="D19" s="488" t="s">
        <v>492</v>
      </c>
    </row>
    <row r="20" spans="1:4" ht="42.75" customHeight="1" thickBot="1">
      <c r="A20" s="494"/>
      <c r="B20" s="8" t="s">
        <v>314</v>
      </c>
      <c r="C20" s="8" t="s">
        <v>64</v>
      </c>
      <c r="D20" s="488" t="s">
        <v>492</v>
      </c>
    </row>
    <row r="21" spans="1:4" ht="12.75">
      <c r="A21" s="493" t="s">
        <v>312</v>
      </c>
      <c r="B21" s="8" t="s">
        <v>313</v>
      </c>
      <c r="C21" s="8"/>
      <c r="D21" s="424">
        <v>1</v>
      </c>
    </row>
    <row r="22" spans="1:4" ht="12.75">
      <c r="A22" s="493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476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297</v>
      </c>
    </row>
    <row r="27" spans="1:5" ht="12.75">
      <c r="A27" s="256" t="s">
        <v>68</v>
      </c>
      <c r="C27" s="8"/>
      <c r="E27" s="445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0.5" customHeight="1">
      <c r="A30" s="35"/>
    </row>
    <row r="31" spans="1:8" ht="12.75">
      <c r="A31" t="s">
        <v>287</v>
      </c>
      <c r="D31" s="422">
        <v>17894047.55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1532625.1726575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913712</v>
      </c>
      <c r="E43" s="388">
        <f>D43</f>
        <v>913712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618913.1726575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206304.39088583333</v>
      </c>
      <c r="E47" s="388">
        <f aca="true" t="shared" si="0" ref="E47:E53">D47</f>
        <v>206304.39088583333</v>
      </c>
      <c r="H47" s="40"/>
      <c r="J47" s="5"/>
      <c r="K47" s="5"/>
    </row>
    <row r="48" spans="1:11" ht="12.75">
      <c r="A48" t="s">
        <v>290</v>
      </c>
      <c r="D48" s="427">
        <v>206304.39088583333</v>
      </c>
      <c r="E48" s="388">
        <f>D48</f>
        <v>206304.39088583333</v>
      </c>
      <c r="F48" s="22"/>
      <c r="H48" s="40"/>
      <c r="J48" s="5"/>
      <c r="K48" s="5"/>
    </row>
    <row r="49" spans="1:11" ht="12.75">
      <c r="A49" t="s">
        <v>291</v>
      </c>
      <c r="D49" s="427"/>
      <c r="E49" s="388">
        <f>D49</f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8">
        <f t="shared" si="0"/>
        <v>0</v>
      </c>
      <c r="H50" s="40"/>
      <c r="J50" s="5"/>
      <c r="K50" s="5"/>
    </row>
    <row r="51" spans="1:11" ht="12.75">
      <c r="A51" t="s">
        <v>493</v>
      </c>
      <c r="C51" s="489"/>
      <c r="D51" s="427">
        <v>206304.39088583333</v>
      </c>
      <c r="E51" s="388">
        <f>D51</f>
        <v>206304.39088583333</v>
      </c>
      <c r="G51" s="3"/>
      <c r="H51" s="40"/>
      <c r="J51" s="5"/>
      <c r="K51" s="5"/>
    </row>
    <row r="52" spans="1:11" ht="12.75">
      <c r="A52" t="s">
        <v>458</v>
      </c>
      <c r="D52" s="429"/>
      <c r="E52" s="388"/>
      <c r="G52" s="487"/>
      <c r="H52" s="40"/>
      <c r="J52" s="5"/>
      <c r="K52" s="5"/>
    </row>
    <row r="53" spans="4:11" ht="12.75">
      <c r="D53" s="429"/>
      <c r="E53" s="388">
        <f t="shared" si="0"/>
        <v>0</v>
      </c>
      <c r="G53" s="3"/>
      <c r="H53" s="40"/>
      <c r="J53" s="5"/>
      <c r="K53" s="5"/>
    </row>
    <row r="54" spans="1:11" ht="12.75">
      <c r="A54" s="2" t="s">
        <v>293</v>
      </c>
      <c r="E54" s="254">
        <f>SUM(E43:E53)</f>
        <v>1532625.1726575003</v>
      </c>
      <c r="G54" s="22"/>
      <c r="H54" s="40"/>
      <c r="J54" s="5"/>
      <c r="K54" s="5"/>
    </row>
    <row r="55" spans="4:11" ht="9" customHeight="1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8947023.775</v>
      </c>
      <c r="H56" s="32"/>
      <c r="J56" s="5"/>
      <c r="K56" s="5"/>
    </row>
    <row r="57" spans="1:11" ht="10.5" customHeight="1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883965.94897</v>
      </c>
      <c r="F58" s="5"/>
      <c r="H58" s="32"/>
      <c r="J58" s="5"/>
      <c r="K58" s="5"/>
    </row>
    <row r="59" spans="2:11" ht="10.5" customHeight="1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8947023.775</v>
      </c>
      <c r="F60" s="5"/>
      <c r="H60" s="32"/>
      <c r="J60" s="5"/>
      <c r="K60" s="5"/>
    </row>
    <row r="61" spans="2:11" ht="9" customHeight="1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648659.2236875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474029.12048583146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561344.1720866658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561344.1720866658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444</v>
      </c>
      <c r="B70" s="5"/>
      <c r="C70" s="5"/>
      <c r="D70" s="253">
        <f>D62</f>
        <v>648659.2236875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 horizontalCentered="1"/>
  <pageMargins left="0.5118110236220472" right="0.5118110236220472" top="1.1023622047244095" bottom="0.7480314960629921" header="0.5118110236220472" footer="0.5118110236220472"/>
  <pageSetup horizontalDpi="600" verticalDpi="600" orientation="portrait" scale="75" r:id="rId1"/>
  <headerFooter alignWithMargins="0">
    <oddHeader>&amp;R&amp;9Orillia Power Distribution Corporation
EB-2011-0191
Filed: October 28, 2011
Appendix G</oddHeader>
    <oddFooter>&amp;C&amp;F
&amp;A&amp;RPage &amp;P
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PageLayoutView="0" workbookViewId="0" topLeftCell="A147">
      <selection activeCell="A46" sqref="A46"/>
    </sheetView>
  </sheetViews>
  <sheetFormatPr defaultColWidth="9.140625" defaultRowHeight="12.75"/>
  <cols>
    <col min="1" max="1" width="63.7109375" style="0" customWidth="1"/>
    <col min="2" max="2" width="6.28125" style="0" customWidth="1"/>
    <col min="3" max="3" width="14.8515625" style="0" customWidth="1"/>
    <col min="4" max="4" width="5.00390625" style="0" customWidth="1"/>
    <col min="5" max="5" width="15.28125" style="0" customWidth="1"/>
    <col min="6" max="6" width="14.57421875" style="0" customWidth="1"/>
    <col min="7" max="7" width="13.421875" style="0" customWidth="1"/>
    <col min="8" max="8" width="2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as per EB-2008-0381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460</v>
      </c>
      <c r="H1" s="210"/>
    </row>
    <row r="2" spans="1:8" ht="12.75">
      <c r="A2" s="211" t="s">
        <v>459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461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Orillia Power Distribution Corporation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2005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0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7.25" customHeight="1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4.25" customHeight="1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339</v>
      </c>
      <c r="B16" s="125">
        <v>1</v>
      </c>
      <c r="C16" s="259">
        <f>REGINFO!E54</f>
        <v>1532625.1726575003</v>
      </c>
      <c r="D16" s="17"/>
      <c r="E16" s="267">
        <f>G16-C16</f>
        <v>608284.8273424997</v>
      </c>
      <c r="F16" s="3"/>
      <c r="G16" s="267">
        <f>TAXREC!E50</f>
        <v>2140910</v>
      </c>
      <c r="H16" s="151"/>
    </row>
    <row r="17" spans="1:8" ht="10.5" customHeight="1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1595307</v>
      </c>
      <c r="D20" s="18"/>
      <c r="E20" s="267">
        <f>G20-C20</f>
        <v>-353955</v>
      </c>
      <c r="F20" s="6"/>
      <c r="G20" s="267">
        <f>TAXREC!E61</f>
        <v>1241352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88000</v>
      </c>
      <c r="F23" s="6"/>
      <c r="G23" s="267">
        <f>TAXREC!E64</f>
        <v>88000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77" t="s">
        <v>392</v>
      </c>
      <c r="B30" s="127"/>
      <c r="C30" s="259"/>
      <c r="D30" s="18"/>
      <c r="E30" s="267">
        <f>G30-C30</f>
        <v>23502</v>
      </c>
      <c r="F30" s="6"/>
      <c r="G30" s="267">
        <f>TAXREC!E66</f>
        <v>23502</v>
      </c>
      <c r="H30" s="151"/>
    </row>
    <row r="31" spans="1:8" ht="9" customHeight="1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340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1018760.74</v>
      </c>
      <c r="D33" s="132"/>
      <c r="E33" s="267">
        <f aca="true" t="shared" si="0" ref="E33:E42">G33-C33</f>
        <v>67012.26000000001</v>
      </c>
      <c r="F33" s="6"/>
      <c r="G33" s="267">
        <f>TAXREC!E97+TAXREC!E98</f>
        <v>1085773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REGINFO!D70</f>
        <v>648659.2236875</v>
      </c>
      <c r="D37" s="132"/>
      <c r="E37" s="267">
        <f t="shared" si="0"/>
        <v>83490.7763125</v>
      </c>
      <c r="F37" s="6"/>
      <c r="G37" s="267">
        <f>TAXREC!E51</f>
        <v>732150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110000</v>
      </c>
      <c r="F39" s="6"/>
      <c r="G39" s="267">
        <f>TAXREC!E105</f>
        <v>110000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>
        <v>34000</v>
      </c>
      <c r="D45" s="132"/>
      <c r="E45" s="267">
        <f>G45-C45</f>
        <v>-34000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77" t="s">
        <v>392</v>
      </c>
      <c r="B48" s="127"/>
      <c r="C48" s="259"/>
      <c r="D48" s="132"/>
      <c r="E48" s="267">
        <f>G48-C48</f>
        <v>13614</v>
      </c>
      <c r="F48" s="6"/>
      <c r="G48" s="251">
        <f>TAXREC!E108</f>
        <v>13614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1426512.20897</v>
      </c>
      <c r="D50" s="102"/>
      <c r="E50" s="263">
        <f>E16+SUM(E20:E30)-SUM(E33:E48)</f>
        <v>125714.79102999973</v>
      </c>
      <c r="F50" s="432"/>
      <c r="G50" s="263">
        <f>G16+SUM(G20:G30)-SUM(G33:G48)</f>
        <v>1552227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334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338</v>
      </c>
      <c r="B53" s="127">
        <v>13</v>
      </c>
      <c r="C53" s="262">
        <f>IF($C$50&gt;'Tax Rates'!$E$11,'Tax Rates'!$F$16,IF($C$50&gt;'Tax Rates'!$C$11,'Tax Rates'!$E$16,'Tax Rates'!$C$16))</f>
        <v>0.3612</v>
      </c>
      <c r="D53" s="102"/>
      <c r="E53" s="268">
        <f>+G53-C53</f>
        <v>0</v>
      </c>
      <c r="F53" s="114"/>
      <c r="G53" s="262">
        <f>+'Tax Rates'!F52</f>
        <v>0.3612</v>
      </c>
      <c r="H53" s="151"/>
      <c r="I53" s="469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515256.20987996407</v>
      </c>
      <c r="D55" s="102"/>
      <c r="E55" s="267">
        <f>G55-C55</f>
        <v>702561.7901200359</v>
      </c>
      <c r="F55" s="432" t="s">
        <v>365</v>
      </c>
      <c r="G55" s="264">
        <f>TAXREC!E144</f>
        <v>1217818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 t="s">
        <v>365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515256.20987996407</v>
      </c>
      <c r="D60" s="133"/>
      <c r="E60" s="269">
        <f>+E55-E58</f>
        <v>702561.7901200359</v>
      </c>
      <c r="F60" s="432" t="s">
        <v>365</v>
      </c>
      <c r="G60" s="269">
        <f>+G55-G58</f>
        <v>1217818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17894047.55</v>
      </c>
      <c r="D66" s="102"/>
      <c r="E66" s="267">
        <f>G66-C66</f>
        <v>6364188.449999999</v>
      </c>
      <c r="F66" s="6"/>
      <c r="G66" s="470">
        <v>24258236</v>
      </c>
      <c r="H66" s="151"/>
      <c r="I66" s="471" t="s">
        <v>465</v>
      </c>
    </row>
    <row r="67" spans="1:10" ht="12.75">
      <c r="A67" s="152" t="s">
        <v>358</v>
      </c>
      <c r="B67" s="125">
        <v>16</v>
      </c>
      <c r="C67" s="260">
        <f>IF(C66&gt;0,'Tax Rates'!C21,0)</f>
        <v>7500000</v>
      </c>
      <c r="D67" s="102"/>
      <c r="E67" s="267">
        <f>G67-C67</f>
        <v>-2076003</v>
      </c>
      <c r="F67" s="6"/>
      <c r="G67" s="267">
        <f>'Tax Rates'!C57</f>
        <v>5423997</v>
      </c>
      <c r="H67" s="151"/>
      <c r="I67" s="471"/>
      <c r="J67" s="472" t="s">
        <v>466</v>
      </c>
    </row>
    <row r="68" spans="1:8" ht="12.75">
      <c r="A68" s="152" t="s">
        <v>42</v>
      </c>
      <c r="B68" s="125"/>
      <c r="C68" s="264">
        <f>IF((C66-C67)&gt;0,C66-C67,0)</f>
        <v>10394047.55</v>
      </c>
      <c r="D68" s="102"/>
      <c r="E68" s="267">
        <f>SUM(E66:E67)</f>
        <v>4288185.449999999</v>
      </c>
      <c r="F68" s="114"/>
      <c r="G68" s="264">
        <f>G66-G67</f>
        <v>18834239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359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31182.14265</v>
      </c>
      <c r="D72" s="101"/>
      <c r="E72" s="267">
        <f>+G72-C72</f>
        <v>25320.574350000003</v>
      </c>
      <c r="F72" s="473"/>
      <c r="G72" s="264">
        <f>IF(G68&gt;0,G68*G70,0)*REGINFO!$B$6/REGINFO!$B$7</f>
        <v>56502.717000000004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17894047.55</v>
      </c>
      <c r="D75" s="102"/>
      <c r="E75" s="267">
        <f>+G75-C75</f>
        <v>4675779.449999999</v>
      </c>
      <c r="F75" s="6"/>
      <c r="G75" s="470">
        <v>22569827</v>
      </c>
      <c r="H75" s="151"/>
      <c r="I75" s="471" t="s">
        <v>465</v>
      </c>
    </row>
    <row r="76" spans="1:9" ht="12.75">
      <c r="A76" s="152" t="s">
        <v>358</v>
      </c>
      <c r="B76" s="125">
        <v>19</v>
      </c>
      <c r="C76" s="260">
        <f>IF(C75&gt;0,'Tax Rates'!C22,0)</f>
        <v>50000000</v>
      </c>
      <c r="D76" s="18"/>
      <c r="E76" s="267">
        <f>+G76-C76</f>
        <v>-20000000</v>
      </c>
      <c r="F76" s="6"/>
      <c r="G76" s="267">
        <f>'Tax Rates'!C58</f>
        <v>30000000</v>
      </c>
      <c r="H76" s="151"/>
      <c r="I76" s="471"/>
    </row>
    <row r="77" spans="1:8" ht="12.75">
      <c r="A77" s="152" t="s">
        <v>42</v>
      </c>
      <c r="B77" s="125"/>
      <c r="C77" s="264">
        <f>IF((C75-C76)&gt;0,C75-C76,0)</f>
        <v>0</v>
      </c>
      <c r="D77" s="19"/>
      <c r="E77" s="267">
        <f>SUM(E75:E76)</f>
        <v>-15324220.55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359</v>
      </c>
      <c r="B79" s="125">
        <v>20</v>
      </c>
      <c r="C79" s="301">
        <f>'Tax Rates'!C19</f>
        <v>0.00175</v>
      </c>
      <c r="D79" s="102"/>
      <c r="E79" s="268">
        <f>G79-C79</f>
        <v>0.00025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</f>
        <v>0.3612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366</v>
      </c>
      <c r="B90" s="127">
        <v>22</v>
      </c>
      <c r="C90" s="264">
        <f>C60/(1-C88)</f>
        <v>806600.2033186663</v>
      </c>
      <c r="D90" s="20"/>
      <c r="E90" s="139"/>
      <c r="F90" s="431" t="s">
        <v>486</v>
      </c>
      <c r="G90" s="270">
        <f>TAXREC!E156</f>
        <v>1217818</v>
      </c>
      <c r="H90" s="151"/>
    </row>
    <row r="91" spans="1:8" ht="12.75">
      <c r="A91" s="158" t="s">
        <v>367</v>
      </c>
      <c r="B91" s="127">
        <v>23</v>
      </c>
      <c r="C91" s="264">
        <f>C84/(1-C88)</f>
        <v>0</v>
      </c>
      <c r="D91" s="20"/>
      <c r="E91" s="139"/>
      <c r="F91" s="431" t="s">
        <v>486</v>
      </c>
      <c r="G91" s="270">
        <f>TAXREC!E158</f>
        <v>0</v>
      </c>
      <c r="H91" s="151"/>
    </row>
    <row r="92" spans="1:8" ht="12.75">
      <c r="A92" s="158" t="s">
        <v>346</v>
      </c>
      <c r="B92" s="127">
        <v>24</v>
      </c>
      <c r="C92" s="264">
        <f>C72</f>
        <v>31182.14265</v>
      </c>
      <c r="D92" s="20"/>
      <c r="E92" s="139"/>
      <c r="F92" s="431" t="s">
        <v>486</v>
      </c>
      <c r="G92" s="270">
        <f>TAXREC!E157</f>
        <v>56503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487</v>
      </c>
      <c r="B95" s="125">
        <v>25</v>
      </c>
      <c r="C95" s="269">
        <f>SUM(C90:C93)</f>
        <v>837782.3459686664</v>
      </c>
      <c r="D95" s="6"/>
      <c r="E95" s="139"/>
      <c r="F95" s="431" t="s">
        <v>486</v>
      </c>
      <c r="G95" s="414">
        <f>SUM(G90:G94)</f>
        <v>1274321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88000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361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362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360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471</v>
      </c>
      <c r="B112" s="127">
        <v>11</v>
      </c>
      <c r="C112" s="112"/>
      <c r="D112" s="3"/>
      <c r="E112" s="251">
        <f>E206</f>
        <v>83490.7763125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110000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363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364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-105490.7763125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489</v>
      </c>
      <c r="B122" s="127"/>
      <c r="C122" s="112"/>
      <c r="D122" s="3" t="s">
        <v>231</v>
      </c>
      <c r="E122" s="262">
        <f>+'Tax Rates'!F52</f>
        <v>0.3612</v>
      </c>
      <c r="F122" s="469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-38103.268404075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-38103.268404075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350</v>
      </c>
      <c r="B132" s="130"/>
      <c r="C132" s="112"/>
      <c r="D132" s="3"/>
      <c r="E132" s="481">
        <f>E128/(1-E130)</f>
        <v>-58620.41292934617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353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1426512.20897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IF((E120+E136)&gt;'Tax Rates'!E47,'Tax Rates'!F52,IF((E120+E136)&gt;'Tax Rates'!D47,'Tax Rates'!E52,IF((E120+E136)&gt;'Tax Rates'!C47,'Tax Rates'!D52,'Tax Rates'!C52)))</f>
        <v>0.3612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515256.20987996407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515256.20987996407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515256.20987996407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6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17894047.55</v>
      </c>
      <c r="F151" s="37"/>
      <c r="G151" s="201"/>
      <c r="H151" s="164"/>
    </row>
    <row r="152" spans="1:8" ht="12.75">
      <c r="A152" s="171" t="s">
        <v>356</v>
      </c>
      <c r="B152" s="130"/>
      <c r="C152" s="112"/>
      <c r="D152" s="118" t="s">
        <v>188</v>
      </c>
      <c r="E152" s="305">
        <f>IF(E151&gt;0,'Tax Rates'!C39,0)</f>
        <v>7500000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10394047.55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357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31182.14265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31182.14265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30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17894047.55</v>
      </c>
      <c r="F162" s="37"/>
      <c r="G162" s="201"/>
      <c r="H162" s="164"/>
    </row>
    <row r="163" spans="1:8" ht="12.75">
      <c r="A163" s="171" t="s">
        <v>355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-32105952.45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345</v>
      </c>
      <c r="B172" s="130"/>
      <c r="C172" s="112"/>
      <c r="D172" s="118" t="s">
        <v>188</v>
      </c>
      <c r="E172" s="305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305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343</v>
      </c>
      <c r="B175" s="130"/>
      <c r="C175" s="112"/>
      <c r="D175" s="119"/>
      <c r="E175" s="262">
        <f>IF((E120+G50)&gt;'Tax Rates'!E47,'Tax Rates'!F52-1.12%,IF((E120+G50)&gt;'Tax Rates'!D47,'Tax Rates'!E52-1.12%,IF((E120+G50)&gt;'Tax Rates'!C47,'Tax Rates'!D52,'Tax Rates'!C52-1.12%)))</f>
        <v>0.35000000000000003</v>
      </c>
      <c r="F175" s="469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351</v>
      </c>
      <c r="B181" s="130"/>
      <c r="C181" s="112"/>
      <c r="D181" s="119" t="s">
        <v>189</v>
      </c>
      <c r="E181" s="480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470</v>
      </c>
      <c r="B183" s="130"/>
      <c r="C183" s="112"/>
      <c r="D183" s="119" t="s">
        <v>187</v>
      </c>
      <c r="E183" s="480">
        <f>E132</f>
        <v>-58620.41292934617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352</v>
      </c>
      <c r="B185" s="130"/>
      <c r="C185" s="112"/>
      <c r="D185" s="119" t="s">
        <v>189</v>
      </c>
      <c r="E185" s="480">
        <f>E181+E183</f>
        <v>-58620.41292934617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648659.2236875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561344.1720866658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341</v>
      </c>
      <c r="B196" s="127"/>
      <c r="C196" s="112"/>
      <c r="D196" s="120"/>
      <c r="E196" s="308">
        <f>E193-E194</f>
        <v>87315.05160083424</v>
      </c>
      <c r="F196" s="3"/>
      <c r="G196" s="123"/>
      <c r="H196" s="164"/>
    </row>
    <row r="197" spans="1:8" ht="12.75">
      <c r="A197" s="155" t="s">
        <v>342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6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6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732150</v>
      </c>
      <c r="F201" s="3"/>
      <c r="G201" s="486"/>
      <c r="H201" s="164"/>
    </row>
    <row r="202" spans="1:8" ht="12.75">
      <c r="A202" s="490" t="s">
        <v>494</v>
      </c>
      <c r="B202" s="127"/>
      <c r="C202" s="112"/>
      <c r="D202" s="120"/>
      <c r="E202" s="303">
        <f>REGINFO!D62</f>
        <v>648659.2236875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83490.7763125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472</v>
      </c>
      <c r="B206" s="127"/>
      <c r="C206" s="112"/>
      <c r="D206" s="120"/>
      <c r="E206" s="303">
        <f>IF((E201-E202)&gt;0,E201-E202,0)</f>
        <v>83490.7763125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3824.2752883342328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 horizontalCentered="1"/>
  <pageMargins left="0.11811023622047245" right="0.11811023622047245" top="1.1023622047244095" bottom="0.7480314960629921" header="0.5118110236220472" footer="0.5118110236220472"/>
  <pageSetup horizontalDpi="600" verticalDpi="600" orientation="portrait" scale="75" r:id="rId1"/>
  <headerFooter alignWithMargins="0">
    <oddHeader>&amp;R&amp;9Orillia Power Distribution Corporation
EB-2011-0191
Filed: October 28, 2011
Appendix G</oddHeader>
    <oddFooter>&amp;C&amp;F
&amp;A&amp;RPage &amp;P
of &amp;N</oddFooter>
  </headerFooter>
  <rowBreaks count="3" manualBreakCount="3">
    <brk id="62" max="7" man="1"/>
    <brk id="160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PageLayoutView="0" workbookViewId="0" topLeftCell="A96">
      <selection activeCell="A46" sqref="A4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as per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Orillia Power Distribution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3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f>C39</f>
        <v>22689160</v>
      </c>
      <c r="D31" s="286"/>
      <c r="E31" s="284">
        <f>C31-D31</f>
        <v>22689160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6667607</v>
      </c>
      <c r="D32" s="286"/>
      <c r="E32" s="284">
        <f>C32-D32</f>
        <v>6667607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376627</v>
      </c>
      <c r="D33" s="286"/>
      <c r="E33" s="284">
        <f>C33-D33</f>
        <v>376627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v>115976</v>
      </c>
      <c r="D34" s="286"/>
      <c r="E34" s="284">
        <f>C34-D34</f>
        <v>115976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22689160</v>
      </c>
      <c r="D39" s="286"/>
      <c r="E39" s="284">
        <f>C39-D39</f>
        <v>22689160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958938</v>
      </c>
      <c r="D40" s="286"/>
      <c r="E40" s="284">
        <f aca="true" t="shared" si="0" ref="E40:E48">C40-D40</f>
        <v>958938</v>
      </c>
      <c r="F40" s="11"/>
      <c r="G40" s="482"/>
      <c r="H40" s="6"/>
      <c r="I40" s="6"/>
    </row>
    <row r="41" spans="1:9" ht="12.75">
      <c r="A41" s="4" t="s">
        <v>275</v>
      </c>
      <c r="B41" s="23" t="s">
        <v>188</v>
      </c>
      <c r="C41" s="285">
        <v>1230181</v>
      </c>
      <c r="D41" s="286"/>
      <c r="E41" s="284">
        <f t="shared" si="0"/>
        <v>1230181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1588829</v>
      </c>
      <c r="D42" s="286"/>
      <c r="E42" s="284">
        <f t="shared" si="0"/>
        <v>1588829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1241352</v>
      </c>
      <c r="D43" s="286"/>
      <c r="E43" s="284">
        <f t="shared" si="0"/>
        <v>1241352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" t="s">
        <v>477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488</v>
      </c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2140910</v>
      </c>
      <c r="D50" s="281">
        <f>SUM(D31:D36)-SUM(D39:D49)</f>
        <v>0</v>
      </c>
      <c r="E50" s="281">
        <f>SUM(E31:E35)-SUM(E39:E48)</f>
        <v>2140910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732150</v>
      </c>
      <c r="D51" s="285"/>
      <c r="E51" s="282">
        <f>+C51-D51</f>
        <v>732150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1198433</v>
      </c>
      <c r="D52" s="285"/>
      <c r="E52" s="283">
        <f>+C52-D52</f>
        <v>1198433</v>
      </c>
      <c r="F52" s="8"/>
      <c r="G52" s="416"/>
    </row>
    <row r="53" spans="1:6" ht="12.75">
      <c r="A53" s="2" t="s">
        <v>131</v>
      </c>
      <c r="B53" s="8" t="s">
        <v>189</v>
      </c>
      <c r="C53" s="281">
        <f>C50-C51-C52</f>
        <v>210327</v>
      </c>
      <c r="D53" s="281">
        <f>D50-D51-D52</f>
        <v>0</v>
      </c>
      <c r="E53" s="281">
        <f>E50-E51-E52</f>
        <v>210327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1198433</v>
      </c>
      <c r="D59" s="287">
        <f>D52</f>
        <v>0</v>
      </c>
      <c r="E59" s="272">
        <f>+C59-D59</f>
        <v>1198433</v>
      </c>
      <c r="F59" s="8"/>
      <c r="G59" s="416"/>
    </row>
    <row r="60" spans="1:6" ht="12.75">
      <c r="A60" s="4" t="s">
        <v>327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1241352</v>
      </c>
      <c r="D61" s="287">
        <f>D43</f>
        <v>0</v>
      </c>
      <c r="E61" s="272">
        <f>+C61-D61</f>
        <v>1241352</v>
      </c>
      <c r="F61" s="8"/>
      <c r="G61" s="416"/>
    </row>
    <row r="62" spans="1:6" ht="12.75">
      <c r="A62" t="s">
        <v>6</v>
      </c>
      <c r="B62" s="8" t="s">
        <v>187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88000</v>
      </c>
      <c r="D64" s="317">
        <f>'Tax Reserves'!D63</f>
        <v>0</v>
      </c>
      <c r="E64" s="272">
        <f>+C64-D64</f>
        <v>88000</v>
      </c>
      <c r="F64" s="8"/>
    </row>
    <row r="65" spans="1:6" ht="12.75">
      <c r="A65" t="s">
        <v>440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7" t="s">
        <v>392</v>
      </c>
      <c r="B66" s="8"/>
      <c r="C66" s="447">
        <f>'TAXREC 3 No True-up'!C47</f>
        <v>23502</v>
      </c>
      <c r="D66" s="447">
        <f>'TAXREC 3 No True-up'!D47</f>
        <v>0</v>
      </c>
      <c r="E66" s="272">
        <f>+C66-D66</f>
        <v>23502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2551287</v>
      </c>
      <c r="D70" s="272">
        <f>SUM(D59:D68)</f>
        <v>0</v>
      </c>
      <c r="E70" s="272">
        <f>SUM(E59:E68)</f>
        <v>2551287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8">
        <v>0</v>
      </c>
      <c r="D76" s="294"/>
      <c r="E76" s="474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2551287</v>
      </c>
      <c r="D82" s="251">
        <f>D70+D80</f>
        <v>0</v>
      </c>
      <c r="E82" s="251">
        <f>E70+E80</f>
        <v>2551287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429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1085448</v>
      </c>
      <c r="D97" s="294"/>
      <c r="E97" s="272">
        <f>+C97-D97</f>
        <v>1085448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325</v>
      </c>
      <c r="D98" s="294"/>
      <c r="E98" s="272">
        <f>+C98-D98</f>
        <v>325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110000</v>
      </c>
      <c r="D105" s="319">
        <f>'Tax Reserves'!D50</f>
        <v>0</v>
      </c>
      <c r="E105" s="282">
        <f t="shared" si="5"/>
        <v>110000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392</v>
      </c>
      <c r="B108" s="8"/>
      <c r="C108" s="254">
        <f>'TAXREC 3 No True-up'!C73</f>
        <v>13614</v>
      </c>
      <c r="D108" s="254">
        <f>'TAXREC 3 No True-up'!D73</f>
        <v>0</v>
      </c>
      <c r="E108" s="272">
        <f t="shared" si="5"/>
        <v>13614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1209387</v>
      </c>
      <c r="D113" s="251">
        <f>SUM(D97:D111)</f>
        <v>0</v>
      </c>
      <c r="E113" s="251">
        <f>SUM(E97:E111)</f>
        <v>1209387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1209387</v>
      </c>
      <c r="D122" s="251">
        <f>D113+D120</f>
        <v>0</v>
      </c>
      <c r="E122" s="251">
        <f>+E113+E120</f>
        <v>1209387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1552227</v>
      </c>
      <c r="D134" s="251">
        <f>D53+D82-D122</f>
        <v>0</v>
      </c>
      <c r="E134" s="251">
        <f>E53+E82-E122</f>
        <v>1552227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372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1552227</v>
      </c>
      <c r="D139" s="252">
        <f>D134-D136-D137-D138</f>
        <v>0</v>
      </c>
      <c r="E139" s="252">
        <f>E134-E136-E137-E138</f>
        <v>1552227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739952</v>
      </c>
      <c r="D142" s="298">
        <f>D139*C149</f>
        <v>0</v>
      </c>
      <c r="E142" s="252">
        <f>C142-D142</f>
        <v>739952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477866</v>
      </c>
      <c r="D143" s="298">
        <f>D139*C150</f>
        <v>0</v>
      </c>
      <c r="E143" s="292">
        <f>C143-D143</f>
        <v>477866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1217818</v>
      </c>
      <c r="D144" s="252">
        <f>D142+D143</f>
        <v>0</v>
      </c>
      <c r="E144" s="252">
        <f>E142+E143</f>
        <v>1217818</v>
      </c>
      <c r="F144" s="8"/>
      <c r="G144" s="45"/>
      <c r="H144" s="45"/>
      <c r="I144" s="45"/>
      <c r="J144" s="45"/>
      <c r="K144" s="45"/>
    </row>
    <row r="145" spans="1:11" ht="12.75">
      <c r="A145" s="46" t="s">
        <v>332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1217818</v>
      </c>
      <c r="D146" s="252">
        <f>D144-D145</f>
        <v>0</v>
      </c>
      <c r="E146" s="252">
        <f>E144-E145</f>
        <v>1217818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497</v>
      </c>
      <c r="B149" s="8"/>
      <c r="C149" s="405">
        <f>'Tax Rates'!F50</f>
        <v>0.2212</v>
      </c>
      <c r="D149" s="5"/>
      <c r="E149" s="406">
        <f>C149</f>
        <v>0.2212</v>
      </c>
      <c r="F149" s="8"/>
      <c r="G149" s="479"/>
      <c r="H149" s="45"/>
      <c r="I149" s="45"/>
      <c r="J149" s="45"/>
      <c r="K149" s="45"/>
    </row>
    <row r="150" spans="1:11" ht="12.75">
      <c r="A150" s="46" t="s">
        <v>498</v>
      </c>
      <c r="B150" s="8"/>
      <c r="C150" s="405">
        <f>'Tax Rates'!F51</f>
        <v>0.14</v>
      </c>
      <c r="D150" s="5"/>
      <c r="E150" s="406">
        <f>C150</f>
        <v>0.14</v>
      </c>
      <c r="F150" s="8"/>
      <c r="G150" s="479"/>
      <c r="H150" s="45"/>
      <c r="I150" s="45"/>
      <c r="J150" s="45"/>
      <c r="K150" s="45"/>
    </row>
    <row r="151" spans="1:11" ht="12.75">
      <c r="A151" t="s">
        <v>329</v>
      </c>
      <c r="B151" s="8"/>
      <c r="C151" s="406">
        <f>SUM(C149:C150)</f>
        <v>0.3612</v>
      </c>
      <c r="D151" s="5"/>
      <c r="E151" s="406">
        <f>SUM(E149:E150)</f>
        <v>0.3612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469</v>
      </c>
      <c r="B155" s="8"/>
    </row>
    <row r="156" spans="1:5" ht="12.75">
      <c r="A156" t="s">
        <v>219</v>
      </c>
      <c r="B156" s="86" t="s">
        <v>187</v>
      </c>
      <c r="C156" s="251">
        <f>C146</f>
        <v>1217818</v>
      </c>
      <c r="D156" s="251">
        <f>D146</f>
        <v>0</v>
      </c>
      <c r="E156" s="251">
        <f>E146</f>
        <v>1217818</v>
      </c>
    </row>
    <row r="157" spans="1:5" ht="12.75">
      <c r="A157" t="s">
        <v>20</v>
      </c>
      <c r="B157" s="86" t="s">
        <v>187</v>
      </c>
      <c r="C157" s="475">
        <v>56503</v>
      </c>
      <c r="D157" s="251"/>
      <c r="E157" s="251">
        <f>C157+D157</f>
        <v>56503</v>
      </c>
    </row>
    <row r="158" spans="1:5" ht="12.75">
      <c r="A158" t="s">
        <v>218</v>
      </c>
      <c r="B158" s="86" t="s">
        <v>187</v>
      </c>
      <c r="C158" s="475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1274321</v>
      </c>
      <c r="D160" s="251">
        <f>D156+D157+D158</f>
        <v>0</v>
      </c>
      <c r="E160" s="251">
        <f>E156+E157+E158</f>
        <v>1274321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 horizontalCentered="1"/>
  <pageMargins left="0.5118110236220472" right="0.5118110236220472" top="1.1023622047244095" bottom="0.7480314960629921" header="0.5118110236220472" footer="0.5118110236220472"/>
  <pageSetup horizontalDpi="600" verticalDpi="600" orientation="portrait" scale="75" r:id="rId1"/>
  <headerFooter alignWithMargins="0">
    <oddHeader>&amp;R&amp;9Orillia Power Distribution Corporation
EB-2011-0191
Filed: October 28, 2011
Appendix G</oddHeader>
    <oddFooter>&amp;C&amp;F
&amp;A&amp;RPage &amp;P
of &amp;N</oddFooter>
  </headerFooter>
  <rowBreaks count="2" manualBreakCount="2">
    <brk id="65" max="4" man="1"/>
    <brk id="12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N63"/>
  <sheetViews>
    <sheetView zoomScalePageLayoutView="0" workbookViewId="0" topLeftCell="A40">
      <selection activeCell="A46" sqref="A46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as per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Orillia Power Distribution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445</v>
      </c>
      <c r="B18" s="61"/>
      <c r="C18" s="294"/>
      <c r="D18" s="294"/>
      <c r="E18" s="251">
        <f t="shared" si="0"/>
        <v>0</v>
      </c>
    </row>
    <row r="19" spans="1:5" ht="12.75">
      <c r="A19" s="61" t="s">
        <v>445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>
        <v>0</v>
      </c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445</v>
      </c>
      <c r="B30" s="61"/>
      <c r="C30" s="294"/>
      <c r="D30" s="294"/>
      <c r="E30" s="251">
        <f t="shared" si="1"/>
        <v>0</v>
      </c>
    </row>
    <row r="31" spans="1:5" ht="12.75">
      <c r="A31" s="61" t="s">
        <v>445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>
        <v>0</v>
      </c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499</v>
      </c>
      <c r="B47" s="61"/>
      <c r="C47" s="294">
        <v>110000</v>
      </c>
      <c r="D47" s="294"/>
      <c r="E47" s="251">
        <f t="shared" si="2"/>
        <v>110000</v>
      </c>
    </row>
    <row r="48" spans="1:5" ht="12.75">
      <c r="A48" s="61" t="s">
        <v>445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110000</v>
      </c>
      <c r="D50" s="251">
        <f>SUM(D41:D49)</f>
        <v>0</v>
      </c>
      <c r="E50" s="251">
        <f>SUM(E41:E49)</f>
        <v>110000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>
        <v>0</v>
      </c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14" ht="12.75">
      <c r="A59" s="61" t="s">
        <v>499</v>
      </c>
      <c r="B59" s="61"/>
      <c r="C59" s="294">
        <v>88000</v>
      </c>
      <c r="D59" s="294"/>
      <c r="E59" s="251">
        <f t="shared" si="3"/>
        <v>88000</v>
      </c>
      <c r="H59" s="34"/>
      <c r="I59" s="34"/>
      <c r="J59" s="34"/>
      <c r="K59" s="34"/>
      <c r="L59" s="34"/>
      <c r="M59" s="34"/>
      <c r="N59" s="34"/>
    </row>
    <row r="60" spans="1:5" ht="12.75">
      <c r="A60" s="61" t="s">
        <v>445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88000</v>
      </c>
      <c r="D63" s="251">
        <f>SUM(D53:D61)</f>
        <v>0</v>
      </c>
      <c r="E63" s="251">
        <f>SUM(E53:E61)</f>
        <v>88000</v>
      </c>
    </row>
  </sheetData>
  <sheetProtection/>
  <printOptions gridLines="1" headings="1" horizontalCentered="1"/>
  <pageMargins left="0.5118110236220472" right="0.5118110236220472" top="1.1811023622047245" bottom="0.7480314960629921" header="0.5118110236220472" footer="0.5118110236220472"/>
  <pageSetup horizontalDpi="600" verticalDpi="600" orientation="portrait" scale="75" r:id="rId1"/>
  <headerFooter alignWithMargins="0">
    <oddHeader>&amp;R&amp;9Orillia Power Distribution Corporation
EB-2011-0191
Filed: October 28, 2011
Appendix G</oddHeader>
    <oddFooter>&amp;C&amp;F
&amp;A&amp;RPage &amp;P
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PageLayoutView="0" workbookViewId="0" topLeftCell="A1">
      <pane xSplit="1" ySplit="6" topLeftCell="B38" activePane="bottomRight" state="frozen"/>
      <selection pane="topLeft" activeCell="A46" sqref="A46"/>
      <selection pane="topRight" activeCell="A46" sqref="A46"/>
      <selection pane="bottomLeft" activeCell="A46" sqref="A46"/>
      <selection pane="bottomRight" activeCell="A46" sqref="A46"/>
    </sheetView>
  </sheetViews>
  <sheetFormatPr defaultColWidth="9.140625" defaultRowHeight="12.75" outlineLevelRow="1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as per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463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462</v>
      </c>
      <c r="B5" s="8"/>
      <c r="C5" s="8" t="s">
        <v>2</v>
      </c>
      <c r="D5" s="8"/>
      <c r="E5" s="8"/>
      <c r="F5" s="8"/>
    </row>
    <row r="6" spans="1:6" ht="12.75">
      <c r="A6" s="416" t="s">
        <v>442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Orillia Power Distribution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484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446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467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 hidden="1" outlineLevel="1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 hidden="1" outlineLevel="1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 hidden="1" outlineLevel="1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 hidden="1" outlineLevel="1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 hidden="1" outlineLevel="1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 hidden="1" outlineLevel="1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 hidden="1" outlineLevel="1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 hidden="1" outlineLevel="1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 hidden="1" outlineLevel="1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 hidden="1" outlineLevel="1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 hidden="1" outlineLevel="1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 hidden="1" outlineLevel="1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 collapsed="1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374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468</v>
      </c>
      <c r="B96" s="8" t="s">
        <v>188</v>
      </c>
      <c r="C96" s="294"/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 horizontalCentered="1"/>
  <pageMargins left="0.5118110236220472" right="0.5118110236220472" top="1.1023622047244095" bottom="0.7480314960629921" header="0.5118110236220472" footer="0.5118110236220472"/>
  <pageSetup horizontalDpi="600" verticalDpi="600" orientation="portrait" scale="75" r:id="rId1"/>
  <headerFooter alignWithMargins="0">
    <oddHeader>&amp;R&amp;9Orillia Power Distribution Corporation
EB-2011-0191
Filed: October 28, 2011
Appendix G</oddHeader>
    <oddFooter>&amp;C&amp;F
&amp;A&amp;RPage &amp;P
of &amp;N</oddFooter>
  </headerFooter>
  <rowBreaks count="1" manualBreakCount="1">
    <brk id="7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tabSelected="1" zoomScalePageLayoutView="0" workbookViewId="0" topLeftCell="A1">
      <pane xSplit="1" ySplit="8" topLeftCell="B9" activePane="bottomRight" state="frozen"/>
      <selection pane="topLeft" activeCell="A46" sqref="A46"/>
      <selection pane="topRight" activeCell="A46" sqref="A46"/>
      <selection pane="bottomLeft" activeCell="A46" sqref="A46"/>
      <selection pane="bottomRight" activeCell="A46" sqref="A46"/>
    </sheetView>
  </sheetViews>
  <sheetFormatPr defaultColWidth="9.140625" defaultRowHeight="12.75" outlineLevelRow="1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as per EB-2008-0381</v>
      </c>
    </row>
    <row r="3" spans="1:5" ht="12.75">
      <c r="A3" s="2" t="s">
        <v>382</v>
      </c>
      <c r="E3" s="92"/>
    </row>
    <row r="4" spans="1:6" ht="15.75">
      <c r="A4" s="464" t="s">
        <v>442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Orillia Power Distribution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6" customHeight="1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6.75" customHeight="1" thickTop="1">
      <c r="A14" s="7"/>
      <c r="B14" s="9"/>
      <c r="C14" s="24"/>
      <c r="D14" s="24"/>
      <c r="E14" s="24"/>
      <c r="F14" s="20"/>
    </row>
    <row r="15" spans="1:6" ht="8.25" customHeight="1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385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450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388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389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451</v>
      </c>
      <c r="B24" t="s">
        <v>187</v>
      </c>
      <c r="C24" s="295">
        <v>-1006</v>
      </c>
      <c r="D24" s="295"/>
      <c r="E24" s="313">
        <f t="shared" si="0"/>
        <v>-1006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435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387</v>
      </c>
      <c r="B28" t="s">
        <v>187</v>
      </c>
      <c r="C28" s="295">
        <v>5116</v>
      </c>
      <c r="D28" s="295"/>
      <c r="E28" s="313">
        <f t="shared" si="0"/>
        <v>5116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386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430</v>
      </c>
      <c r="B32" t="s">
        <v>187</v>
      </c>
      <c r="C32" s="295">
        <v>6778</v>
      </c>
      <c r="D32" s="295"/>
      <c r="E32" s="313">
        <f t="shared" si="0"/>
        <v>6778</v>
      </c>
    </row>
    <row r="33" spans="1:5" ht="12.75">
      <c r="A33" s="67" t="s">
        <v>431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447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448</v>
      </c>
      <c r="C35" s="295"/>
      <c r="D35" s="295"/>
      <c r="E35" s="313">
        <f t="shared" si="0"/>
        <v>0</v>
      </c>
    </row>
    <row r="36" spans="1:5" ht="12.75">
      <c r="A36" s="67" t="s">
        <v>432</v>
      </c>
      <c r="C36" s="295"/>
      <c r="D36" s="295"/>
      <c r="E36" s="313">
        <f t="shared" si="0"/>
        <v>0</v>
      </c>
    </row>
    <row r="37" spans="1:5" ht="12.75">
      <c r="A37" s="67" t="s">
        <v>433</v>
      </c>
      <c r="C37" s="295"/>
      <c r="D37" s="295"/>
      <c r="E37" s="313">
        <f t="shared" si="0"/>
        <v>0</v>
      </c>
    </row>
    <row r="38" spans="1:5" ht="12.75">
      <c r="A38" s="81" t="s">
        <v>390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384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67" t="s">
        <v>454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t="s">
        <v>495</v>
      </c>
      <c r="B44" t="s">
        <v>187</v>
      </c>
      <c r="C44" s="294">
        <v>12614</v>
      </c>
      <c r="D44" s="294"/>
      <c r="E44" s="251">
        <f t="shared" si="0"/>
        <v>12614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50" t="s">
        <v>394</v>
      </c>
      <c r="B47" t="s">
        <v>189</v>
      </c>
      <c r="C47" s="251">
        <f>SUM(C19:C46)</f>
        <v>23502</v>
      </c>
      <c r="D47" s="251">
        <f>SUM(D19:D46)</f>
        <v>0</v>
      </c>
      <c r="E47" s="251">
        <f>SUM(E19:E46)</f>
        <v>23502</v>
      </c>
    </row>
    <row r="48" ht="12.75">
      <c r="A48" s="67"/>
    </row>
    <row r="49" ht="12.75">
      <c r="A49" s="81" t="s">
        <v>145</v>
      </c>
    </row>
    <row r="51" spans="1:5" ht="12.75">
      <c r="A51" s="71" t="s">
        <v>385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450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386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434</v>
      </c>
      <c r="B54" s="8" t="s">
        <v>188</v>
      </c>
      <c r="C54" s="294">
        <v>1000</v>
      </c>
      <c r="D54" s="294"/>
      <c r="E54" s="251">
        <f t="shared" si="1"/>
        <v>1000</v>
      </c>
    </row>
    <row r="55" spans="1:5" ht="12.75">
      <c r="A55" s="67" t="s">
        <v>441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453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449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452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8" t="s">
        <v>391</v>
      </c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8" t="s">
        <v>384</v>
      </c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t="s">
        <v>496</v>
      </c>
      <c r="B64" s="8" t="s">
        <v>188</v>
      </c>
      <c r="C64" s="294">
        <v>12614</v>
      </c>
      <c r="D64" s="294"/>
      <c r="E64" s="251">
        <f t="shared" si="2"/>
        <v>12614</v>
      </c>
    </row>
    <row r="65" spans="2:5" ht="12.75" hidden="1" outlineLevel="1">
      <c r="B65" s="8" t="s">
        <v>188</v>
      </c>
      <c r="C65" s="294"/>
      <c r="D65" s="294"/>
      <c r="E65" s="251">
        <f t="shared" si="2"/>
        <v>0</v>
      </c>
    </row>
    <row r="66" spans="2:5" ht="12.75" hidden="1" outlineLevel="1">
      <c r="B66" s="8" t="s">
        <v>188</v>
      </c>
      <c r="C66" s="294"/>
      <c r="D66" s="294"/>
      <c r="E66" s="251">
        <f t="shared" si="2"/>
        <v>0</v>
      </c>
    </row>
    <row r="67" spans="1:5" ht="12.75" collapsed="1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 hidden="1" outlineLevel="1">
      <c r="A69" s="67"/>
      <c r="B69" s="8" t="s">
        <v>188</v>
      </c>
      <c r="C69" s="294"/>
      <c r="D69" s="294"/>
      <c r="E69" s="251">
        <f t="shared" si="2"/>
        <v>0</v>
      </c>
    </row>
    <row r="70" spans="1:5" ht="12.75" hidden="1" outlineLevel="1">
      <c r="A70" s="67"/>
      <c r="B70" s="8" t="s">
        <v>188</v>
      </c>
      <c r="C70" s="294"/>
      <c r="D70" s="294"/>
      <c r="E70" s="251">
        <f t="shared" si="2"/>
        <v>0</v>
      </c>
    </row>
    <row r="71" spans="1:5" ht="12.75" collapsed="1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9" t="s">
        <v>393</v>
      </c>
      <c r="B73" s="8" t="s">
        <v>189</v>
      </c>
      <c r="C73" s="251">
        <f>SUM(C51:C72)</f>
        <v>13614</v>
      </c>
      <c r="D73" s="251">
        <f>SUM(D51:D72)</f>
        <v>0</v>
      </c>
      <c r="E73" s="251">
        <f>SUM(E51:E72)</f>
        <v>13614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 horizontalCentered="1"/>
  <pageMargins left="0.5118110236220472" right="0.5118110236220472" top="1.1023622047244095" bottom="0.7480314960629921" header="0.5118110236220472" footer="0.4330708661417323"/>
  <pageSetup horizontalDpi="600" verticalDpi="600" orientation="portrait" scale="75" r:id="rId1"/>
  <headerFooter alignWithMargins="0">
    <oddHeader>&amp;R&amp;9Orillia Power Distribution Corporation
EB-2011-0191
Filed: October 28, 2011
Appendix G</oddHeader>
    <oddFooter>&amp;C&amp;F
&amp;A&amp;RPage &amp;P
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28">
      <selection activeCell="A46" sqref="A46"/>
    </sheetView>
  </sheetViews>
  <sheetFormatPr defaultColWidth="9.140625" defaultRowHeight="12.75"/>
  <cols>
    <col min="1" max="1" width="50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7" max="7" width="4.28125" style="0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as per EB-2008-0381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Orillia Power Distribution Corporation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2005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6" customHeight="1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335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1" t="s">
        <v>478</v>
      </c>
      <c r="B8" s="502"/>
      <c r="C8" s="502"/>
      <c r="D8" s="502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400001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480</v>
      </c>
      <c r="B10" s="327"/>
      <c r="C10" s="376" t="s">
        <v>111</v>
      </c>
      <c r="D10" s="376"/>
      <c r="E10" s="376" t="s">
        <v>111</v>
      </c>
      <c r="F10" s="377" t="s">
        <v>474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400000</v>
      </c>
      <c r="D11" s="378"/>
      <c r="E11" s="378">
        <v>1128000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2005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0.1775</v>
      </c>
      <c r="F14" s="329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0.055</v>
      </c>
      <c r="D15" s="330"/>
      <c r="E15" s="331">
        <v>0.0975</v>
      </c>
      <c r="F15" s="331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0.1862</v>
      </c>
      <c r="D16" s="332"/>
      <c r="E16" s="333">
        <f>SUM(E14:E15)</f>
        <v>0.275</v>
      </c>
      <c r="F16" s="333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0.00175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330</v>
      </c>
      <c r="B21" s="407" t="s">
        <v>479</v>
      </c>
      <c r="C21" s="362">
        <v>7500000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28.5" customHeight="1" thickBot="1">
      <c r="A22" s="325" t="s">
        <v>331</v>
      </c>
      <c r="B22" s="408" t="s">
        <v>473</v>
      </c>
      <c r="C22" s="363">
        <v>50000000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17.25" customHeight="1">
      <c r="A23" s="495" t="s">
        <v>485</v>
      </c>
      <c r="B23" s="496"/>
      <c r="C23" s="496"/>
      <c r="D23" s="496"/>
      <c r="E23" s="496"/>
      <c r="F23" s="496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6" customHeight="1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336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1" t="s">
        <v>481</v>
      </c>
      <c r="B26" s="502"/>
      <c r="C26" s="502"/>
      <c r="D26" s="502"/>
      <c r="E26" s="502"/>
      <c r="F26" s="502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437</v>
      </c>
      <c r="B28" s="327"/>
      <c r="C28" s="370" t="s">
        <v>111</v>
      </c>
      <c r="D28" s="370" t="s">
        <v>111</v>
      </c>
      <c r="E28" s="370" t="s">
        <v>111</v>
      </c>
      <c r="F28" s="371" t="s">
        <v>474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2005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2005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2005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2005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2005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2005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2005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483</v>
      </c>
      <c r="B39" s="407" t="s">
        <v>479</v>
      </c>
      <c r="C39" s="362">
        <v>7500000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27.75" customHeight="1" thickBot="1">
      <c r="A40" s="325" t="s">
        <v>484</v>
      </c>
      <c r="B40" s="408" t="s">
        <v>473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7" t="s">
        <v>333</v>
      </c>
      <c r="B41" s="496"/>
      <c r="C41" s="496"/>
      <c r="D41" s="496"/>
      <c r="E41" s="496"/>
      <c r="F41" s="496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16.5" customHeight="1">
      <c r="A42" s="498"/>
      <c r="B42" s="498"/>
      <c r="C42" s="498"/>
      <c r="D42" s="498"/>
      <c r="E42" s="498"/>
      <c r="F42" s="498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337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482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474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2005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>
        <v>0.2212</v>
      </c>
      <c r="E50" s="353">
        <v>0.2212</v>
      </c>
      <c r="F50" s="353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0.14</v>
      </c>
      <c r="F51" s="355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0.3612</v>
      </c>
      <c r="F52" s="333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347</v>
      </c>
      <c r="B57" s="407" t="s">
        <v>479</v>
      </c>
      <c r="C57" s="362">
        <v>5423997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27" customHeight="1" thickBot="1">
      <c r="A58" s="325" t="s">
        <v>348</v>
      </c>
      <c r="B58" s="408" t="s">
        <v>473</v>
      </c>
      <c r="C58" s="363">
        <v>30000000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5" t="s">
        <v>349</v>
      </c>
      <c r="B59" s="499"/>
      <c r="C59" s="499"/>
      <c r="D59" s="499"/>
      <c r="E59" s="499"/>
      <c r="F59" s="499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18" customHeight="1">
      <c r="A60" s="500"/>
      <c r="B60" s="500"/>
      <c r="C60" s="500"/>
      <c r="D60" s="500"/>
      <c r="E60" s="500"/>
      <c r="F60" s="500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 horizontalCentered="1"/>
  <pageMargins left="0.5118110236220472" right="0.5118110236220472" top="1.1023622047244095" bottom="0.7480314960629921" header="0.4330708661417323" footer="0.4330708661417323"/>
  <pageSetup horizontalDpi="600" verticalDpi="600" orientation="portrait" scale="75" r:id="rId1"/>
  <headerFooter alignWithMargins="0">
    <oddHeader>&amp;R&amp;9Orillia Power Distribution Corporation
EB-2011-0191
Filed: October 28, 2011
Appendix G</oddHeader>
    <oddFooter>&amp;C&amp;F
&amp;A&amp;RPage &amp;P
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G108"/>
  <sheetViews>
    <sheetView workbookViewId="0" topLeftCell="A11">
      <selection activeCell="A46" sqref="A46"/>
    </sheetView>
  </sheetViews>
  <sheetFormatPr defaultColWidth="9.140625" defaultRowHeight="12.75"/>
  <cols>
    <col min="1" max="1" width="25.140625" style="0" customWidth="1"/>
    <col min="2" max="2" width="3.57421875" style="0" customWidth="1"/>
    <col min="3" max="3" width="10.7109375" style="0" customWidth="1"/>
    <col min="4" max="4" width="2.00390625" style="0" customWidth="1"/>
    <col min="5" max="5" width="10.7109375" style="0" customWidth="1"/>
    <col min="6" max="6" width="2.00390625" style="0" customWidth="1"/>
    <col min="7" max="7" width="10.7109375" style="0" customWidth="1"/>
    <col min="8" max="8" width="2.00390625" style="0" customWidth="1"/>
    <col min="9" max="9" width="10.7109375" style="0" customWidth="1"/>
    <col min="10" max="10" width="2.00390625" style="0" customWidth="1"/>
    <col min="11" max="11" width="10.7109375" style="0" customWidth="1"/>
    <col min="12" max="12" width="2.00390625" style="0" customWidth="1"/>
    <col min="13" max="13" width="10.7109375" style="0" customWidth="1"/>
    <col min="14" max="14" width="2.00390625" style="0" customWidth="1"/>
    <col min="15" max="15" width="10.7109375" style="0" customWidth="1"/>
    <col min="16" max="16" width="2.00390625" style="0" customWidth="1"/>
    <col min="17" max="17" width="10.7109375" style="0" customWidth="1"/>
    <col min="18" max="18" width="2.00390625" style="0" customWidth="1"/>
    <col min="19" max="19" width="11.00390625" style="0" customWidth="1"/>
    <col min="20" max="20" width="2.00390625" style="0" customWidth="1"/>
    <col min="21" max="21" width="10.7109375" style="0" customWidth="1"/>
    <col min="22" max="22" width="2.00390625" style="0" customWidth="1"/>
    <col min="23" max="23" width="10.7109375" style="0" customWidth="1"/>
    <col min="24" max="24" width="2.00390625" style="0" customWidth="1"/>
    <col min="25" max="25" width="10.7109375" style="0" customWidth="1"/>
    <col min="26" max="26" width="2.00390625" style="0" customWidth="1"/>
    <col min="27" max="27" width="12.7109375" style="0" customWidth="1"/>
    <col min="28" max="28" width="1.421875" style="0" customWidth="1"/>
    <col min="29" max="29" width="13.00390625" style="0" customWidth="1"/>
    <col min="30" max="30" width="3.7109375" style="0" customWidth="1"/>
    <col min="31" max="31" width="12.8515625" style="0" customWidth="1"/>
    <col min="32" max="32" width="3.7109375" style="0" customWidth="1"/>
    <col min="33" max="33" width="13.8515625" style="0" customWidth="1"/>
    <col min="34" max="34" width="3.7109375" style="0" customWidth="1"/>
    <col min="35" max="35" width="12.140625" style="0" customWidth="1"/>
  </cols>
  <sheetData>
    <row r="1" ht="12.75">
      <c r="A1" s="1" t="str">
        <f>REGINFO!A1</f>
        <v>PILs TAXES as per EB-2008-0381</v>
      </c>
    </row>
    <row r="2" spans="1:2" ht="12.75">
      <c r="A2" s="2" t="s">
        <v>455</v>
      </c>
      <c r="B2" s="2"/>
    </row>
    <row r="3" spans="1:27" ht="12.75">
      <c r="A3" s="2" t="str">
        <f>REGINFO!A3</f>
        <v>Utility Name: Orillia Power Distribution Corporation</v>
      </c>
      <c r="AA3" s="417" t="str">
        <f>REGINFO!E1</f>
        <v>Version 2009.1</v>
      </c>
    </row>
    <row r="4" spans="1:27" ht="12.75">
      <c r="A4" s="2" t="str">
        <f>REGINFO!A4</f>
        <v>Reporting period:  2005</v>
      </c>
      <c r="E4" s="418" t="s">
        <v>321</v>
      </c>
      <c r="F4" s="399"/>
      <c r="G4" s="399"/>
      <c r="H4" s="399"/>
      <c r="I4" s="399"/>
      <c r="AA4" s="417">
        <f>REGINFO!E2</f>
        <v>0</v>
      </c>
    </row>
    <row r="5" spans="4:7" ht="12.75">
      <c r="D5" s="34"/>
      <c r="E5" s="34"/>
      <c r="F5" s="34"/>
      <c r="G5" s="34"/>
    </row>
    <row r="6" spans="1:27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</row>
    <row r="7" ht="13.5" thickTop="1"/>
    <row r="8" spans="1:25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  <c r="O8" s="50">
        <v>39083</v>
      </c>
      <c r="Q8" s="50">
        <v>39448</v>
      </c>
      <c r="S8" s="50">
        <v>39814</v>
      </c>
      <c r="U8" s="50">
        <v>40179</v>
      </c>
      <c r="W8" s="50">
        <v>40544</v>
      </c>
      <c r="Y8" s="50">
        <v>40909</v>
      </c>
    </row>
    <row r="9" spans="1:27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51">
        <v>39202</v>
      </c>
      <c r="Q9" s="51">
        <v>39568</v>
      </c>
      <c r="S9" s="51">
        <v>39933</v>
      </c>
      <c r="U9" s="51">
        <v>40298</v>
      </c>
      <c r="W9" s="51">
        <v>40663</v>
      </c>
      <c r="Y9" s="51">
        <v>41029</v>
      </c>
      <c r="AA9" s="393" t="s">
        <v>104</v>
      </c>
    </row>
    <row r="10" spans="1:8" ht="12.75">
      <c r="A10" s="2"/>
      <c r="F10" s="34"/>
      <c r="H10" s="34"/>
    </row>
    <row r="11" spans="1:27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304090.38907294156</v>
      </c>
      <c r="F11" s="420"/>
      <c r="G11" s="397">
        <f>E22</f>
        <v>257672.8189286443</v>
      </c>
      <c r="H11" s="420"/>
      <c r="I11" s="397">
        <f>G22</f>
        <v>166347.36871066433</v>
      </c>
      <c r="J11" s="391"/>
      <c r="K11" s="397">
        <f>I22</f>
        <v>82290.75193146511</v>
      </c>
      <c r="L11" s="391"/>
      <c r="M11" s="397">
        <f>K22</f>
        <v>-133926.51689679327</v>
      </c>
      <c r="N11" s="391"/>
      <c r="O11" s="397">
        <f>M22</f>
        <v>-328068.325897155</v>
      </c>
      <c r="P11" s="391"/>
      <c r="Q11" s="397">
        <f>O22</f>
        <v>-343949.0196537238</v>
      </c>
      <c r="R11" s="391"/>
      <c r="S11" s="397">
        <f>Q22</f>
        <v>-357318.6994318611</v>
      </c>
      <c r="T11" s="391"/>
      <c r="U11" s="397">
        <f>S22</f>
        <v>-361139.80765990913</v>
      </c>
      <c r="V11" s="391"/>
      <c r="W11" s="397">
        <f>U22</f>
        <v>-363818.78243957355</v>
      </c>
      <c r="X11" s="391"/>
      <c r="Y11" s="397">
        <f>W22</f>
        <v>-368756.82999582024</v>
      </c>
      <c r="Z11" s="391"/>
      <c r="AA11" s="397">
        <f>C11</f>
        <v>0</v>
      </c>
    </row>
    <row r="12" spans="1:29" ht="27" customHeight="1">
      <c r="A12" s="81" t="s">
        <v>395</v>
      </c>
      <c r="B12" s="66" t="s">
        <v>190</v>
      </c>
      <c r="C12" s="396">
        <v>304090.38907294156</v>
      </c>
      <c r="D12" s="392"/>
      <c r="E12" s="396">
        <v>872014.4356410007</v>
      </c>
      <c r="F12" s="95"/>
      <c r="G12" s="419">
        <f>C12+E12</f>
        <v>1176104.8247139424</v>
      </c>
      <c r="H12" s="95"/>
      <c r="I12" s="419">
        <f>(E12/12*9)+(G12/12*3)</f>
        <v>948037.0329092361</v>
      </c>
      <c r="J12" s="392"/>
      <c r="K12" s="419">
        <f>E12/12*3</f>
        <v>218003.6089102502</v>
      </c>
      <c r="L12" s="392"/>
      <c r="M12" s="419">
        <f>TAXCALC!C95/12*4</f>
        <v>279260.78198955546</v>
      </c>
      <c r="N12" s="392"/>
      <c r="O12" s="419"/>
      <c r="P12" s="392"/>
      <c r="Q12" s="419"/>
      <c r="R12" s="392"/>
      <c r="S12" s="419"/>
      <c r="T12" s="392"/>
      <c r="U12" s="419"/>
      <c r="V12" s="392"/>
      <c r="W12" s="419"/>
      <c r="X12" s="392"/>
      <c r="Y12" s="419"/>
      <c r="Z12" s="392"/>
      <c r="AA12" s="397">
        <f aca="true" t="shared" si="0" ref="AA12:AA20">SUM(C12:Y12)</f>
        <v>3797511.0732369265</v>
      </c>
      <c r="AC12" s="22"/>
    </row>
    <row r="13" spans="1:27" ht="27" customHeight="1">
      <c r="A13" s="81" t="s">
        <v>436</v>
      </c>
      <c r="B13" s="66"/>
      <c r="C13" s="396"/>
      <c r="D13" s="95"/>
      <c r="E13" s="396"/>
      <c r="F13" s="95"/>
      <c r="G13" s="396"/>
      <c r="H13" s="95"/>
      <c r="I13" s="396"/>
      <c r="J13" s="392"/>
      <c r="K13" s="396">
        <f>TAXCALC!C95/12*9</f>
        <v>628336.7594764997</v>
      </c>
      <c r="L13" s="392"/>
      <c r="M13" s="396"/>
      <c r="N13" s="392"/>
      <c r="O13" s="396"/>
      <c r="P13" s="392"/>
      <c r="Q13" s="396"/>
      <c r="R13" s="392"/>
      <c r="S13" s="396"/>
      <c r="T13" s="392"/>
      <c r="U13" s="396"/>
      <c r="V13" s="392"/>
      <c r="W13" s="396"/>
      <c r="X13" s="392"/>
      <c r="Y13" s="396"/>
      <c r="Z13" s="392"/>
      <c r="AA13" s="397">
        <f t="shared" si="0"/>
        <v>628336.7594764997</v>
      </c>
    </row>
    <row r="14" spans="1:27" ht="38.25">
      <c r="A14" s="81" t="s">
        <v>396</v>
      </c>
      <c r="B14" s="66" t="s">
        <v>190</v>
      </c>
      <c r="C14" s="396"/>
      <c r="D14" s="392"/>
      <c r="E14" s="396">
        <f>'[2]TAXCALC'!$E$183</f>
        <v>0</v>
      </c>
      <c r="F14" s="95"/>
      <c r="G14" s="396"/>
      <c r="H14" s="95"/>
      <c r="I14" s="429"/>
      <c r="J14" s="392"/>
      <c r="K14" s="396"/>
      <c r="L14" s="392"/>
      <c r="M14" s="396"/>
      <c r="N14" s="392"/>
      <c r="O14" s="396"/>
      <c r="P14" s="392"/>
      <c r="Q14" s="396"/>
      <c r="R14" s="392"/>
      <c r="S14" s="396"/>
      <c r="T14" s="392"/>
      <c r="U14" s="396"/>
      <c r="V14" s="392"/>
      <c r="W14" s="396"/>
      <c r="X14" s="392"/>
      <c r="Y14" s="396"/>
      <c r="Z14" s="392"/>
      <c r="AA14" s="397">
        <f t="shared" si="0"/>
        <v>0</v>
      </c>
    </row>
    <row r="15" spans="1:27" ht="27" customHeight="1">
      <c r="A15" s="81" t="s">
        <v>397</v>
      </c>
      <c r="B15" s="66" t="s">
        <v>190</v>
      </c>
      <c r="C15" s="396"/>
      <c r="D15" s="392"/>
      <c r="E15" s="396"/>
      <c r="F15" s="95"/>
      <c r="G15" s="396">
        <f>'[3]TAXCALC'!$E$183</f>
        <v>-48288.45601902</v>
      </c>
      <c r="H15" s="95"/>
      <c r="I15" s="396">
        <f>'[4]TAXCALC'!$E$183</f>
        <v>27626.368549399216</v>
      </c>
      <c r="J15" s="392"/>
      <c r="K15" s="396">
        <f>'[5]TAXCALC'!$E$183</f>
        <v>-58620.41292934617</v>
      </c>
      <c r="L15" s="392"/>
      <c r="M15" s="396">
        <f>TAXCALC!E132</f>
        <v>-58620.41292934617</v>
      </c>
      <c r="N15" s="392"/>
      <c r="O15" s="396"/>
      <c r="P15" s="392"/>
      <c r="Q15" s="396"/>
      <c r="R15" s="392"/>
      <c r="S15" s="396"/>
      <c r="T15" s="392"/>
      <c r="U15" s="396"/>
      <c r="V15" s="392"/>
      <c r="W15" s="396"/>
      <c r="X15" s="392"/>
      <c r="Y15" s="396"/>
      <c r="Z15" s="392"/>
      <c r="AA15" s="397">
        <f t="shared" si="0"/>
        <v>-137902.91332831312</v>
      </c>
    </row>
    <row r="16" spans="1:27" ht="27" customHeight="1">
      <c r="A16" s="81" t="s">
        <v>398</v>
      </c>
      <c r="B16" s="66"/>
      <c r="C16" s="396"/>
      <c r="D16" s="392"/>
      <c r="E16" s="396">
        <f>'[2]TAXCALC'!$E$181</f>
        <v>139.80856999009376</v>
      </c>
      <c r="F16" s="95"/>
      <c r="G16" s="396"/>
      <c r="H16" s="95"/>
      <c r="I16" s="396"/>
      <c r="J16" s="392"/>
      <c r="K16" s="396">
        <v>0</v>
      </c>
      <c r="L16" s="392"/>
      <c r="M16" s="396"/>
      <c r="N16" s="392"/>
      <c r="O16" s="396"/>
      <c r="P16" s="392"/>
      <c r="Q16" s="396"/>
      <c r="R16" s="392"/>
      <c r="S16" s="396"/>
      <c r="T16" s="392"/>
      <c r="U16" s="396"/>
      <c r="V16" s="392"/>
      <c r="W16" s="396"/>
      <c r="X16" s="392"/>
      <c r="Y16" s="396"/>
      <c r="Z16" s="392"/>
      <c r="AA16" s="397">
        <f t="shared" si="0"/>
        <v>139.80856999009376</v>
      </c>
    </row>
    <row r="17" spans="1:27" ht="27.75" customHeight="1">
      <c r="A17" s="81" t="s">
        <v>399</v>
      </c>
      <c r="B17" s="66" t="s">
        <v>190</v>
      </c>
      <c r="C17" s="396"/>
      <c r="D17" s="392"/>
      <c r="E17" s="396"/>
      <c r="F17" s="95"/>
      <c r="G17" s="396">
        <f>'[3]TAXCALC'!$E$181</f>
        <v>0</v>
      </c>
      <c r="H17" s="95"/>
      <c r="I17" s="396">
        <f>'[4]TAXCALC'!$E$181</f>
        <v>-41597.60836232571</v>
      </c>
      <c r="J17" s="392"/>
      <c r="K17" s="396">
        <f>'[5]TAXCALC'!$E$181</f>
        <v>-55975.514804667815</v>
      </c>
      <c r="L17" s="392"/>
      <c r="M17" s="396">
        <f>TAXCALC!E181</f>
        <v>0</v>
      </c>
      <c r="N17" s="392"/>
      <c r="O17" s="396"/>
      <c r="P17" s="392"/>
      <c r="Q17" s="396"/>
      <c r="R17" s="392"/>
      <c r="S17" s="396"/>
      <c r="T17" s="392"/>
      <c r="U17" s="396"/>
      <c r="V17" s="392"/>
      <c r="W17" s="396"/>
      <c r="X17" s="392"/>
      <c r="Y17" s="396"/>
      <c r="Z17" s="392"/>
      <c r="AA17" s="397">
        <f t="shared" si="0"/>
        <v>-97573.12316699352</v>
      </c>
    </row>
    <row r="18" spans="1:27" ht="38.25">
      <c r="A18" s="81" t="s">
        <v>400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6"/>
      <c r="P18" s="392"/>
      <c r="Q18" s="396"/>
      <c r="R18" s="392"/>
      <c r="S18" s="396"/>
      <c r="T18" s="392"/>
      <c r="U18" s="396"/>
      <c r="V18" s="392"/>
      <c r="W18" s="396"/>
      <c r="X18" s="392"/>
      <c r="Y18" s="396"/>
      <c r="Z18" s="392"/>
      <c r="AA18" s="397">
        <f t="shared" si="0"/>
        <v>0</v>
      </c>
    </row>
    <row r="19" spans="1:33" ht="24" customHeight="1">
      <c r="A19" s="433" t="s">
        <v>401</v>
      </c>
      <c r="B19" s="66" t="s">
        <v>190</v>
      </c>
      <c r="C19" s="396"/>
      <c r="D19" s="392"/>
      <c r="E19" s="396">
        <f>'[6]A-3 Interest Trueup'!$G$14</f>
        <v>7318.0886970318315</v>
      </c>
      <c r="F19" s="95"/>
      <c r="G19" s="396">
        <f>'[6]A-3 Interest Trueup'!$G$29</f>
        <v>13734.812817097436</v>
      </c>
      <c r="H19" s="95"/>
      <c r="I19" s="396">
        <f>'[6]A-3 Interest Trueup'!$G$44</f>
        <v>7548.456015491185</v>
      </c>
      <c r="J19" s="392"/>
      <c r="K19" s="396">
        <f>'[6]A-3 Interest Trueup'!$G$59</f>
        <v>-6655.145424386829</v>
      </c>
      <c r="L19" s="392"/>
      <c r="M19" s="396">
        <f>'[6]A-3 Interest Trueup'!$G$74</f>
        <v>-14092.974491404333</v>
      </c>
      <c r="N19" s="392"/>
      <c r="O19" s="396">
        <f>'[6]A-3 Interest Trueup'!$G$89</f>
        <v>-15880.693756568846</v>
      </c>
      <c r="P19" s="392"/>
      <c r="Q19" s="396">
        <f>'[6]A-3 Interest Trueup'!$G$103</f>
        <v>-13369.679778137282</v>
      </c>
      <c r="R19" s="392"/>
      <c r="S19" s="396">
        <f>'[6]A-3 Interest Trueup'!$G$117</f>
        <v>-3821.108228048032</v>
      </c>
      <c r="T19" s="392"/>
      <c r="U19" s="396">
        <f>'[6]A-3 Interest Trueup'!$G$131</f>
        <v>-2678.974779664443</v>
      </c>
      <c r="V19" s="392"/>
      <c r="W19" s="396">
        <f>'[6]A-3 Interest Trueup'!$G$145</f>
        <v>-4938.047556246685</v>
      </c>
      <c r="X19" s="392"/>
      <c r="Y19" s="396">
        <f>'[6]A-3 Interest Trueup'!$G$159</f>
        <v>-1646.0158520822285</v>
      </c>
      <c r="Z19" s="392"/>
      <c r="AA19" s="397">
        <f t="shared" si="0"/>
        <v>-34481.28233691823</v>
      </c>
      <c r="AC19" s="491"/>
      <c r="AD19" s="34"/>
      <c r="AE19" s="34"/>
      <c r="AF19" s="34"/>
      <c r="AG19" s="34"/>
    </row>
    <row r="20" spans="1:33" ht="24.75" customHeight="1">
      <c r="A20" s="81" t="s">
        <v>464</v>
      </c>
      <c r="B20" s="66" t="s">
        <v>188</v>
      </c>
      <c r="C20" s="396"/>
      <c r="D20" s="392"/>
      <c r="E20" s="396">
        <f>'[6]A-2 Principal trueup'!$E$14</f>
        <v>-925889.90305232</v>
      </c>
      <c r="F20" s="95"/>
      <c r="G20" s="396">
        <f>'[6]A-2 Principal trueup'!$E$28</f>
        <v>-1232876.6317299998</v>
      </c>
      <c r="H20" s="95"/>
      <c r="I20" s="396">
        <f>'[6]A-2 Principal trueup'!$E$42</f>
        <v>-1025670.8658910001</v>
      </c>
      <c r="J20" s="392"/>
      <c r="K20" s="396">
        <f>'[6]A-2 Principal trueup'!$E$56</f>
        <v>-941306.5640566075</v>
      </c>
      <c r="L20" s="392"/>
      <c r="M20" s="396">
        <f>'[6]A-2 Principal trueup'!$E$68</f>
        <v>-400689.20356916665</v>
      </c>
      <c r="N20" s="392"/>
      <c r="O20" s="396"/>
      <c r="P20" s="392"/>
      <c r="Q20" s="396"/>
      <c r="R20" s="392"/>
      <c r="S20" s="396"/>
      <c r="T20" s="392"/>
      <c r="U20" s="396"/>
      <c r="V20" s="392"/>
      <c r="W20" s="396"/>
      <c r="X20" s="392"/>
      <c r="Y20" s="396"/>
      <c r="Z20" s="392"/>
      <c r="AA20" s="397">
        <f t="shared" si="0"/>
        <v>-4526433.168299094</v>
      </c>
      <c r="AC20" s="491"/>
      <c r="AD20" s="34"/>
      <c r="AE20" s="34"/>
      <c r="AF20" s="34"/>
      <c r="AG20" s="34"/>
    </row>
    <row r="21" spans="1:27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420"/>
    </row>
    <row r="22" spans="1:31" ht="13.5" thickBot="1">
      <c r="A22" s="81" t="s">
        <v>371</v>
      </c>
      <c r="B22" s="34"/>
      <c r="C22" s="398">
        <f>SUM(C11:C20)</f>
        <v>304090.38907294156</v>
      </c>
      <c r="D22" s="420"/>
      <c r="E22" s="398">
        <f>SUM(E11:E20)</f>
        <v>257672.8189286443</v>
      </c>
      <c r="F22" s="420"/>
      <c r="G22" s="398">
        <f>SUM(G11:G20)</f>
        <v>166347.36871066433</v>
      </c>
      <c r="H22" s="420"/>
      <c r="I22" s="398">
        <f>SUM(I11:I20)</f>
        <v>82290.75193146511</v>
      </c>
      <c r="J22" s="391"/>
      <c r="K22" s="398">
        <f>SUM(K11:K20)</f>
        <v>-133926.51689679327</v>
      </c>
      <c r="L22" s="391"/>
      <c r="M22" s="398">
        <f>SUM(M11:M21)</f>
        <v>-328068.325897155</v>
      </c>
      <c r="N22" s="391"/>
      <c r="O22" s="398">
        <f>SUM(O11:O21)</f>
        <v>-343949.0196537238</v>
      </c>
      <c r="P22" s="391"/>
      <c r="Q22" s="398">
        <f>SUM(Q11:Q21)</f>
        <v>-357318.6994318611</v>
      </c>
      <c r="R22" s="391"/>
      <c r="S22" s="398">
        <f>SUM(S11:S21)</f>
        <v>-361139.80765990913</v>
      </c>
      <c r="T22" s="391"/>
      <c r="U22" s="398">
        <f>SUM(U11:U21)</f>
        <v>-363818.78243957355</v>
      </c>
      <c r="V22" s="391"/>
      <c r="W22" s="398">
        <f>SUM(W11:W21)</f>
        <v>-368756.82999582024</v>
      </c>
      <c r="X22" s="391"/>
      <c r="Y22" s="398">
        <f>SUM(Y11:Y21)</f>
        <v>-370402.84584790247</v>
      </c>
      <c r="Z22" s="391"/>
      <c r="AA22" s="485">
        <f>SUM(AA11:AA20)</f>
        <v>-370402.8458479028</v>
      </c>
      <c r="AE22" s="22"/>
    </row>
    <row r="23" spans="1:27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  <c r="P23" s="188"/>
      <c r="Q23" s="443"/>
      <c r="R23" s="188"/>
      <c r="S23" s="443"/>
      <c r="T23" s="188"/>
      <c r="U23" s="443"/>
      <c r="V23" s="188"/>
      <c r="W23" s="443"/>
      <c r="X23" s="188"/>
      <c r="Y23" s="443"/>
      <c r="Z23" s="188"/>
      <c r="AA23" s="443"/>
    </row>
    <row r="24" spans="1:27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9"/>
    </row>
    <row r="25" spans="1:27" ht="12.75">
      <c r="A25" s="434"/>
      <c r="B25" s="435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  <c r="P25" s="462"/>
      <c r="Q25" s="463"/>
      <c r="R25" s="462"/>
      <c r="S25" s="463"/>
      <c r="T25" s="462"/>
      <c r="U25" s="463"/>
      <c r="V25" s="462"/>
      <c r="W25" s="463"/>
      <c r="X25" s="462"/>
      <c r="Y25" s="463"/>
      <c r="Z25" s="462"/>
      <c r="AA25" s="463"/>
    </row>
    <row r="26" spans="1:27" ht="12.75">
      <c r="A26" s="434" t="s">
        <v>402</v>
      </c>
      <c r="B26" s="435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  <c r="P26" s="462"/>
      <c r="Q26" s="463"/>
      <c r="R26" s="462"/>
      <c r="S26" s="463"/>
      <c r="T26" s="462"/>
      <c r="U26" s="463"/>
      <c r="V26" s="462"/>
      <c r="W26" s="463"/>
      <c r="X26" s="462"/>
      <c r="Y26" s="463"/>
      <c r="Z26" s="462"/>
      <c r="AA26" s="463"/>
    </row>
    <row r="27" spans="1:27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</row>
    <row r="28" spans="1:27" ht="12.75">
      <c r="A28" s="434" t="s">
        <v>403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</row>
    <row r="29" spans="1:27" ht="12.75">
      <c r="A29" s="437" t="s">
        <v>404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</row>
    <row r="30" spans="1:27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</row>
    <row r="31" spans="1:27" ht="12.75">
      <c r="A31" s="451" t="s">
        <v>405</v>
      </c>
      <c r="B31" s="80"/>
      <c r="C31" s="80"/>
      <c r="D31" s="80"/>
      <c r="E31" s="80"/>
      <c r="F31" s="80"/>
      <c r="G31" s="80"/>
      <c r="H31" s="80"/>
      <c r="I31" s="492"/>
      <c r="J31" s="448"/>
      <c r="K31" s="492"/>
      <c r="L31" s="448"/>
      <c r="M31" s="492" t="s">
        <v>500</v>
      </c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8"/>
      <c r="AA31" s="448"/>
    </row>
    <row r="32" spans="1:27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</row>
    <row r="33" spans="1:31" ht="12.75">
      <c r="A33" s="504" t="s">
        <v>406</v>
      </c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5"/>
      <c r="AA33" s="505"/>
      <c r="AB33" s="421"/>
      <c r="AC33" s="421"/>
      <c r="AD33" s="421"/>
      <c r="AE33" s="421"/>
    </row>
    <row r="34" spans="1:31" ht="12.75">
      <c r="A34" s="503" t="s">
        <v>407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506"/>
      <c r="Q34" s="506"/>
      <c r="R34" s="506"/>
      <c r="S34" s="506"/>
      <c r="T34" s="506"/>
      <c r="U34" s="506"/>
      <c r="V34" s="506"/>
      <c r="W34" s="506"/>
      <c r="X34" s="506"/>
      <c r="Y34" s="506"/>
      <c r="Z34" s="506"/>
      <c r="AA34" s="506"/>
      <c r="AB34" s="421"/>
      <c r="AC34" s="421"/>
      <c r="AD34" s="421"/>
      <c r="AE34" s="421"/>
    </row>
    <row r="35" spans="1:31" ht="12.75">
      <c r="A35" s="503" t="s">
        <v>428</v>
      </c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A35" s="506"/>
      <c r="AB35" s="421"/>
      <c r="AC35" s="421"/>
      <c r="AD35" s="421"/>
      <c r="AE35" s="421"/>
    </row>
    <row r="36" spans="1:31" ht="12.75">
      <c r="A36" s="503" t="s">
        <v>408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5"/>
      <c r="V36" s="505"/>
      <c r="W36" s="505"/>
      <c r="X36" s="505"/>
      <c r="Y36" s="505"/>
      <c r="Z36" s="505"/>
      <c r="AA36" s="505"/>
      <c r="AB36" s="421"/>
      <c r="AC36" s="421"/>
      <c r="AD36" s="421"/>
      <c r="AE36" s="421"/>
    </row>
    <row r="37" spans="1:31" ht="12.75">
      <c r="A37" s="438" t="s">
        <v>368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21"/>
      <c r="AC37" s="421"/>
      <c r="AD37" s="421"/>
      <c r="AE37" s="421"/>
    </row>
    <row r="38" spans="1:31" ht="12.75">
      <c r="A38" s="438" t="s">
        <v>369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21"/>
      <c r="AC38" s="421"/>
      <c r="AD38" s="421"/>
      <c r="AE38" s="421"/>
    </row>
    <row r="39" spans="1:31" ht="12.75">
      <c r="A39" s="438" t="s">
        <v>409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21"/>
      <c r="AC39" s="421"/>
      <c r="AD39" s="421"/>
      <c r="AE39" s="421"/>
    </row>
    <row r="40" spans="1:31" ht="12.75">
      <c r="A40" s="438" t="s">
        <v>410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39"/>
      <c r="AA40" s="439"/>
      <c r="AB40" s="421"/>
      <c r="AC40" s="421"/>
      <c r="AD40" s="421"/>
      <c r="AE40" s="421"/>
    </row>
    <row r="41" spans="2:31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21"/>
      <c r="AC41" s="421"/>
      <c r="AD41" s="421"/>
      <c r="AE41" s="421"/>
    </row>
    <row r="42" spans="1:27" ht="12.75">
      <c r="A42" s="440" t="s">
        <v>411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</row>
    <row r="43" spans="1:27" ht="12.75">
      <c r="A43" s="435" t="s">
        <v>412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</row>
    <row r="44" spans="1:27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</row>
    <row r="45" spans="1:27" ht="12.75">
      <c r="A45" s="440" t="s">
        <v>413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</row>
    <row r="46" spans="1:27" ht="12.75">
      <c r="A46" s="435" t="s">
        <v>414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</row>
    <row r="47" spans="1:27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</row>
    <row r="48" spans="1:27" ht="12.75">
      <c r="A48" s="440" t="s">
        <v>415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</row>
    <row r="49" spans="1:27" ht="12.75">
      <c r="A49" s="435" t="s">
        <v>416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</row>
    <row r="50" spans="1:27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</row>
    <row r="51" spans="1:27" ht="12.75">
      <c r="A51" s="440" t="s">
        <v>417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</row>
    <row r="52" spans="1:27" ht="12.75">
      <c r="A52" s="435" t="s">
        <v>414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</row>
    <row r="53" spans="1:27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</row>
    <row r="54" spans="1:27" ht="12.75">
      <c r="A54" s="435" t="s">
        <v>418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</row>
    <row r="55" spans="1:27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</row>
    <row r="56" spans="1:27" ht="12.75" customHeight="1">
      <c r="A56" s="440" t="s">
        <v>419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</row>
    <row r="57" spans="1:27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</row>
    <row r="58" spans="1:27" ht="12.75">
      <c r="A58" s="435" t="s">
        <v>420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</row>
    <row r="59" spans="1:27" ht="12.75">
      <c r="A59" s="435" t="s">
        <v>421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</row>
    <row r="60" spans="1:27" ht="12.75">
      <c r="A60" s="435" t="s">
        <v>422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</row>
    <row r="61" spans="1:27" ht="12.75">
      <c r="A61" s="435" t="s">
        <v>378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</row>
    <row r="62" spans="1:27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</row>
    <row r="63" spans="1:27" ht="12.75">
      <c r="A63" s="435" t="s">
        <v>423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</row>
    <row r="64" spans="1:27" ht="12.75">
      <c r="A64" s="435" t="s">
        <v>424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</row>
    <row r="65" spans="1:27" ht="12.75">
      <c r="A65" s="435" t="s">
        <v>380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</row>
    <row r="66" spans="1:27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</row>
    <row r="67" spans="1:27" ht="12.75">
      <c r="A67" s="435" t="s">
        <v>379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</row>
    <row r="68" spans="1:27" ht="12.75">
      <c r="A68" s="435" t="s">
        <v>381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</row>
    <row r="69" spans="1:27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</row>
    <row r="70" spans="1:27" ht="12.75">
      <c r="A70" s="435" t="s">
        <v>425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</row>
    <row r="71" spans="1:27" ht="12.75">
      <c r="A71" s="435" t="s">
        <v>426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</row>
    <row r="72" spans="1:27" ht="12.75">
      <c r="A72" s="435" t="s">
        <v>427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</row>
    <row r="73" spans="1:27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</row>
    <row r="74" spans="1:27" ht="12.75" customHeight="1">
      <c r="A74" s="503" t="s">
        <v>456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  <c r="P74" s="503"/>
      <c r="Q74" s="503"/>
      <c r="R74" s="503"/>
      <c r="S74" s="503"/>
      <c r="T74" s="503"/>
      <c r="U74" s="503"/>
      <c r="V74" s="503"/>
      <c r="W74" s="503"/>
      <c r="X74" s="503"/>
      <c r="Y74" s="503"/>
      <c r="Z74" s="503"/>
      <c r="AA74" s="503"/>
    </row>
    <row r="75" spans="1:27" ht="12.75">
      <c r="A75" s="435" t="s">
        <v>370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</row>
    <row r="76" spans="1:27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</row>
    <row r="77" spans="1:27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</row>
    <row r="78" spans="1:29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435"/>
      <c r="P78" s="188"/>
      <c r="Q78" s="435"/>
      <c r="R78" s="188"/>
      <c r="S78" s="435"/>
      <c r="T78" s="188"/>
      <c r="U78" s="435"/>
      <c r="V78" s="188"/>
      <c r="W78" s="435"/>
      <c r="X78" s="188"/>
      <c r="Y78" s="435"/>
      <c r="Z78" s="188"/>
      <c r="AA78" s="188"/>
      <c r="AB78" s="188"/>
      <c r="AC78" s="188"/>
    </row>
    <row r="79" spans="1:29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435"/>
      <c r="P79" s="188"/>
      <c r="Q79" s="435"/>
      <c r="R79" s="188"/>
      <c r="S79" s="435"/>
      <c r="T79" s="188"/>
      <c r="U79" s="435"/>
      <c r="V79" s="188"/>
      <c r="W79" s="435"/>
      <c r="X79" s="188"/>
      <c r="Y79" s="435"/>
      <c r="Z79" s="188"/>
      <c r="AA79" s="188"/>
      <c r="AB79" s="188"/>
      <c r="AC79" s="188"/>
    </row>
    <row r="80" spans="1:29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435"/>
      <c r="P80" s="188"/>
      <c r="Q80" s="435"/>
      <c r="R80" s="188"/>
      <c r="S80" s="435"/>
      <c r="T80" s="188"/>
      <c r="U80" s="435"/>
      <c r="V80" s="188"/>
      <c r="W80" s="435"/>
      <c r="X80" s="188"/>
      <c r="Y80" s="435"/>
      <c r="Z80" s="188"/>
      <c r="AA80" s="188"/>
      <c r="AB80" s="188"/>
      <c r="AC80" s="188"/>
    </row>
    <row r="81" spans="1:29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435"/>
      <c r="P81" s="188"/>
      <c r="Q81" s="435"/>
      <c r="R81" s="188"/>
      <c r="S81" s="435"/>
      <c r="T81" s="188"/>
      <c r="U81" s="435"/>
      <c r="V81" s="188"/>
      <c r="W81" s="435"/>
      <c r="X81" s="188"/>
      <c r="Y81" s="435"/>
      <c r="Z81" s="188"/>
      <c r="AA81" s="188"/>
      <c r="AB81" s="188"/>
      <c r="AC81" s="188"/>
    </row>
    <row r="82" spans="1:29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435"/>
      <c r="P82" s="188"/>
      <c r="Q82" s="435"/>
      <c r="R82" s="188"/>
      <c r="S82" s="435"/>
      <c r="T82" s="188"/>
      <c r="U82" s="435"/>
      <c r="V82" s="188"/>
      <c r="W82" s="435"/>
      <c r="X82" s="188"/>
      <c r="Y82" s="435"/>
      <c r="Z82" s="188"/>
      <c r="AA82" s="188"/>
      <c r="AB82" s="188"/>
      <c r="AC82" s="188"/>
    </row>
    <row r="83" spans="1:29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435"/>
      <c r="P83" s="188"/>
      <c r="Q83" s="435"/>
      <c r="R83" s="188"/>
      <c r="S83" s="435"/>
      <c r="T83" s="188"/>
      <c r="U83" s="435"/>
      <c r="V83" s="188"/>
      <c r="W83" s="435"/>
      <c r="X83" s="188"/>
      <c r="Y83" s="435"/>
      <c r="Z83" s="188"/>
      <c r="AA83" s="188"/>
      <c r="AB83" s="188"/>
      <c r="AC83" s="188"/>
    </row>
    <row r="84" spans="1:29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435"/>
      <c r="P84" s="188"/>
      <c r="Q84" s="435"/>
      <c r="R84" s="188"/>
      <c r="S84" s="435"/>
      <c r="T84" s="188"/>
      <c r="U84" s="435"/>
      <c r="V84" s="188"/>
      <c r="W84" s="435"/>
      <c r="X84" s="188"/>
      <c r="Y84" s="435"/>
      <c r="Z84" s="188"/>
      <c r="AA84" s="188"/>
      <c r="AB84" s="188"/>
      <c r="AC84" s="188"/>
    </row>
    <row r="85" spans="1:29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435"/>
      <c r="P85" s="188"/>
      <c r="Q85" s="435"/>
      <c r="R85" s="188"/>
      <c r="S85" s="435"/>
      <c r="T85" s="188"/>
      <c r="U85" s="435"/>
      <c r="V85" s="188"/>
      <c r="W85" s="435"/>
      <c r="X85" s="188"/>
      <c r="Y85" s="435"/>
      <c r="Z85" s="188"/>
      <c r="AA85" s="188"/>
      <c r="AB85" s="188"/>
      <c r="AC85" s="188"/>
    </row>
    <row r="86" spans="1:29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435"/>
      <c r="P86" s="188"/>
      <c r="Q86" s="435"/>
      <c r="R86" s="188"/>
      <c r="S86" s="435"/>
      <c r="T86" s="188"/>
      <c r="U86" s="435"/>
      <c r="V86" s="188"/>
      <c r="W86" s="435"/>
      <c r="X86" s="188"/>
      <c r="Y86" s="435"/>
      <c r="Z86" s="188"/>
      <c r="AA86" s="188"/>
      <c r="AB86" s="188"/>
      <c r="AC86" s="188"/>
    </row>
    <row r="87" spans="1:29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435"/>
      <c r="P87" s="188"/>
      <c r="Q87" s="435"/>
      <c r="R87" s="188"/>
      <c r="S87" s="435"/>
      <c r="T87" s="188"/>
      <c r="U87" s="435"/>
      <c r="V87" s="188"/>
      <c r="W87" s="435"/>
      <c r="X87" s="188"/>
      <c r="Y87" s="435"/>
      <c r="Z87" s="188"/>
      <c r="AA87" s="188"/>
      <c r="AB87" s="188"/>
      <c r="AC87" s="188"/>
    </row>
    <row r="88" spans="1:29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435"/>
      <c r="P88" s="188"/>
      <c r="Q88" s="435"/>
      <c r="R88" s="188"/>
      <c r="S88" s="435"/>
      <c r="T88" s="188"/>
      <c r="U88" s="435"/>
      <c r="V88" s="188"/>
      <c r="W88" s="435"/>
      <c r="X88" s="188"/>
      <c r="Y88" s="435"/>
      <c r="Z88" s="188"/>
      <c r="AA88" s="188"/>
      <c r="AB88" s="188"/>
      <c r="AC88" s="188"/>
    </row>
    <row r="89" spans="1:29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435"/>
      <c r="P89" s="188"/>
      <c r="Q89" s="435"/>
      <c r="R89" s="188"/>
      <c r="S89" s="435"/>
      <c r="T89" s="188"/>
      <c r="U89" s="435"/>
      <c r="V89" s="188"/>
      <c r="W89" s="435"/>
      <c r="X89" s="188"/>
      <c r="Y89" s="435"/>
      <c r="Z89" s="188"/>
      <c r="AA89" s="188"/>
      <c r="AB89" s="188"/>
      <c r="AC89" s="188"/>
    </row>
    <row r="90" spans="1:29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435"/>
      <c r="P90" s="188"/>
      <c r="Q90" s="435"/>
      <c r="R90" s="188"/>
      <c r="S90" s="435"/>
      <c r="T90" s="188"/>
      <c r="U90" s="435"/>
      <c r="V90" s="188"/>
      <c r="W90" s="435"/>
      <c r="X90" s="188"/>
      <c r="Y90" s="435"/>
      <c r="Z90" s="188"/>
      <c r="AA90" s="188"/>
      <c r="AB90" s="188"/>
      <c r="AC90" s="188"/>
    </row>
    <row r="91" spans="1:29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435"/>
      <c r="P91" s="188"/>
      <c r="Q91" s="435"/>
      <c r="R91" s="188"/>
      <c r="S91" s="435"/>
      <c r="T91" s="188"/>
      <c r="U91" s="435"/>
      <c r="V91" s="188"/>
      <c r="W91" s="435"/>
      <c r="X91" s="188"/>
      <c r="Y91" s="435"/>
      <c r="Z91" s="188"/>
      <c r="AA91" s="188"/>
      <c r="AB91" s="188"/>
      <c r="AC91" s="188"/>
    </row>
    <row r="92" spans="1:29" ht="12.75">
      <c r="A92" s="188"/>
      <c r="B92" s="188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503"/>
      <c r="Q92" s="503"/>
      <c r="R92" s="503"/>
      <c r="S92" s="503"/>
      <c r="T92" s="503"/>
      <c r="U92" s="503"/>
      <c r="V92" s="503"/>
      <c r="W92" s="503"/>
      <c r="X92" s="503"/>
      <c r="Y92" s="503"/>
      <c r="Z92" s="503"/>
      <c r="AA92" s="503"/>
      <c r="AB92" s="503"/>
      <c r="AC92" s="503"/>
    </row>
    <row r="93" spans="1:29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435"/>
      <c r="P93" s="188"/>
      <c r="Q93" s="435"/>
      <c r="R93" s="188"/>
      <c r="S93" s="435"/>
      <c r="T93" s="188"/>
      <c r="U93" s="435"/>
      <c r="V93" s="188"/>
      <c r="W93" s="435"/>
      <c r="X93" s="188"/>
      <c r="Y93" s="435"/>
      <c r="Z93" s="188"/>
      <c r="AA93" s="188"/>
      <c r="AB93" s="188"/>
      <c r="AC93" s="188"/>
    </row>
    <row r="94" spans="1:27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</row>
    <row r="95" spans="1:27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</row>
    <row r="96" spans="1:27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</row>
    <row r="97" spans="1:27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</row>
    <row r="98" spans="1:27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</row>
    <row r="99" spans="1:27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</row>
    <row r="100" spans="1:27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</row>
    <row r="101" spans="1:27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</row>
    <row r="102" spans="1:27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</row>
    <row r="103" spans="1:27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</row>
    <row r="104" spans="1:27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</row>
    <row r="105" spans="1:27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</row>
    <row r="106" spans="1:27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</row>
    <row r="107" spans="1:27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</row>
    <row r="108" spans="1:27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</row>
  </sheetData>
  <sheetProtection/>
  <mergeCells count="6">
    <mergeCell ref="C92:AC92"/>
    <mergeCell ref="A33:AA33"/>
    <mergeCell ref="A36:AA36"/>
    <mergeCell ref="A74:AA74"/>
    <mergeCell ref="A34:AA34"/>
    <mergeCell ref="A35:AA35"/>
  </mergeCells>
  <printOptions gridLines="1" headings="1" horizontalCentered="1"/>
  <pageMargins left="0.07874015748031496" right="0.07874015748031496" top="1.1023622047244095" bottom="0.7480314960629921" header="0.5118110236220472" footer="0.5118110236220472"/>
  <pageSetup horizontalDpi="600" verticalDpi="600" orientation="landscape" scale="70" r:id="rId1"/>
  <headerFooter alignWithMargins="0">
    <oddHeader>&amp;R&amp;9Orillia Power Distribution Corporation
EB-2011-0191
Filed: October 28, 2011
Appendix G</oddHeader>
    <oddFooter>&amp;C&amp;F
&amp;A&amp;RPage &amp;P
of &amp;N</oddFooter>
  </headerFooter>
  <rowBreaks count="1" manualBreakCount="1">
    <brk id="3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Pauline Welsh</cp:lastModifiedBy>
  <cp:lastPrinted>2011-10-20T14:51:22Z</cp:lastPrinted>
  <dcterms:created xsi:type="dcterms:W3CDTF">2001-11-07T16:15:53Z</dcterms:created>
  <dcterms:modified xsi:type="dcterms:W3CDTF">2011-10-20T14:51:57Z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