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6" yWindow="65404" windowWidth="14436" windowHeight="1225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Lenovo User</author>
  </authors>
  <commentList>
    <comment ref="C20" authorId="0">
      <text>
        <r>
          <rPr>
            <b/>
            <sz val="11"/>
            <rFont val="Tahoma"/>
            <family val="2"/>
          </rPr>
          <t>Lenovo User:</t>
        </r>
        <r>
          <rPr>
            <sz val="11"/>
            <rFont val="Tahoma"/>
            <family val="2"/>
          </rPr>
          <t xml:space="preserve">
Adjustment to agree with 2002 RAM Decision</t>
        </r>
      </text>
    </comment>
  </commentList>
</comments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<sst xmlns="http://schemas.openxmlformats.org/spreadsheetml/2006/main" count="898" uniqueCount="506">
  <si>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</si>
  <si>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</si>
  <si>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</si>
  <si>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</si>
  <si>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</si>
  <si>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</si>
  <si>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</si>
  <si>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</si>
  <si>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</si>
  <si>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</si>
  <si>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</si>
  <si>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</si>
  <si>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</si>
  <si>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</si>
  <si>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</si>
  <si>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</si>
  <si>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</si>
  <si>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</si>
  <si>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</si>
  <si>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</si>
  <si>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</si>
  <si>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</si>
  <si>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</si>
  <si>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</si>
  <si>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</si>
  <si>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</si>
  <si>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</si>
  <si>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</si>
  <si>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</si>
  <si>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</si>
  <si>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</si>
  <si>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</si>
  <si>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</si>
  <si>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</si>
  <si>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</si>
  <si>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</si>
  <si>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</si>
  <si>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</si>
  <si>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</si>
  <si>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</si>
  <si>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</si>
  <si>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</si>
  <si>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</si>
  <si>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</si>
  <si>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</si>
  <si>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</si>
  <si>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</si>
  <si>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</si>
  <si>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</si>
  <si>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</si>
  <si>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</si>
  <si>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</si>
  <si>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</si>
  <si>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</si>
  <si>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</si>
  <si>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</si>
  <si>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</si>
  <si>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</si>
  <si>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</si>
  <si>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</si>
  <si>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</si>
  <si>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</si>
  <si>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</si>
  <si>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</si>
  <si>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</si>
  <si>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</si>
  <si>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</si>
  <si>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</si>
  <si>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</si>
  <si>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</si>
  <si>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</si>
  <si>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</si>
  <si>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</si>
  <si>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</si>
  <si>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</si>
  <si>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</si>
  <si>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</si>
  <si>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</si>
  <si>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</si>
  <si>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</si>
  <si>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</si>
  <si>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</si>
  <si>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</si>
  <si>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</si>
  <si>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</si>
  <si>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</si>
  <si>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</si>
  <si>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</si>
  <si>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</si>
  <si>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</si>
  <si>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</si>
  <si>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</si>
  <si>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</si>
  <si>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</si>
  <si>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</si>
  <si>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</si>
  <si>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</si>
  <si>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</si>
  <si>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</si>
  <si>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</si>
  <si>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</si>
  <si>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</si>
  <si>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</si>
  <si>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</si>
  <si>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</si>
  <si>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</si>
  <si>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</si>
  <si>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</si>
  <si>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</si>
  <si>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</si>
  <si>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</si>
  <si>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</si>
  <si>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</si>
  <si>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</si>
  <si>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</si>
  <si>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</si>
  <si>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</si>
  <si>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</si>
  <si>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</si>
  <si>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</si>
  <si>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</si>
  <si>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</si>
  <si>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</si>
  <si>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</si>
  <si>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</si>
  <si>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</si>
  <si>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</si>
  <si>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</si>
  <si>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</si>
  <si>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</si>
  <si>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</si>
  <si>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</si>
  <si>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</si>
  <si>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</si>
  <si>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</si>
  <si>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</si>
  <si>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</si>
  <si>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</si>
  <si>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</si>
  <si>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</si>
  <si>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</si>
  <si>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</si>
  <si>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</si>
  <si>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</si>
  <si>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</si>
  <si>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</si>
  <si>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</si>
  <si>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</si>
  <si>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</si>
  <si>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</si>
  <si>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</si>
  <si>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</si>
  <si>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</si>
  <si>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</si>
  <si>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</si>
  <si>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</si>
  <si>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</si>
  <si>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</si>
  <si>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</si>
  <si>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</si>
  <si>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</si>
  <si>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</si>
  <si>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</si>
  <si>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</si>
  <si>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</si>
  <si>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</si>
  <si>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</si>
  <si>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</si>
  <si>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</si>
  <si>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</si>
  <si>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</si>
  <si>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</si>
  <si>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</si>
  <si>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</si>
  <si>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</si>
  <si>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</si>
  <si>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</si>
  <si>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</si>
  <si>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</si>
  <si>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</si>
  <si>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</si>
  <si>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</si>
  <si>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</si>
  <si>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</si>
  <si>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</si>
  <si>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</si>
  <si>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</si>
  <si>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</si>
  <si>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</si>
  <si>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</si>
  <si>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</si>
  <si>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</si>
  <si>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</si>
  <si>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</si>
  <si>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</si>
  <si>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</si>
  <si>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</si>
  <si>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</si>
  <si>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</si>
  <si>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</si>
  <si>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</si>
  <si>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</si>
  <si>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</si>
  <si>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</si>
  <si>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</si>
  <si>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</si>
  <si>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</si>
  <si>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</si>
  <si>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</si>
  <si>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</si>
  <si>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</si>
  <si>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</si>
  <si>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</si>
  <si>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</si>
  <si>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</si>
  <si>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</si>
  <si>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</si>
  <si>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</si>
  <si>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</si>
  <si>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</si>
  <si>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</si>
  <si>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</si>
  <si>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</si>
  <si>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</si>
  <si>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</si>
  <si>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</si>
  <si>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</si>
  <si>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</si>
  <si>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</si>
  <si>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</si>
  <si>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</si>
  <si>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</si>
  <si>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</si>
  <si>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</si>
  <si>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</si>
  <si>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</si>
  <si>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</si>
  <si>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</si>
  <si>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</si>
  <si>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</si>
  <si>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</si>
  <si>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</si>
  <si>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</si>
  <si>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</si>
  <si>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</si>
  <si>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</si>
  <si>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</si>
  <si>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</si>
  <si>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</si>
  <si>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</si>
  <si>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</si>
  <si>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</si>
  <si>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</si>
  <si>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</si>
  <si>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</si>
  <si>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</si>
  <si>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</si>
  <si>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</si>
  <si>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</si>
  <si>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</si>
  <si>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</si>
  <si>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</si>
  <si>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</si>
  <si>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</si>
  <si>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</si>
  <si>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</si>
  <si>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</si>
  <si>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</si>
  <si>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</si>
  <si>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</si>
  <si>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</si>
  <si>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</si>
  <si>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</si>
  <si>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</si>
  <si>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</si>
  <si>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</si>
  <si>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</si>
  <si>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</si>
  <si>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</si>
  <si>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</si>
  <si>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</si>
  <si>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</si>
  <si>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</si>
  <si>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</si>
  <si>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</si>
  <si>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</si>
  <si>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</si>
  <si>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</si>
  <si>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</si>
  <si>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</si>
  <si>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</si>
  <si>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</si>
  <si>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</si>
  <si>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</si>
  <si>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</si>
  <si>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</si>
  <si>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</si>
  <si>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</si>
  <si>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</si>
  <si>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</si>
  <si>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</si>
  <si>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</si>
  <si>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</si>
  <si>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</si>
  <si>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</si>
  <si>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</si>
  <si>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</si>
  <si>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</si>
  <si>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</si>
  <si>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</si>
  <si>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</si>
  <si>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</si>
  <si>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</si>
  <si>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</si>
  <si>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</si>
  <si>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</si>
  <si>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</si>
  <si>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</si>
  <si>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</si>
  <si>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</si>
  <si>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</si>
  <si>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</si>
  <si>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</si>
  <si>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</si>
  <si>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</si>
  <si>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</si>
  <si>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</si>
  <si>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</si>
  <si>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</si>
  <si>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</si>
  <si>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</si>
  <si>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</si>
  <si>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</si>
  <si>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</si>
  <si>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</si>
  <si>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</si>
  <si>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</si>
  <si>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</si>
  <si>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</si>
  <si>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</si>
  <si>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</si>
  <si>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</si>
  <si>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</si>
  <si>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</si>
  <si>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</si>
  <si>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</si>
  <si>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</si>
  <si>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</si>
  <si>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</si>
  <si>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</si>
  <si>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</si>
  <si>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</si>
  <si>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</si>
  <si>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</si>
  <si>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</si>
  <si>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</si>
  <si>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</si>
  <si>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</si>
  <si>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</si>
  <si>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</si>
  <si>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</si>
  <si>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</si>
  <si>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</si>
  <si>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</si>
  <si>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</si>
  <si>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</si>
  <si>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</si>
  <si>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</si>
  <si>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</si>
  <si>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</si>
  <si>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</si>
  <si>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</si>
  <si>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</si>
  <si>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</si>
  <si>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</si>
  <si>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</si>
  <si>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</si>
  <si>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</si>
  <si>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</si>
  <si>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</si>
  <si>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</si>
  <si>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</si>
  <si>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</si>
  <si>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</si>
  <si>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</si>
  <si>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</si>
  <si>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</si>
  <si>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</si>
  <si>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</si>
  <si>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</si>
  <si>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</si>
  <si>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</si>
  <si>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</si>
  <si>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</si>
  <si>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</si>
  <si>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</si>
  <si>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</si>
  <si>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</si>
  <si>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</si>
  <si>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</si>
  <si>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</si>
  <si>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</si>
  <si>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</si>
  <si>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</si>
  <si>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</si>
  <si>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</si>
  <si>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</si>
  <si>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</si>
  <si>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</si>
  <si>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</si>
  <si>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</si>
  <si>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</si>
  <si>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</si>
  <si>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</si>
  <si>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</si>
  <si>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</si>
  <si>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</si>
  <si>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</si>
  <si>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</si>
  <si>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</si>
  <si>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</si>
  <si>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</si>
  <si>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</si>
  <si>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</si>
  <si>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</si>
  <si>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</si>
  <si>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</si>
  <si>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</si>
  <si>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</si>
  <si>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</si>
  <si>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</si>
  <si>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</si>
  <si>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</si>
  <si>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</si>
  <si>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</si>
  <si>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</si>
  <si>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</si>
  <si>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</si>
  <si>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</si>
  <si>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</si>
  <si>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</si>
  <si>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</si>
  <si>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</si>
  <si>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</si>
  <si>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</si>
  <si>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</si>
  <si>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</si>
  <si>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</si>
  <si>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</si>
  <si>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</si>
  <si>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</si>
  <si>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</si>
  <si>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</si>
  <si>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</si>
  <si>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</si>
  <si>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</si>
  <si>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</si>
  <si>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</si>
  <si>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</si>
  <si>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</si>
  <si>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</si>
  <si>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</si>
  <si>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</si>
  <si>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</si>
  <si>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</si>
  <si>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</si>
  <si>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</si>
  <si>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</si>
  <si>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</si>
  <si>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</si>
  <si>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</si>
  <si>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</si>
  <si>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</si>
  <si>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</si>
  <si>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</si>
  <si>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</si>
  <si>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</si>
  <si>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</si>
  <si>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</si>
  <si>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</si>
  <si>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</si>
  <si>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</si>
  <si>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</si>
  <si>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</si>
  <si>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</si>
  <si>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</si>
  <si>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</si>
  <si>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</si>
  <si>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</si>
  <si>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</si>
  <si>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</si>
  <si>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PILs TAXES - EB-2010-</t>
  </si>
  <si>
    <t>Other Liabilities (2405) - Allowance for doubtful accounts</t>
  </si>
  <si>
    <t>Prospectus &amp; underwriting fees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</si>
  <si>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</si>
  <si>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</si>
  <si>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</si>
  <si>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</si>
  <si>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</si>
  <si>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</si>
  <si>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Utility Name: Guelph Hydro Electric Systems Inc.</t>
  </si>
  <si>
    <t>Y</t>
  </si>
  <si>
    <t>N</t>
  </si>
  <si>
    <t>Other - EMPLOYEE FUTURE BENEFITS</t>
  </si>
  <si>
    <t>ONTARIO SPECIFIED TAX CREDITS</t>
  </si>
  <si>
    <t>PRE-MARKET OPENING ENERGY VARIANCE EXPENSES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</si>
</sst>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2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6" borderId="14" xfId="63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90" zoomScaleNormal="90" zoomScalePageLayoutView="0" workbookViewId="0" topLeftCell="A100">
      <selection activeCell="D23" sqref="D2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491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50" t="s">
        <v>445</v>
      </c>
      <c r="E3" s="8"/>
      <c r="F3" s="8"/>
      <c r="G3" s="8"/>
      <c r="H3" s="8"/>
    </row>
    <row r="4" spans="1:8" ht="12.75">
      <c r="A4" s="2" t="s">
        <v>473</v>
      </c>
      <c r="C4" s="8"/>
      <c r="D4" s="449" t="s">
        <v>440</v>
      </c>
      <c r="E4" s="423"/>
      <c r="H4" s="8"/>
    </row>
    <row r="5" spans="1:8" ht="12.75">
      <c r="A5" s="52"/>
      <c r="C5" s="8"/>
      <c r="D5" s="448" t="s">
        <v>441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253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502</v>
      </c>
    </row>
    <row r="18" spans="1:4" ht="15" customHeight="1">
      <c r="A18" s="390" t="s">
        <v>312</v>
      </c>
      <c r="C18" s="8"/>
      <c r="D18" s="8"/>
    </row>
    <row r="19" spans="1:4" ht="15" customHeight="1">
      <c r="A19" s="505" t="s">
        <v>313</v>
      </c>
      <c r="B19" s="8" t="s">
        <v>310</v>
      </c>
      <c r="C19" s="8" t="s">
        <v>64</v>
      </c>
      <c r="D19" s="389" t="s">
        <v>501</v>
      </c>
    </row>
    <row r="20" spans="1:4" ht="13.5" thickBot="1">
      <c r="A20" s="506"/>
      <c r="B20" s="8" t="s">
        <v>311</v>
      </c>
      <c r="C20" s="8" t="s">
        <v>64</v>
      </c>
      <c r="D20" s="258" t="s">
        <v>501</v>
      </c>
    </row>
    <row r="21" spans="1:4" ht="12.75">
      <c r="A21" s="505" t="s">
        <v>309</v>
      </c>
      <c r="B21" s="8" t="s">
        <v>310</v>
      </c>
      <c r="C21" s="8"/>
      <c r="D21" s="494">
        <v>0.98</v>
      </c>
    </row>
    <row r="22" spans="1:4" ht="12.75">
      <c r="A22" s="505"/>
      <c r="B22" s="8" t="s">
        <v>311</v>
      </c>
      <c r="C22" s="8"/>
      <c r="D22" s="494">
        <v>0.98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474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294</v>
      </c>
    </row>
    <row r="27" spans="1:5" ht="12.75">
      <c r="A27" s="256" t="s">
        <v>68</v>
      </c>
      <c r="C27" s="8"/>
      <c r="E27" s="439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2">
        <v>82918060</v>
      </c>
      <c r="H31" s="5"/>
    </row>
    <row r="32" ht="6" customHeight="1"/>
    <row r="33" spans="1:8" ht="12.75">
      <c r="A33" t="s">
        <v>71</v>
      </c>
      <c r="D33" s="48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3">
        <v>0.0988</v>
      </c>
      <c r="H37" s="41"/>
    </row>
    <row r="38" ht="4.5" customHeight="1">
      <c r="H38" s="34"/>
    </row>
    <row r="39" spans="1:8" ht="12.75">
      <c r="A39" t="s">
        <v>74</v>
      </c>
      <c r="D39" s="48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7101931.839000001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3632253</v>
      </c>
      <c r="E43" s="388">
        <f>D43</f>
        <v>3632253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3469678.8390000006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4">
        <v>1156560</v>
      </c>
      <c r="E47" s="388">
        <f aca="true" t="shared" si="0" ref="E47:E53">D47</f>
        <v>1156560</v>
      </c>
      <c r="H47" s="40"/>
      <c r="J47" s="5"/>
      <c r="K47" s="5"/>
    </row>
    <row r="48" spans="1:11" ht="12.75">
      <c r="A48" t="s">
        <v>287</v>
      </c>
      <c r="D48" s="484">
        <v>1156560</v>
      </c>
      <c r="E48" s="388">
        <f>D48</f>
        <v>1156560</v>
      </c>
      <c r="F48" s="22"/>
      <c r="H48" s="40"/>
      <c r="J48" s="5"/>
      <c r="K48" s="5"/>
    </row>
    <row r="49" spans="1:11" ht="12.75">
      <c r="A49" t="s">
        <v>288</v>
      </c>
      <c r="D49" s="485"/>
      <c r="E49" s="388">
        <v>0</v>
      </c>
      <c r="F49" s="22"/>
      <c r="H49" s="40"/>
      <c r="J49" s="5"/>
      <c r="K49" s="5"/>
    </row>
    <row r="50" spans="1:11" ht="12.75">
      <c r="A50" t="s">
        <v>289</v>
      </c>
      <c r="D50" s="423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3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3"/>
      <c r="E52" s="388">
        <f t="shared" si="0"/>
        <v>0</v>
      </c>
      <c r="H52" s="40"/>
      <c r="J52" s="5"/>
      <c r="K52" s="5"/>
    </row>
    <row r="53" spans="4:11" ht="12.75">
      <c r="D53" s="423"/>
      <c r="E53" s="388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5945373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41459030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4096152.164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41459030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3005779.675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2026788.9229422065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2516284.5446584937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2516284.5446584937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3005779.675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">
      <pane xSplit="1" ySplit="12" topLeftCell="B18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Guelph Hydro Electric Systems Inc.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</f>
        <v>5945373</v>
      </c>
      <c r="D16" s="17"/>
      <c r="E16" s="268">
        <f>G16-C16</f>
        <v>1961117</v>
      </c>
      <c r="F16" s="3"/>
      <c r="G16" s="268">
        <f>TAXREC!E50</f>
        <v>7906490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6">
        <f>4540301+31043</f>
        <v>4571344</v>
      </c>
      <c r="D20" s="18"/>
      <c r="E20" s="268">
        <f>G20-C20</f>
        <v>640044</v>
      </c>
      <c r="F20" s="6"/>
      <c r="G20" s="268">
        <f>TAXREC!E61</f>
        <v>5211388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261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260</v>
      </c>
      <c r="B23" s="127">
        <v>4</v>
      </c>
      <c r="C23" s="262"/>
      <c r="D23" s="18"/>
      <c r="E23" s="268">
        <f>G23-C23</f>
        <v>5648133</v>
      </c>
      <c r="F23" s="6"/>
      <c r="G23" s="268">
        <f>TAXREC!E64</f>
        <v>5648133</v>
      </c>
      <c r="H23" s="151"/>
    </row>
    <row r="24" spans="1:8" ht="12.75">
      <c r="A24" s="158" t="s">
        <v>262</v>
      </c>
      <c r="B24" s="127">
        <v>5</v>
      </c>
      <c r="C24" s="486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95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95"/>
      <c r="D27" s="18"/>
      <c r="E27" s="268">
        <f>G27-C27</f>
        <v>24458</v>
      </c>
      <c r="F27" s="6"/>
      <c r="G27" s="268">
        <f>TAXREC!E93</f>
        <v>24458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">
      <c r="A30" s="478" t="s">
        <v>393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6">
        <v>3197129</v>
      </c>
      <c r="D33" s="132"/>
      <c r="E33" s="268">
        <f aca="true" t="shared" si="0" ref="E33:E42">G33-C33</f>
        <v>2793348</v>
      </c>
      <c r="F33" s="6"/>
      <c r="G33" s="268">
        <f>TAXREC!E97+TAXREC!E98</f>
        <v>5990477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263</v>
      </c>
      <c r="B36" s="127">
        <v>10</v>
      </c>
      <c r="C36" s="486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503" t="s">
        <v>86</v>
      </c>
      <c r="B37" s="125">
        <v>11</v>
      </c>
      <c r="C37" s="261">
        <f>REGINFO!D66</f>
        <v>2516284.5446584937</v>
      </c>
      <c r="D37" s="132"/>
      <c r="E37" s="268">
        <f t="shared" si="0"/>
        <v>-333284.5446584937</v>
      </c>
      <c r="F37" s="6"/>
      <c r="G37" s="268">
        <f>TAXREC!E51</f>
        <v>2183000</v>
      </c>
      <c r="H37" s="151"/>
    </row>
    <row r="38" spans="1:8" ht="12.75">
      <c r="A38" s="155" t="s">
        <v>259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258</v>
      </c>
      <c r="B39" s="125">
        <v>4</v>
      </c>
      <c r="C39" s="262"/>
      <c r="D39" s="132"/>
      <c r="E39" s="268">
        <f t="shared" si="0"/>
        <v>5309804</v>
      </c>
      <c r="F39" s="6"/>
      <c r="G39" s="268">
        <f>TAXREC!E105</f>
        <v>5309804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92990</v>
      </c>
      <c r="F47" s="6"/>
      <c r="G47" s="251">
        <f>TAXREC!E111</f>
        <v>92990</v>
      </c>
      <c r="H47" s="151"/>
    </row>
    <row r="48" spans="1:8" ht="15">
      <c r="A48" s="478" t="s">
        <v>393</v>
      </c>
      <c r="B48" s="127"/>
      <c r="C48" s="260"/>
      <c r="D48" s="132"/>
      <c r="E48" s="268">
        <f>G48-C48</f>
        <v>1092863</v>
      </c>
      <c r="F48" s="6"/>
      <c r="G48" s="251">
        <f>TAXREC!E108</f>
        <v>1092863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4803303.455341507</v>
      </c>
      <c r="D50" s="102"/>
      <c r="E50" s="264">
        <f>E16+SUM(E20:E30)-SUM(E33:E48)</f>
        <v>-681968.4553415067</v>
      </c>
      <c r="F50" s="426" t="s">
        <v>365</v>
      </c>
      <c r="G50" s="264">
        <f>G16+SUM(G20:G30)-SUM(G33:G48)</f>
        <v>4121335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-0.03575508955229312</v>
      </c>
      <c r="F53" s="114"/>
      <c r="G53" s="468">
        <f>TAXREC!E151</f>
        <v>0.35044491044770687</v>
      </c>
      <c r="H53" s="151"/>
      <c r="I53" s="465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1855035.7944528898</v>
      </c>
      <c r="D55" s="102"/>
      <c r="E55" s="268">
        <f>G55-C55</f>
        <v>-483112.7944528898</v>
      </c>
      <c r="F55" s="426" t="s">
        <v>366</v>
      </c>
      <c r="G55" s="265">
        <f>TAXREC!E144</f>
        <v>1371923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366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1855035.7944528898</v>
      </c>
      <c r="D60" s="133"/>
      <c r="E60" s="270">
        <f>+E55-E58</f>
        <v>-483112.7944528898</v>
      </c>
      <c r="F60" s="426" t="s">
        <v>366</v>
      </c>
      <c r="G60" s="270">
        <f>+G55-G58</f>
        <v>1371923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82918060</v>
      </c>
      <c r="D66" s="102"/>
      <c r="E66" s="268">
        <f>G66-C66</f>
        <v>13340318</v>
      </c>
      <c r="F66" s="6"/>
      <c r="G66" s="487">
        <v>96258378</v>
      </c>
      <c r="H66" s="151"/>
      <c r="I66" s="471" t="s">
        <v>472</v>
      </c>
    </row>
    <row r="67" spans="1:10" ht="12.75">
      <c r="A67" s="152" t="s">
        <v>358</v>
      </c>
      <c r="B67" s="125">
        <v>16</v>
      </c>
      <c r="C67" s="261">
        <v>4906000</v>
      </c>
      <c r="D67" s="102"/>
      <c r="E67" s="268">
        <f>G67-C67</f>
        <v>-297771</v>
      </c>
      <c r="F67" s="6"/>
      <c r="G67" s="470">
        <v>4608229</v>
      </c>
      <c r="H67" s="151"/>
      <c r="I67" s="471" t="s">
        <v>472</v>
      </c>
      <c r="J67" s="472" t="s">
        <v>102</v>
      </c>
    </row>
    <row r="68" spans="1:8" ht="12.75">
      <c r="A68" s="152" t="s">
        <v>42</v>
      </c>
      <c r="B68" s="125"/>
      <c r="C68" s="265">
        <f>IF((C66-C67)&gt;0,C66-C67,0)</f>
        <v>78012060</v>
      </c>
      <c r="D68" s="102"/>
      <c r="E68" s="268">
        <f>SUM(E66:E67)</f>
        <v>13042547</v>
      </c>
      <c r="F68" s="114"/>
      <c r="G68" s="265">
        <f>G66-G67</f>
        <v>91650149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 t="s">
        <v>102</v>
      </c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234036.18000000002</v>
      </c>
      <c r="D72" s="101"/>
      <c r="E72" s="268">
        <f>+G72-C72</f>
        <v>40914.26699999996</v>
      </c>
      <c r="F72" s="473" t="s">
        <v>102</v>
      </c>
      <c r="G72" s="265">
        <f>IF(G68&gt;0,G68*G70,0)*REGINFO!$B$6/REGINFO!$B$7</f>
        <v>274950.447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82918060</v>
      </c>
      <c r="D75" s="102"/>
      <c r="E75" s="268">
        <f>+G75-C75</f>
        <v>15119447</v>
      </c>
      <c r="F75" s="6"/>
      <c r="G75" s="487">
        <v>98037507</v>
      </c>
      <c r="H75" s="151"/>
      <c r="I75" s="471" t="s">
        <v>472</v>
      </c>
    </row>
    <row r="76" spans="1:9" ht="12.75">
      <c r="A76" s="152" t="s">
        <v>358</v>
      </c>
      <c r="B76" s="125">
        <v>19</v>
      </c>
      <c r="C76" s="261">
        <v>9812000</v>
      </c>
      <c r="D76" s="18"/>
      <c r="E76" s="268">
        <f>+G76-C76</f>
        <v>188000</v>
      </c>
      <c r="F76" s="6"/>
      <c r="G76" s="487">
        <v>10000000</v>
      </c>
      <c r="H76" s="151"/>
      <c r="I76" s="471" t="s">
        <v>472</v>
      </c>
    </row>
    <row r="77" spans="1:8" ht="12.75">
      <c r="A77" s="152" t="s">
        <v>42</v>
      </c>
      <c r="B77" s="125"/>
      <c r="C77" s="265">
        <f>IF((C75-C76)&gt;0,C75-C76,0)</f>
        <v>73106060</v>
      </c>
      <c r="D77" s="19"/>
      <c r="E77" s="268">
        <f>SUM(E75:E76)</f>
        <v>15307447</v>
      </c>
      <c r="F77" s="114"/>
      <c r="G77" s="265">
        <f>G75-G76</f>
        <v>88037507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164488.63499999998</v>
      </c>
      <c r="D81" s="102"/>
      <c r="E81" s="268">
        <f>+G81-C81</f>
        <v>33595.75575000001</v>
      </c>
      <c r="F81" s="6"/>
      <c r="G81" s="265">
        <f>G77*G79*B9/B10</f>
        <v>198084.39075</v>
      </c>
      <c r="H81" s="151"/>
    </row>
    <row r="82" spans="1:8" ht="12.75">
      <c r="A82" s="152" t="s">
        <v>316</v>
      </c>
      <c r="B82" s="125">
        <v>21</v>
      </c>
      <c r="C82" s="301">
        <v>53450</v>
      </c>
      <c r="D82" s="102"/>
      <c r="E82" s="268">
        <f>+G82-C82</f>
        <v>-13610</v>
      </c>
      <c r="F82" s="6"/>
      <c r="G82" s="301">
        <v>39840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111038.63499999998</v>
      </c>
      <c r="D84" s="16"/>
      <c r="E84" s="268">
        <f>E81-E82</f>
        <v>47205.75575000001</v>
      </c>
      <c r="F84" s="103"/>
      <c r="G84" s="265">
        <f>G81-G82</f>
        <v>158244.39075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5">
        <f>C60/(1-C88)</f>
        <v>2968057.2711246237</v>
      </c>
      <c r="D90" s="20"/>
      <c r="E90" s="139"/>
      <c r="F90" s="425" t="s">
        <v>482</v>
      </c>
      <c r="G90" s="271">
        <f>TAXREC!E156</f>
        <v>1371923</v>
      </c>
      <c r="H90" s="151"/>
    </row>
    <row r="91" spans="1:8" ht="12.75">
      <c r="A91" s="158" t="s">
        <v>368</v>
      </c>
      <c r="B91" s="127">
        <v>23</v>
      </c>
      <c r="C91" s="265">
        <f>C84/(1-C88)</f>
        <v>177661.81599999996</v>
      </c>
      <c r="D91" s="20"/>
      <c r="E91" s="139"/>
      <c r="F91" s="425" t="s">
        <v>482</v>
      </c>
      <c r="G91" s="271">
        <f>TAXREC!E158</f>
        <v>158244</v>
      </c>
      <c r="H91" s="151"/>
    </row>
    <row r="92" spans="1:8" ht="12.75">
      <c r="A92" s="158" t="s">
        <v>346</v>
      </c>
      <c r="B92" s="127">
        <v>24</v>
      </c>
      <c r="C92" s="265">
        <f>C72</f>
        <v>234036.18000000002</v>
      </c>
      <c r="D92" s="20"/>
      <c r="E92" s="139"/>
      <c r="F92" s="425" t="s">
        <v>482</v>
      </c>
      <c r="G92" s="271">
        <f>TAXREC!E157</f>
        <v>274950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483</v>
      </c>
      <c r="B95" s="125">
        <v>25</v>
      </c>
      <c r="C95" s="270">
        <f>SUM(C90:C93)</f>
        <v>3379755.267124624</v>
      </c>
      <c r="D95" s="6"/>
      <c r="E95" s="139"/>
      <c r="F95" s="425" t="s">
        <v>482</v>
      </c>
      <c r="G95" s="413">
        <f>SUM(G90:G94)</f>
        <v>1805117</v>
      </c>
      <c r="H95" s="164"/>
    </row>
    <row r="96" spans="1:8" ht="12.75">
      <c r="A96" s="404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5648133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3" t="s">
        <v>499</v>
      </c>
      <c r="B112" s="127">
        <v>11</v>
      </c>
      <c r="C112" s="112"/>
      <c r="D112" s="3"/>
      <c r="E112" s="467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5309804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338329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230</v>
      </c>
      <c r="E122" s="464">
        <v>0.375</v>
      </c>
      <c r="F122" s="465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126873.375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126873.375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4"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264">
        <f>E128/(1-E130)</f>
        <v>202997.4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189</v>
      </c>
      <c r="E136" s="303">
        <f>C50</f>
        <v>4803303.455341507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64"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4">
        <f>IF(E136&gt;0,E136*E138,0)</f>
        <v>1855035.7944528898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3">
        <f>E140-E142</f>
        <v>1855035.7944528898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238</v>
      </c>
      <c r="B146" s="130"/>
      <c r="C146" s="112"/>
      <c r="D146" s="118" t="s">
        <v>188</v>
      </c>
      <c r="E146" s="303">
        <f>C60</f>
        <v>1855035.7944528898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3">
        <f>E144-E146+0.6</f>
        <v>0.6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7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82918060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6">
        <f>IF(E151&gt;0,'Tax Rates'!C39,0)</f>
        <v>4906000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3">
        <f>E151-E152</f>
        <v>78012060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230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3">
        <f>IF(E153&gt;0,E153*E155*B9/B10,0)</f>
        <v>234036.18000000002</v>
      </c>
      <c r="F157" s="37"/>
      <c r="G157" s="201"/>
      <c r="H157" s="164"/>
    </row>
    <row r="158" spans="1:8" ht="26.25">
      <c r="A158" s="171" t="s">
        <v>306</v>
      </c>
      <c r="B158" s="130"/>
      <c r="C158" s="112"/>
      <c r="D158" s="118" t="s">
        <v>188</v>
      </c>
      <c r="E158" s="306">
        <f>C72</f>
        <v>234036.18000000002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82918060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6">
        <f>IF(E162&gt;0,'Tax Rates'!C40,0)</f>
        <v>9812000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73106060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164488.63499999998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53796.99869982487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110691.6363001751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6">
        <f>C84</f>
        <v>111038.63499999998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9">
        <f>E170-E172</f>
        <v>-346.9986998248787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4">
        <v>0.375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0.96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-555.1979197198059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303">
        <f>SUM(E177:E179)</f>
        <v>-554.2379197198059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343</v>
      </c>
      <c r="B183" s="130"/>
      <c r="C183" s="112"/>
      <c r="D183" s="119" t="s">
        <v>187</v>
      </c>
      <c r="E183" s="303">
        <f>E132</f>
        <v>202997.4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352</v>
      </c>
      <c r="B185" s="130"/>
      <c r="C185" s="112"/>
      <c r="D185" s="119" t="s">
        <v>189</v>
      </c>
      <c r="E185" s="303">
        <f>E181+E183</f>
        <v>202443.1620802802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9">
        <f>REGINFO!D62</f>
        <v>3005779.675</v>
      </c>
      <c r="F193" s="3"/>
      <c r="G193" s="123"/>
      <c r="H193" s="164"/>
    </row>
    <row r="194" spans="1:8" ht="12.75">
      <c r="A194" s="503" t="s">
        <v>496</v>
      </c>
      <c r="B194" s="127"/>
      <c r="C194" s="112"/>
      <c r="D194" s="120"/>
      <c r="E194" s="309">
        <f>C37</f>
        <v>2516284.5446584937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489495.1303415061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1"/>
      <c r="H200" s="164"/>
    </row>
    <row r="201" spans="1:8" ht="12.75">
      <c r="A201" s="503" t="s">
        <v>497</v>
      </c>
      <c r="B201" s="127"/>
      <c r="C201" s="112"/>
      <c r="D201" s="120"/>
      <c r="E201" s="309">
        <f>G37+G42</f>
        <v>2183000</v>
      </c>
      <c r="F201" s="3"/>
      <c r="G201" s="481"/>
      <c r="H201" s="164"/>
    </row>
    <row r="202" spans="1:8" ht="12.75">
      <c r="A202" s="503" t="s">
        <v>494</v>
      </c>
      <c r="B202" s="127"/>
      <c r="C202" s="112"/>
      <c r="D202" s="120"/>
      <c r="E202" s="309">
        <f>REGINFO!D62</f>
        <v>3005779.675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498</v>
      </c>
      <c r="B206" s="127"/>
      <c r="C206" s="112"/>
      <c r="D206" s="120"/>
      <c r="E206" s="466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10">
        <f>+E196-E204</f>
        <v>489495.1303415061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">
      <pane xSplit="1" ySplit="5" topLeftCell="B1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5" sqref="F15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Guelph Hydro Electric Systems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0.0025*Ratebase*REGINFO!D33</f>
        <v>103647.575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501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502</v>
      </c>
      <c r="D15" s="25"/>
      <c r="E15" s="25"/>
      <c r="F15" s="20"/>
      <c r="G15" s="3"/>
      <c r="H15" s="3"/>
      <c r="I15" s="3"/>
    </row>
    <row r="16" spans="1:9" ht="12.75">
      <c r="A16" s="300" t="s">
        <v>227</v>
      </c>
      <c r="B16" s="20" t="s">
        <v>64</v>
      </c>
      <c r="C16" s="8" t="s">
        <v>502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501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323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256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321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322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88">
        <v>108679000</v>
      </c>
      <c r="D31" s="287"/>
      <c r="E31" s="285">
        <f>C31-D31</f>
        <v>108679000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8">
        <v>19012000</v>
      </c>
      <c r="D32" s="287"/>
      <c r="E32" s="285">
        <f>C32-D32</f>
        <v>19012000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1412000</v>
      </c>
      <c r="D33" s="287"/>
      <c r="E33" s="285">
        <f>C33-D33</f>
        <v>1412000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8">
        <v>108679000</v>
      </c>
      <c r="D39" s="287"/>
      <c r="E39" s="285">
        <f>C39-D39</f>
        <v>108679000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8">
        <f>2783000+1159000+115000-277327-490</f>
        <v>3779183</v>
      </c>
      <c r="D40" s="287"/>
      <c r="E40" s="285">
        <f aca="true" t="shared" si="0" ref="E40:E48">C40-D40</f>
        <v>3779183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>
        <v>1202000</v>
      </c>
      <c r="D41" s="287"/>
      <c r="E41" s="285">
        <f t="shared" si="0"/>
        <v>1202000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>
        <f>1007000+1597000</f>
        <v>2604000</v>
      </c>
      <c r="D42" s="287"/>
      <c r="E42" s="285">
        <f t="shared" si="0"/>
        <v>2604000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88">
        <v>4655000</v>
      </c>
      <c r="D43" s="287"/>
      <c r="E43" s="285">
        <f t="shared" si="0"/>
        <v>4655000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88">
        <v>277327</v>
      </c>
      <c r="D44" s="287"/>
      <c r="E44" s="285">
        <f t="shared" si="0"/>
        <v>277327</v>
      </c>
      <c r="F44" s="11"/>
      <c r="G44" s="11"/>
      <c r="H44" s="6"/>
      <c r="I44" s="6"/>
    </row>
    <row r="45" spans="1:11" ht="12.75">
      <c r="A45" s="4" t="s">
        <v>489</v>
      </c>
      <c r="B45" s="23" t="s">
        <v>188</v>
      </c>
      <c r="C45" s="488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7906490</v>
      </c>
      <c r="D50" s="282">
        <f>SUM(D31:D36)-SUM(D39:D49)</f>
        <v>0</v>
      </c>
      <c r="E50" s="282">
        <f>SUM(E31:E35)-SUM(E39:E48)</f>
        <v>7906490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2183000</v>
      </c>
      <c r="D51" s="286"/>
      <c r="E51" s="283">
        <f>+C51-D51</f>
        <v>2183000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8">
        <v>2113000</v>
      </c>
      <c r="D52" s="286"/>
      <c r="E52" s="284">
        <f>+C52-D52</f>
        <v>2113000</v>
      </c>
      <c r="F52" s="8"/>
    </row>
    <row r="53" spans="1:6" ht="12.75">
      <c r="A53" s="2" t="s">
        <v>131</v>
      </c>
      <c r="B53" s="8" t="s">
        <v>189</v>
      </c>
      <c r="C53" s="282">
        <f>C50-C51-C52</f>
        <v>3610490</v>
      </c>
      <c r="D53" s="282">
        <f>D50-D51-D52</f>
        <v>0</v>
      </c>
      <c r="E53" s="282">
        <f>E50-E51-E52</f>
        <v>3610490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2113000</v>
      </c>
      <c r="D59" s="288">
        <f>D52</f>
        <v>0</v>
      </c>
      <c r="E59" s="273">
        <f>+C59-D59</f>
        <v>2113000</v>
      </c>
      <c r="F59" s="8"/>
    </row>
    <row r="60" spans="1:6" ht="12.75">
      <c r="A60" s="4" t="s">
        <v>324</v>
      </c>
      <c r="B60" s="8" t="s">
        <v>187</v>
      </c>
      <c r="C60" s="489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4">
        <f>5051820+159568</f>
        <v>5211388</v>
      </c>
      <c r="D61" s="288">
        <f>D43</f>
        <v>0</v>
      </c>
      <c r="E61" s="273">
        <f>+C61-D61</f>
        <v>5211388</v>
      </c>
      <c r="F61" s="8"/>
      <c r="G61" s="415"/>
    </row>
    <row r="62" spans="1:6" ht="12.75">
      <c r="A62" t="s">
        <v>6</v>
      </c>
      <c r="B62" s="8" t="s">
        <v>187</v>
      </c>
      <c r="C62" s="489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5648133</v>
      </c>
      <c r="D64" s="317">
        <f>'Tax Reserves'!D63</f>
        <v>0</v>
      </c>
      <c r="E64" s="273">
        <f>+C64-D64</f>
        <v>5648133</v>
      </c>
      <c r="F64" s="8"/>
    </row>
    <row r="65" spans="1:6" ht="12.75">
      <c r="A65" t="s">
        <v>442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2" t="s">
        <v>393</v>
      </c>
      <c r="B66" s="8"/>
      <c r="C66" s="441">
        <f>'TAXREC 3 No True-up'!C50</f>
        <v>0</v>
      </c>
      <c r="D66" s="441">
        <f>'TAXREC 3 No True-up'!D50</f>
        <v>0</v>
      </c>
      <c r="E66" s="273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12972521</v>
      </c>
      <c r="D70" s="273">
        <f>SUM(D59:D68)</f>
        <v>0</v>
      </c>
      <c r="E70" s="273">
        <f>SUM(E59:E68)</f>
        <v>12972521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9522</v>
      </c>
      <c r="D74" s="295"/>
      <c r="E74" s="273">
        <f t="shared" si="1"/>
        <v>9522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>
        <v>13078</v>
      </c>
      <c r="D75" s="295"/>
      <c r="E75" s="273">
        <f t="shared" si="1"/>
        <v>13078</v>
      </c>
      <c r="F75" s="8"/>
      <c r="G75" s="76"/>
      <c r="H75" s="77"/>
      <c r="I75" s="78"/>
      <c r="J75" s="77"/>
      <c r="K75" s="77"/>
    </row>
    <row r="76" spans="1:11" ht="12.75">
      <c r="A76" s="65" t="s">
        <v>504</v>
      </c>
      <c r="B76" s="8" t="s">
        <v>187</v>
      </c>
      <c r="C76" s="475">
        <v>1858</v>
      </c>
      <c r="D76" s="295"/>
      <c r="E76" s="476">
        <f t="shared" si="1"/>
        <v>1858</v>
      </c>
      <c r="F76" s="8"/>
      <c r="G76" s="76"/>
      <c r="H76" s="77"/>
      <c r="I76" s="78"/>
      <c r="J76" s="77"/>
      <c r="K76" s="77"/>
    </row>
    <row r="77" spans="1:11" ht="12.75">
      <c r="A77" s="68" t="s">
        <v>102</v>
      </c>
      <c r="B77" s="8" t="s">
        <v>187</v>
      </c>
      <c r="C77" s="295">
        <v>0</v>
      </c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8" t="s">
        <v>102</v>
      </c>
      <c r="B78" s="8" t="s">
        <v>187</v>
      </c>
      <c r="C78" s="295">
        <v>0</v>
      </c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24458</v>
      </c>
      <c r="D80" s="251">
        <f>SUM(D73:D79)</f>
        <v>0</v>
      </c>
      <c r="E80" s="251">
        <f>SUM(E73:E79)</f>
        <v>24458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12996979</v>
      </c>
      <c r="D82" s="251">
        <f>D70+D80</f>
        <v>0</v>
      </c>
      <c r="E82" s="251">
        <f>E70+E80</f>
        <v>12996979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430</v>
      </c>
      <c r="B93" s="274"/>
      <c r="C93" s="251">
        <f>C80-C92</f>
        <v>24458</v>
      </c>
      <c r="D93" s="251">
        <f>D80-D92</f>
        <v>0</v>
      </c>
      <c r="E93" s="251">
        <f>E80-E92</f>
        <v>24458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24458</v>
      </c>
      <c r="D94" s="251">
        <f>D92+D93</f>
        <v>0</v>
      </c>
      <c r="E94" s="251">
        <f>E92+E93</f>
        <v>24458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0">
        <v>5596196</v>
      </c>
      <c r="D97" s="295"/>
      <c r="E97" s="273">
        <f>+C97-D97</f>
        <v>5596196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394281</v>
      </c>
      <c r="D98" s="295"/>
      <c r="E98" s="273">
        <f>+C98-D98</f>
        <v>394281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0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19">
        <f>'Tax Reserves'!C50</f>
        <v>5309804</v>
      </c>
      <c r="D105" s="319">
        <f>'Tax Reserves'!D50</f>
        <v>0</v>
      </c>
      <c r="E105" s="283">
        <f t="shared" si="5"/>
        <v>5309804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393</v>
      </c>
      <c r="B108" s="8"/>
      <c r="C108" s="254">
        <f>'TAXREC 3 No True-up'!C76</f>
        <v>1092863</v>
      </c>
      <c r="D108" s="254">
        <f>'TAXREC 3 No True-up'!D76</f>
        <v>0</v>
      </c>
      <c r="E108" s="273">
        <f t="shared" si="5"/>
        <v>1092863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0</v>
      </c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92990</v>
      </c>
      <c r="D111" s="251">
        <f>'TAXREC 2'!D120</f>
        <v>0</v>
      </c>
      <c r="E111" s="251">
        <f>'TAXREC 2'!E120</f>
        <v>92990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12486134</v>
      </c>
      <c r="D113" s="251">
        <f>SUM(D97:D111)</f>
        <v>0</v>
      </c>
      <c r="E113" s="251">
        <f>SUM(E97:E111)</f>
        <v>12486134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102</v>
      </c>
      <c r="B116" s="8" t="s">
        <v>188</v>
      </c>
      <c r="C116" s="295">
        <v>0</v>
      </c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102</v>
      </c>
      <c r="B117" s="8" t="s">
        <v>188</v>
      </c>
      <c r="C117" s="295">
        <v>0</v>
      </c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 t="s">
        <v>102</v>
      </c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12486134</v>
      </c>
      <c r="D122" s="251">
        <f>D113+D120</f>
        <v>0</v>
      </c>
      <c r="E122" s="251">
        <f>+E113+E120</f>
        <v>12486134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4121335</v>
      </c>
      <c r="D134" s="251">
        <f>D53+D82-D122</f>
        <v>0</v>
      </c>
      <c r="E134" s="251">
        <f>E53+E82-E122</f>
        <v>4121335</v>
      </c>
      <c r="F134" s="8"/>
      <c r="G134" s="30">
        <f>E134-3092539</f>
        <v>1028796</v>
      </c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>
        <f>G134/2</f>
        <v>514398</v>
      </c>
      <c r="H135" s="45"/>
      <c r="I135" s="480"/>
      <c r="J135" s="45"/>
      <c r="K135" s="45"/>
    </row>
    <row r="136" spans="1:11" ht="12.75">
      <c r="A136" s="12" t="s">
        <v>373</v>
      </c>
      <c r="B136" s="8" t="s">
        <v>188</v>
      </c>
      <c r="C136" s="490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4121335</v>
      </c>
      <c r="D139" s="252">
        <f>D134-D136-D137-D138</f>
        <v>0</v>
      </c>
      <c r="E139" s="252">
        <f>E134-E136-E137-E138</f>
        <v>4121335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1">
        <v>929134</v>
      </c>
      <c r="D142" s="299"/>
      <c r="E142" s="252">
        <f>C142-D142</f>
        <v>929134</v>
      </c>
      <c r="F142" s="8"/>
      <c r="G142" s="45" t="s">
        <v>490</v>
      </c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1">
        <v>442789</v>
      </c>
      <c r="D143" s="299"/>
      <c r="E143" s="293">
        <f>C143-D143</f>
        <v>442789</v>
      </c>
      <c r="F143" s="8"/>
      <c r="G143" s="45" t="s">
        <v>490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1371923</v>
      </c>
      <c r="D144" s="252">
        <f>D142+D143</f>
        <v>0</v>
      </c>
      <c r="E144" s="252">
        <f>E142+E143</f>
        <v>1371923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1371923</v>
      </c>
      <c r="D146" s="252">
        <f>D144-D145</f>
        <v>0</v>
      </c>
      <c r="E146" s="252">
        <f>E144-E145</f>
        <v>1371923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5">
        <f>C142/C139</f>
        <v>0.22544491044770687</v>
      </c>
      <c r="D149" s="5"/>
      <c r="E149" s="502">
        <f>C149</f>
        <v>0.22544491044770687</v>
      </c>
      <c r="F149" s="8"/>
      <c r="G149" s="45" t="s">
        <v>467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05">
        <v>0.125</v>
      </c>
      <c r="D150" s="5"/>
      <c r="E150" s="502">
        <f>C150</f>
        <v>0.125</v>
      </c>
      <c r="F150" s="8"/>
      <c r="G150" s="45" t="s">
        <v>468</v>
      </c>
      <c r="H150" s="45"/>
      <c r="I150" s="45"/>
      <c r="J150" s="45"/>
      <c r="K150" s="45"/>
    </row>
    <row r="151" spans="1:11" ht="12.75">
      <c r="A151" t="s">
        <v>328</v>
      </c>
      <c r="B151" s="8"/>
      <c r="C151" s="504">
        <f>SUM(C149:C150)</f>
        <v>0.35044491044770687</v>
      </c>
      <c r="D151" s="479" t="s">
        <v>484</v>
      </c>
      <c r="E151" s="504">
        <f>SUM(E149:E150)</f>
        <v>0.35044491044770687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1371923</v>
      </c>
      <c r="D156" s="251">
        <f>D146</f>
        <v>0</v>
      </c>
      <c r="E156" s="251">
        <f>E146</f>
        <v>1371923</v>
      </c>
    </row>
    <row r="157" spans="1:5" ht="12.75">
      <c r="A157" t="s">
        <v>20</v>
      </c>
      <c r="B157" s="86" t="s">
        <v>187</v>
      </c>
      <c r="C157" s="492">
        <v>274950</v>
      </c>
      <c r="D157" s="251"/>
      <c r="E157" s="251">
        <f>C157+D157</f>
        <v>274950</v>
      </c>
    </row>
    <row r="158" spans="1:5" ht="12.75">
      <c r="A158" t="s">
        <v>218</v>
      </c>
      <c r="B158" s="86" t="s">
        <v>187</v>
      </c>
      <c r="C158" s="492">
        <v>158244</v>
      </c>
      <c r="D158" s="251"/>
      <c r="E158" s="251">
        <f>C158+D158</f>
        <v>158244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1805117</v>
      </c>
      <c r="D160" s="251">
        <f>D156+D157+D158</f>
        <v>0</v>
      </c>
      <c r="E160" s="251">
        <f>E156+E157+E158</f>
        <v>1805117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Guelph Hydro Electric Systems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447</v>
      </c>
      <c r="B18" s="61"/>
      <c r="C18" s="295">
        <v>0</v>
      </c>
      <c r="D18" s="295"/>
      <c r="E18" s="251">
        <f t="shared" si="0"/>
        <v>0</v>
      </c>
    </row>
    <row r="19" spans="1:5" ht="12.75">
      <c r="A19" s="61" t="s">
        <v>447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447</v>
      </c>
      <c r="B30" s="61"/>
      <c r="C30" s="295">
        <v>0</v>
      </c>
      <c r="D30" s="295"/>
      <c r="E30" s="251">
        <f t="shared" si="1"/>
        <v>0</v>
      </c>
    </row>
    <row r="31" spans="1:5" ht="12.75">
      <c r="A31" s="61" t="s">
        <v>447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5"/>
      <c r="D43" s="295"/>
      <c r="E43" s="251">
        <f t="shared" si="2"/>
        <v>0</v>
      </c>
    </row>
    <row r="44" spans="1:5" ht="12.75">
      <c r="A44" s="61" t="s">
        <v>265</v>
      </c>
      <c r="B44" s="61"/>
      <c r="C44" s="295"/>
      <c r="D44" s="295"/>
      <c r="E44" s="251">
        <f t="shared" si="2"/>
        <v>0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503</v>
      </c>
      <c r="B47" s="61"/>
      <c r="C47" s="295">
        <v>5309804</v>
      </c>
      <c r="D47" s="295"/>
      <c r="E47" s="251">
        <f t="shared" si="2"/>
        <v>5309804</v>
      </c>
    </row>
    <row r="48" spans="1:5" ht="12.75">
      <c r="A48" s="61" t="s">
        <v>447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5309804</v>
      </c>
      <c r="D50" s="251">
        <f>SUM(D41:D49)</f>
        <v>0</v>
      </c>
      <c r="E50" s="251">
        <f>SUM(E41:E49)</f>
        <v>5309804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5"/>
      <c r="D55" s="295"/>
      <c r="E55" s="251">
        <f t="shared" si="3"/>
        <v>0</v>
      </c>
    </row>
    <row r="56" spans="1:5" ht="12.75">
      <c r="A56" s="495" t="s">
        <v>492</v>
      </c>
      <c r="B56" s="61"/>
      <c r="C56" s="295">
        <v>0</v>
      </c>
      <c r="D56" s="295"/>
      <c r="E56" s="251">
        <f t="shared" si="3"/>
        <v>0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503</v>
      </c>
      <c r="B59" s="61"/>
      <c r="C59" s="295">
        <v>5648133</v>
      </c>
      <c r="D59" s="295"/>
      <c r="E59" s="251">
        <f t="shared" si="3"/>
        <v>5648133</v>
      </c>
    </row>
    <row r="60" spans="1:5" ht="12.75">
      <c r="A60" s="61" t="s">
        <v>447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5648133</v>
      </c>
      <c r="D63" s="251">
        <f>SUM(D53:D61)</f>
        <v>0</v>
      </c>
      <c r="E63" s="251">
        <f>SUM(E53:E61)</f>
        <v>5648133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3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Guelph Hydro Electric Systems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103647.575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250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448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251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475</v>
      </c>
      <c r="B36" t="s">
        <v>187</v>
      </c>
      <c r="C36" s="493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501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92990</v>
      </c>
      <c r="D82" s="295"/>
      <c r="E82" s="251">
        <f>C82-D82</f>
        <v>92990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252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90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6"/>
      <c r="B92" s="8" t="s">
        <v>188</v>
      </c>
      <c r="C92" s="295"/>
      <c r="D92" s="295"/>
      <c r="E92" s="251"/>
    </row>
    <row r="93" spans="1:5" ht="12.75">
      <c r="A93" s="496" t="s">
        <v>495</v>
      </c>
      <c r="B93" s="8" t="s">
        <v>188</v>
      </c>
      <c r="C93" s="295">
        <v>0</v>
      </c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490"/>
      <c r="D96" s="295"/>
      <c r="E96" s="251">
        <f t="shared" si="5"/>
        <v>0</v>
      </c>
    </row>
    <row r="97" spans="1:5" ht="12.75">
      <c r="A97" s="67" t="s">
        <v>493</v>
      </c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92990</v>
      </c>
      <c r="D99" s="251">
        <f>SUM(D82:D98)</f>
        <v>0</v>
      </c>
      <c r="E99" s="251">
        <f>SUM(E82:E98)</f>
        <v>92990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IF($E93&gt;$C$11,A93,"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92990</v>
      </c>
      <c r="D120" s="251">
        <f>D99-D119</f>
        <v>0</v>
      </c>
      <c r="E120" s="251">
        <f>E99-E119</f>
        <v>92990</v>
      </c>
    </row>
    <row r="121" spans="1:5" ht="12.75">
      <c r="A121" s="279" t="s">
        <v>171</v>
      </c>
      <c r="B121" s="274"/>
      <c r="C121" s="251">
        <f>C119+C120</f>
        <v>92990</v>
      </c>
      <c r="D121" s="251">
        <f>D119+D120</f>
        <v>0</v>
      </c>
      <c r="E121" s="251">
        <f>E119+E120</f>
        <v>92990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3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63" sqref="A6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">
      <c r="A4" s="459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1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Guelph Hydro Electric Systems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452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389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453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436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388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387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431</v>
      </c>
      <c r="B32" t="s">
        <v>187</v>
      </c>
      <c r="C32" s="493"/>
      <c r="D32" s="296"/>
      <c r="E32" s="313">
        <f t="shared" si="0"/>
        <v>0</v>
      </c>
    </row>
    <row r="33" spans="1:5" ht="12.75">
      <c r="A33" s="67" t="s">
        <v>432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449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450</v>
      </c>
      <c r="C35" s="493"/>
      <c r="D35" s="296"/>
      <c r="E35" s="313">
        <f t="shared" si="0"/>
        <v>0</v>
      </c>
    </row>
    <row r="36" spans="1:5" ht="12.75">
      <c r="A36" s="67" t="s">
        <v>433</v>
      </c>
      <c r="C36" s="296"/>
      <c r="D36" s="296"/>
      <c r="E36" s="313">
        <f t="shared" si="0"/>
        <v>0</v>
      </c>
    </row>
    <row r="37" spans="1:5" ht="12.75">
      <c r="A37" s="67" t="s">
        <v>434</v>
      </c>
      <c r="C37" s="296"/>
      <c r="D37" s="296"/>
      <c r="E37" s="313">
        <f t="shared" si="0"/>
        <v>0</v>
      </c>
    </row>
    <row r="38" spans="1:5" ht="12.75">
      <c r="A38" s="67" t="s">
        <v>456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391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385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8" t="s">
        <v>102</v>
      </c>
      <c r="B44" t="s">
        <v>187</v>
      </c>
      <c r="C44" s="295">
        <v>0</v>
      </c>
      <c r="D44" s="295"/>
      <c r="E44" s="251">
        <f t="shared" si="0"/>
        <v>0</v>
      </c>
    </row>
    <row r="45" spans="1:5" ht="12.75">
      <c r="A45" s="497" t="s">
        <v>102</v>
      </c>
      <c r="B45" t="s">
        <v>187</v>
      </c>
      <c r="C45" s="295">
        <v>0</v>
      </c>
      <c r="D45" s="295"/>
      <c r="E45" s="251">
        <f t="shared" si="0"/>
        <v>0</v>
      </c>
    </row>
    <row r="46" spans="1:5" ht="12.75">
      <c r="A46" s="497" t="s">
        <v>102</v>
      </c>
      <c r="C46" s="295">
        <v>0</v>
      </c>
      <c r="D46" s="295"/>
      <c r="E46" s="280"/>
    </row>
    <row r="47" spans="1:5" ht="12.75">
      <c r="A47" s="497" t="s">
        <v>102</v>
      </c>
      <c r="C47" s="295">
        <v>0</v>
      </c>
      <c r="D47" s="295"/>
      <c r="E47" s="280"/>
    </row>
    <row r="48" spans="1:5" ht="12.75">
      <c r="A48" s="497" t="s">
        <v>102</v>
      </c>
      <c r="C48" s="295">
        <v>0</v>
      </c>
      <c r="D48" s="295"/>
      <c r="E48" s="280"/>
    </row>
    <row r="49" spans="1:5" ht="12.75">
      <c r="A49" s="67"/>
      <c r="B49" t="s">
        <v>187</v>
      </c>
      <c r="C49" s="295"/>
      <c r="D49" s="295"/>
      <c r="E49" s="280"/>
    </row>
    <row r="50" spans="1:5" ht="12.75">
      <c r="A50" s="444" t="s">
        <v>395</v>
      </c>
      <c r="B50" t="s">
        <v>189</v>
      </c>
      <c r="C50" s="251">
        <f>SUM(C19:C49)</f>
        <v>0</v>
      </c>
      <c r="D50" s="251">
        <f>SUM(D19:D49)</f>
        <v>0</v>
      </c>
      <c r="E50" s="251">
        <f>SUM(E19:E49)</f>
        <v>0</v>
      </c>
    </row>
    <row r="51" ht="12.75">
      <c r="A51" s="67"/>
    </row>
    <row r="52" ht="12.75">
      <c r="A52" s="81" t="s">
        <v>145</v>
      </c>
    </row>
    <row r="54" spans="1:5" ht="12.75">
      <c r="A54" s="71" t="s">
        <v>386</v>
      </c>
      <c r="B54" s="8" t="s">
        <v>188</v>
      </c>
      <c r="C54" s="295"/>
      <c r="D54" s="295"/>
      <c r="E54" s="251">
        <f aca="true" t="shared" si="1" ref="E54:E64">C54-D54</f>
        <v>0</v>
      </c>
    </row>
    <row r="55" spans="1:5" ht="12.75">
      <c r="A55" s="67" t="s">
        <v>452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t="s">
        <v>387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t="s">
        <v>435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455</v>
      </c>
      <c r="B59" s="8" t="s">
        <v>188</v>
      </c>
      <c r="C59" s="295"/>
      <c r="D59" s="295"/>
      <c r="E59" s="251">
        <f t="shared" si="1"/>
        <v>0</v>
      </c>
    </row>
    <row r="60" spans="1:5" ht="12.75">
      <c r="A60" s="2" t="s">
        <v>451</v>
      </c>
      <c r="B60" s="8" t="s">
        <v>188</v>
      </c>
      <c r="C60" s="295"/>
      <c r="D60" s="295"/>
      <c r="E60" s="251">
        <f t="shared" si="1"/>
        <v>0</v>
      </c>
    </row>
    <row r="61" spans="1:5" ht="12.75">
      <c r="A61" s="67" t="s">
        <v>454</v>
      </c>
      <c r="B61" s="8" t="s">
        <v>188</v>
      </c>
      <c r="C61" s="295"/>
      <c r="D61" s="295"/>
      <c r="E61" s="251">
        <f t="shared" si="1"/>
        <v>0</v>
      </c>
    </row>
    <row r="62" spans="1:5" ht="12.75">
      <c r="A62" s="67"/>
      <c r="B62" s="8" t="s">
        <v>188</v>
      </c>
      <c r="C62" s="295"/>
      <c r="D62" s="295"/>
      <c r="E62" s="251">
        <f t="shared" si="1"/>
        <v>0</v>
      </c>
    </row>
    <row r="63" spans="1:5" ht="12.75">
      <c r="A63" s="68" t="s">
        <v>505</v>
      </c>
      <c r="B63" s="8" t="s">
        <v>188</v>
      </c>
      <c r="C63" s="295">
        <v>815536</v>
      </c>
      <c r="D63" s="295"/>
      <c r="E63" s="251">
        <f t="shared" si="1"/>
        <v>815536</v>
      </c>
    </row>
    <row r="64" spans="2:5" ht="12.75">
      <c r="B64" s="8" t="s">
        <v>188</v>
      </c>
      <c r="C64" s="295"/>
      <c r="D64" s="295"/>
      <c r="E64" s="251">
        <f t="shared" si="1"/>
        <v>0</v>
      </c>
    </row>
    <row r="65" spans="2:5" ht="12.75">
      <c r="B65" s="8" t="s">
        <v>188</v>
      </c>
      <c r="C65" s="295"/>
      <c r="D65" s="295"/>
      <c r="E65" s="251">
        <f aca="true" t="shared" si="2" ref="E65:E75">C65-D65</f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463" t="s">
        <v>392</v>
      </c>
      <c r="B67" s="8" t="s">
        <v>188</v>
      </c>
      <c r="C67" s="295">
        <v>277327</v>
      </c>
      <c r="D67" s="295"/>
      <c r="E67" s="251">
        <f t="shared" si="2"/>
        <v>277327</v>
      </c>
    </row>
    <row r="68" spans="2:5" ht="12.75">
      <c r="B68" s="8" t="s">
        <v>188</v>
      </c>
      <c r="C68" s="295"/>
      <c r="D68" s="295"/>
      <c r="E68" s="251">
        <f t="shared" si="2"/>
        <v>0</v>
      </c>
    </row>
    <row r="69" spans="1:5" ht="12.75">
      <c r="A69" s="463" t="s">
        <v>385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8" t="s">
        <v>205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497" t="s">
        <v>102</v>
      </c>
      <c r="B72" s="8" t="s">
        <v>188</v>
      </c>
      <c r="C72" s="295">
        <v>0</v>
      </c>
      <c r="D72" s="295"/>
      <c r="E72" s="251">
        <f t="shared" si="2"/>
        <v>0</v>
      </c>
    </row>
    <row r="73" spans="1:5" ht="12.75">
      <c r="A73" s="497" t="s">
        <v>102</v>
      </c>
      <c r="B73" s="8" t="s">
        <v>188</v>
      </c>
      <c r="C73" s="295">
        <v>0</v>
      </c>
      <c r="D73" s="295"/>
      <c r="E73" s="251">
        <f t="shared" si="2"/>
        <v>0</v>
      </c>
    </row>
    <row r="74" spans="1:5" ht="12.75">
      <c r="A74" s="497" t="s">
        <v>102</v>
      </c>
      <c r="B74" s="8" t="s">
        <v>188</v>
      </c>
      <c r="C74" s="295">
        <v>0</v>
      </c>
      <c r="D74" s="295"/>
      <c r="E74" s="251">
        <f t="shared" si="2"/>
        <v>0</v>
      </c>
    </row>
    <row r="75" spans="1:5" ht="12.75">
      <c r="A75" s="67"/>
      <c r="B75" s="8" t="s">
        <v>188</v>
      </c>
      <c r="C75" s="295"/>
      <c r="D75" s="295"/>
      <c r="E75" s="280">
        <f t="shared" si="2"/>
        <v>0</v>
      </c>
    </row>
    <row r="76" spans="1:5" ht="12.75">
      <c r="A76" s="443" t="s">
        <v>394</v>
      </c>
      <c r="B76" s="8" t="s">
        <v>189</v>
      </c>
      <c r="C76" s="251">
        <f>SUM(C54:C75)</f>
        <v>1092863</v>
      </c>
      <c r="D76" s="251">
        <f>SUM(D54:D75)</f>
        <v>0</v>
      </c>
      <c r="E76" s="251">
        <f>SUM(E54:E75)</f>
        <v>1092863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27">
      <selection activeCell="F52" sqref="F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304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Guelph Hydro Electric Systems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3" t="s">
        <v>486</v>
      </c>
      <c r="B8" s="514"/>
      <c r="C8" s="514"/>
      <c r="D8" s="514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297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296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301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257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329</v>
      </c>
      <c r="B21" s="406" t="s">
        <v>470</v>
      </c>
      <c r="C21" s="362">
        <v>4606000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330</v>
      </c>
      <c r="B22" s="407" t="s">
        <v>471</v>
      </c>
      <c r="C22" s="363">
        <v>9812000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7" t="s">
        <v>488</v>
      </c>
      <c r="B23" s="508"/>
      <c r="C23" s="508"/>
      <c r="D23" s="508"/>
      <c r="E23" s="508"/>
      <c r="F23" s="508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5" t="s">
        <v>480</v>
      </c>
      <c r="B26" s="516"/>
      <c r="C26" s="516"/>
      <c r="D26" s="516"/>
      <c r="E26" s="516"/>
      <c r="F26" s="516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/>
      <c r="E28" s="370" t="s">
        <v>111</v>
      </c>
      <c r="F28" s="371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296</v>
      </c>
      <c r="B32" s="409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257</v>
      </c>
      <c r="B34" s="409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477</v>
      </c>
      <c r="B39" s="406" t="s">
        <v>470</v>
      </c>
      <c r="C39" s="362">
        <v>4906000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478</v>
      </c>
      <c r="B40" s="407" t="s">
        <v>471</v>
      </c>
      <c r="C40" s="363">
        <v>9812000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9" t="s">
        <v>332</v>
      </c>
      <c r="B41" s="508"/>
      <c r="C41" s="508"/>
      <c r="D41" s="508"/>
      <c r="E41" s="508"/>
      <c r="F41" s="508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0"/>
      <c r="B42" s="510"/>
      <c r="C42" s="510"/>
      <c r="D42" s="510"/>
      <c r="E42" s="510"/>
      <c r="F42" s="510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479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296</v>
      </c>
      <c r="B50" s="245"/>
      <c r="C50" s="352">
        <v>0.1312</v>
      </c>
      <c r="D50" s="352"/>
      <c r="E50" s="353">
        <v>0.2212</v>
      </c>
      <c r="F50" s="353">
        <f>TAXREC!C149</f>
        <v>0.22544491044770687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257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0.35044491044770687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347</v>
      </c>
      <c r="B57" s="406" t="s">
        <v>470</v>
      </c>
      <c r="C57" s="499">
        <v>4608229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348</v>
      </c>
      <c r="B58" s="407" t="s">
        <v>471</v>
      </c>
      <c r="C58" s="500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7" t="s">
        <v>349</v>
      </c>
      <c r="B59" s="511"/>
      <c r="C59" s="511"/>
      <c r="D59" s="511"/>
      <c r="E59" s="511"/>
      <c r="F59" s="511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2"/>
      <c r="B60" s="512"/>
      <c r="C60" s="512"/>
      <c r="D60" s="512"/>
      <c r="E60" s="512"/>
      <c r="F60" s="512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PageLayoutView="0" workbookViewId="0" topLeftCell="B16">
      <selection activeCell="S35" sqref="S3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Guelph Hydro Electric Systems Inc.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318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6.2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202997.4</v>
      </c>
      <c r="N15" s="392"/>
      <c r="O15" s="397">
        <f t="shared" si="0"/>
        <v>202997.4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-554.2379197198059</v>
      </c>
      <c r="N17" s="392"/>
      <c r="O17" s="397">
        <f t="shared" si="0"/>
        <v>-554.2379197198059</v>
      </c>
    </row>
    <row r="18" spans="1:15" ht="26.2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7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202443.1620802802</v>
      </c>
      <c r="N22" s="391"/>
      <c r="O22" s="445">
        <f>SUM(O11:O20)</f>
        <v>202443.1620802802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403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404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406</v>
      </c>
      <c r="B31" s="80"/>
      <c r="C31" s="80"/>
      <c r="D31" s="80"/>
      <c r="E31" s="80"/>
      <c r="F31" s="80"/>
      <c r="G31" s="80"/>
      <c r="H31" s="80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8" t="s">
        <v>407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420"/>
      <c r="Q33" s="420"/>
      <c r="R33" s="420"/>
      <c r="S33" s="420"/>
    </row>
    <row r="34" spans="1:19" ht="12.75">
      <c r="A34" s="517" t="s">
        <v>408</v>
      </c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420"/>
      <c r="Q34" s="420"/>
      <c r="R34" s="420"/>
      <c r="S34" s="420"/>
    </row>
    <row r="35" spans="1:19" ht="12.75">
      <c r="A35" s="517" t="s">
        <v>429</v>
      </c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420"/>
      <c r="Q35" s="420"/>
      <c r="R35" s="420"/>
      <c r="S35" s="420"/>
    </row>
    <row r="36" spans="1:19" ht="12.75">
      <c r="A36" s="517" t="s">
        <v>409</v>
      </c>
      <c r="B36" s="519"/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420"/>
      <c r="Q36" s="420"/>
      <c r="R36" s="420"/>
      <c r="S36" s="420"/>
    </row>
    <row r="37" spans="1:19" ht="12.75">
      <c r="A37" s="432" t="s">
        <v>369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370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410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411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412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414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415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416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417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418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415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420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421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422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423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379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424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425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381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380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382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426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427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428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7" t="s">
        <v>458</v>
      </c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</row>
    <row r="75" spans="1:15" ht="12.75">
      <c r="A75" s="429" t="s">
        <v>371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KOKTANM</cp:lastModifiedBy>
  <cp:lastPrinted>2011-11-01T19:39:28Z</cp:lastPrinted>
  <dcterms:created xsi:type="dcterms:W3CDTF">2001-11-07T16:15:53Z</dcterms:created>
  <dcterms:modified xsi:type="dcterms:W3CDTF">2011-11-01T19:40:09Z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