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296" windowWidth="15510" windowHeight="1216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KOKTANM</author>
  </authors>
  <commentList>
    <comment ref="C20" authorId="0">
      <text>
        <r>
          <rPr>
            <b/>
            <sz val="8"/>
            <rFont val="Tahoma"/>
            <family val="0"/>
          </rPr>
          <t>KOKTANM:</t>
        </r>
        <r>
          <rPr>
            <sz val="8"/>
            <rFont val="Tahoma"/>
            <family val="0"/>
          </rPr>
          <t xml:space="preserve">
Adjustment to agree with 2002 RAM Decision</t>
        </r>
      </text>
    </comment>
  </commentList>
</comments>
</file>

<file path=xl/sharedStrings.xml><?xml version="1.0" encoding="utf-8"?>
<sst xmlns="http://schemas.openxmlformats.org/spreadsheetml/2006/main" count="887" uniqueCount="513">
  <si>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</si>
  <si>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</si>
  <si>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</si>
  <si>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</si>
  <si>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</si>
  <si>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</si>
  <si>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</si>
  <si>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</si>
  <si>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</si>
  <si>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</si>
  <si>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</si>
  <si>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</si>
  <si>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</si>
  <si>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</si>
  <si>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</si>
  <si>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</si>
  <si>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</si>
  <si>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</si>
  <si>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</si>
  <si>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</si>
  <si>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</si>
  <si>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</si>
  <si>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</si>
  <si>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</si>
  <si>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</si>
  <si>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</si>
  <si>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</si>
  <si>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</si>
  <si>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</si>
  <si>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</si>
  <si>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</si>
  <si>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</si>
  <si>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</si>
  <si>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</si>
  <si>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</si>
  <si>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</si>
  <si>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</si>
  <si>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</si>
  <si>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</si>
  <si>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</si>
  <si>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</si>
  <si>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</si>
  <si>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</si>
  <si>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</si>
  <si>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</si>
  <si>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</si>
  <si>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</si>
  <si>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</si>
  <si>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</si>
  <si>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</si>
  <si>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</si>
  <si>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</si>
  <si>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</si>
  <si>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</si>
  <si>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</si>
  <si>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</si>
  <si>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</si>
  <si>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</si>
  <si>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</si>
  <si>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</si>
  <si>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</si>
  <si>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</si>
  <si>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</si>
  <si>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</si>
  <si>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</si>
  <si>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</si>
  <si>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</si>
  <si>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</si>
  <si>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</si>
  <si>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</si>
  <si>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</si>
  <si>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</si>
  <si>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</si>
  <si>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</si>
  <si>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</si>
  <si>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</si>
  <si>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</si>
  <si>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</si>
  <si>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</si>
  <si>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</si>
  <si>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</si>
  <si>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</si>
  <si>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</si>
  <si>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</si>
  <si>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</si>
  <si>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</si>
  <si>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</si>
  <si>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</si>
  <si>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</si>
  <si>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</si>
  <si>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</si>
  <si>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</si>
  <si>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</si>
  <si>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</si>
  <si>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</si>
  <si>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</si>
  <si>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</si>
  <si>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</si>
  <si>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</si>
  <si>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</si>
  <si>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</si>
  <si>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</si>
  <si>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</si>
  <si>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</si>
  <si>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</si>
  <si>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</si>
  <si>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</si>
  <si>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</si>
  <si>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</si>
  <si>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</si>
  <si>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</si>
  <si>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</si>
  <si>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</si>
  <si>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</si>
  <si>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</si>
  <si>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</si>
  <si>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</si>
  <si>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</si>
  <si>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</si>
  <si>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</si>
  <si>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</si>
  <si>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</si>
  <si>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</si>
  <si>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</si>
  <si>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</si>
  <si>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</si>
  <si>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</si>
  <si>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</si>
  <si>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</si>
  <si>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</si>
  <si>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</si>
  <si>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</si>
  <si>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</si>
  <si>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</si>
  <si>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</si>
  <si>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</si>
  <si>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</si>
  <si>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</si>
  <si>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</si>
  <si>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</si>
  <si>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</si>
  <si>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</si>
  <si>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</si>
  <si>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</si>
  <si>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</si>
  <si>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</si>
  <si>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</si>
  <si>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</si>
  <si>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</si>
  <si>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</si>
  <si>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</si>
  <si>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</si>
  <si>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</si>
  <si>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</si>
  <si>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</si>
  <si>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</si>
  <si>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</si>
  <si>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</si>
  <si>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</si>
  <si>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</si>
  <si>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</si>
  <si>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</si>
  <si>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</si>
  <si>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</si>
  <si>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</si>
  <si>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</si>
  <si>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</si>
  <si>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</si>
  <si>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</si>
  <si>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</si>
  <si>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</si>
  <si>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</si>
  <si>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</si>
  <si>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</si>
  <si>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</si>
  <si>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</si>
  <si>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</si>
  <si>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</si>
  <si>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</si>
  <si>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</si>
  <si>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</si>
  <si>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</si>
  <si>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</si>
  <si>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</si>
  <si>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</si>
  <si>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</si>
  <si>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</si>
  <si>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</si>
  <si>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</si>
  <si>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</si>
  <si>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</si>
  <si>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</si>
  <si>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</si>
  <si>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</si>
  <si>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</si>
  <si>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</si>
  <si>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</si>
  <si>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</si>
  <si>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</si>
  <si>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</si>
  <si>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</si>
  <si>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</si>
  <si>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</si>
  <si>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</si>
  <si>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</si>
  <si>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</si>
  <si>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</si>
  <si>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</si>
  <si>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</si>
  <si>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</si>
  <si>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</si>
  <si>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</si>
  <si>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</si>
  <si>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</si>
  <si>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</si>
  <si>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</si>
  <si>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</si>
  <si>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</si>
  <si>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</si>
  <si>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</si>
  <si>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</si>
  <si>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</si>
  <si>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</si>
  <si>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</si>
  <si>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</si>
  <si>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</si>
  <si>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</si>
  <si>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</si>
  <si>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</si>
  <si>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</si>
  <si>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</si>
  <si>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</si>
  <si>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</si>
  <si>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</si>
  <si>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</si>
  <si>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</si>
  <si>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</si>
  <si>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</si>
  <si>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</si>
  <si>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</si>
  <si>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</si>
  <si>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</si>
  <si>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</si>
  <si>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</si>
  <si>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</si>
  <si>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</si>
  <si>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</si>
  <si>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</si>
  <si>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</si>
  <si>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</si>
  <si>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</si>
  <si>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</si>
  <si>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</si>
  <si>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</si>
  <si>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</si>
  <si>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</si>
  <si>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</si>
  <si>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</si>
  <si>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</si>
  <si>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</si>
  <si>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</si>
  <si>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</si>
  <si>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</si>
  <si>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</si>
  <si>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</si>
  <si>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</si>
  <si>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</si>
  <si>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</si>
  <si>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</si>
  <si>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</si>
  <si>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</si>
  <si>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</si>
  <si>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</si>
  <si>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</si>
  <si>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</si>
  <si>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</si>
  <si>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</si>
  <si>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</si>
  <si>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</si>
  <si>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</si>
  <si>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</si>
  <si>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</si>
  <si>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</si>
  <si>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</si>
  <si>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</si>
  <si>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</si>
  <si>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</si>
  <si>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</si>
  <si>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</si>
  <si>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</si>
  <si>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</si>
  <si>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</si>
  <si>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</si>
  <si>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</si>
  <si>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</si>
  <si>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</si>
  <si>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</si>
  <si>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</si>
  <si>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</si>
  <si>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</si>
  <si>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</si>
  <si>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</si>
  <si>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</si>
  <si>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</si>
  <si>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</si>
  <si>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</si>
  <si>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</si>
  <si>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</si>
  <si>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</si>
  <si>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</si>
  <si>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</si>
  <si>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</si>
  <si>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</si>
  <si>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</si>
  <si>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</si>
  <si>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</si>
  <si>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</si>
  <si>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</si>
  <si>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</si>
  <si>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</si>
  <si>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</si>
  <si>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</si>
  <si>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</si>
  <si>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</si>
  <si>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</si>
  <si>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</si>
  <si>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</si>
  <si>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</si>
  <si>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</si>
  <si>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</si>
  <si>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</si>
  <si>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</si>
  <si>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</si>
  <si>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</si>
  <si>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</si>
  <si>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</si>
  <si>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</si>
  <si>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</si>
  <si>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</si>
  <si>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</si>
  <si>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</si>
  <si>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</si>
  <si>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</si>
  <si>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</si>
  <si>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</si>
  <si>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</si>
  <si>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</si>
  <si>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</si>
  <si>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</si>
  <si>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</si>
  <si>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</si>
  <si>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</si>
  <si>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</si>
  <si>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</si>
  <si>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</si>
  <si>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</si>
  <si>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</si>
  <si>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</si>
  <si>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</si>
  <si>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</si>
  <si>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</si>
  <si>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</si>
  <si>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</si>
  <si>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</si>
  <si>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</si>
  <si>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</si>
  <si>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</si>
  <si>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</si>
  <si>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</si>
  <si>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</si>
  <si>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</si>
  <si>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</si>
  <si>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</si>
  <si>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</si>
  <si>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</si>
  <si>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</si>
  <si>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</si>
  <si>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</si>
  <si>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</si>
  <si>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</si>
  <si>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</si>
  <si>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</si>
  <si>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</si>
  <si>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</si>
  <si>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</si>
  <si>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</si>
  <si>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</si>
  <si>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</si>
  <si>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</si>
  <si>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</si>
  <si>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</si>
  <si>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</si>
  <si>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</si>
  <si>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</si>
  <si>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</si>
  <si>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</si>
  <si>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</si>
  <si>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</si>
  <si>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</si>
  <si>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</si>
  <si>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</si>
  <si>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</si>
  <si>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</si>
  <si>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</si>
  <si>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</si>
  <si>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</si>
  <si>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</si>
  <si>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</si>
  <si>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</si>
  <si>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</si>
  <si>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</si>
  <si>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</si>
  <si>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</si>
  <si>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</si>
  <si>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</si>
  <si>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</si>
  <si>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</si>
  <si>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</si>
  <si>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</si>
  <si>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</si>
  <si>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</si>
  <si>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</si>
  <si>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</si>
  <si>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</si>
  <si>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</si>
  <si>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</si>
  <si>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</si>
  <si>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</si>
  <si>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</si>
  <si>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</si>
  <si>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</si>
  <si>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</si>
  <si>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</si>
  <si>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</si>
  <si>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</si>
  <si>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</si>
  <si>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</si>
  <si>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</si>
  <si>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</si>
  <si>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</si>
  <si>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</si>
  <si>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</si>
  <si>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</si>
  <si>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</si>
  <si>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</si>
  <si>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</si>
  <si>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</si>
  <si>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</si>
  <si>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</si>
  <si>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</si>
  <si>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</si>
  <si>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</si>
  <si>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</si>
  <si>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</si>
  <si>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</si>
  <si>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</si>
  <si>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</si>
  <si>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</si>
  <si>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</si>
  <si>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</si>
  <si>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</si>
  <si>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</si>
  <si>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</si>
  <si>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</si>
  <si>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</si>
  <si>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</si>
  <si>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</si>
  <si>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</si>
  <si>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</si>
  <si>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</si>
  <si>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</si>
  <si>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</si>
  <si>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</si>
  <si>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</si>
  <si>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</si>
  <si>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</si>
  <si>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</si>
  <si>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</si>
  <si>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</si>
  <si>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</si>
  <si>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</si>
  <si>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</si>
  <si>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</si>
  <si>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</si>
  <si>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</si>
  <si>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</si>
  <si>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</si>
  <si>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</si>
  <si>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t>**Exemption amounts must agree with the Board-approved 2002 RAM PILs filing</t>
  </si>
  <si>
    <t>PILs TAXES - EB-2010-</t>
  </si>
  <si>
    <t>Total deemed interest  (REGINFO CELL D62)</t>
  </si>
  <si>
    <t>Partnership income per T5013 (net of 2001 loss)</t>
  </si>
  <si>
    <t>Amortization of debt discount</t>
  </si>
  <si>
    <t>RSVA Reserve (1580)</t>
  </si>
  <si>
    <t>Reserves for Transition Costs</t>
  </si>
  <si>
    <t>Reserves for rebate payment</t>
  </si>
  <si>
    <t>Prospectus &amp; underwriting fees</t>
  </si>
  <si>
    <t>Income not earned on movement of Regulatory A/Cs</t>
  </si>
  <si>
    <t>Deferred cost deductible (market ready)</t>
  </si>
  <si>
    <t>Other Liabilities (2405) - Allowance for doubtful accounts</t>
  </si>
  <si>
    <t>Regulayory assets contra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</si>
  <si>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</si>
  <si>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</si>
  <si>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</si>
  <si>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</si>
  <si>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Utility Name: Guelph Hydro Electric Systems Inc.</t>
  </si>
  <si>
    <t>Y</t>
  </si>
  <si>
    <t>N</t>
  </si>
  <si>
    <t>Other -EMPLOYEE FUTURE BENEFITS</t>
  </si>
  <si>
    <t>Other - EMPLOYEE FUTURE BENEFITS</t>
  </si>
  <si>
    <t>SCIENTIFIC RESEARCH EXPENDITURES DEDUCTED PER FINANCIAL STATEMENTS</t>
  </si>
  <si>
    <t>ONTARIO SPECIFIED TAX CREDITS</t>
  </si>
  <si>
    <t>SCIENTIFIC RESEARCH EXPENSES CLAIMED IN YEAR FROM FORM T661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</si>
</sst>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10" fontId="0" fillId="44" borderId="0" xfId="0" applyNumberFormat="1" applyFill="1" applyAlignment="1">
      <alignment vertical="top"/>
    </xf>
    <xf numFmtId="37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7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32" borderId="14" xfId="0" applyNumberFormat="1" applyFill="1" applyBorder="1" applyAlignment="1" applyProtection="1">
      <alignment/>
      <protection/>
    </xf>
    <xf numFmtId="0" fontId="0" fillId="45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10">
      <selection activeCell="D23" sqref="D2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489</v>
      </c>
      <c r="C1" s="8"/>
      <c r="E1" s="2" t="s">
        <v>457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505</v>
      </c>
      <c r="C3" s="8"/>
      <c r="D3" s="452" t="s">
        <v>443</v>
      </c>
      <c r="E3" s="8"/>
      <c r="F3" s="8"/>
      <c r="G3" s="8"/>
      <c r="H3" s="8"/>
    </row>
    <row r="4" spans="1:8" ht="12.75">
      <c r="A4" s="2" t="s">
        <v>476</v>
      </c>
      <c r="C4" s="8"/>
      <c r="D4" s="451" t="s">
        <v>438</v>
      </c>
      <c r="E4" s="425"/>
      <c r="H4" s="8"/>
    </row>
    <row r="5" spans="1:8" ht="12.75">
      <c r="A5" s="52"/>
      <c r="C5" s="8"/>
      <c r="D5" s="450" t="s">
        <v>439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253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506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507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507</v>
      </c>
    </row>
    <row r="18" spans="1:4" ht="15" customHeight="1">
      <c r="A18" s="391" t="s">
        <v>311</v>
      </c>
      <c r="C18" s="8"/>
      <c r="D18" s="8"/>
    </row>
    <row r="19" spans="1:4" ht="15" customHeight="1">
      <c r="A19" s="506" t="s">
        <v>312</v>
      </c>
      <c r="B19" s="8" t="s">
        <v>309</v>
      </c>
      <c r="C19" s="8" t="s">
        <v>64</v>
      </c>
      <c r="D19" s="390" t="s">
        <v>506</v>
      </c>
    </row>
    <row r="20" spans="1:4" ht="13.5" thickBot="1">
      <c r="A20" s="507"/>
      <c r="B20" s="8" t="s">
        <v>310</v>
      </c>
      <c r="C20" s="8" t="s">
        <v>64</v>
      </c>
      <c r="D20" s="258" t="s">
        <v>506</v>
      </c>
    </row>
    <row r="21" spans="1:4" ht="12.75">
      <c r="A21" s="506" t="s">
        <v>308</v>
      </c>
      <c r="B21" s="8" t="s">
        <v>309</v>
      </c>
      <c r="C21" s="8"/>
      <c r="D21" s="496">
        <f>4906000/5000000</f>
        <v>0.9812</v>
      </c>
    </row>
    <row r="22" spans="1:4" ht="12.75">
      <c r="A22" s="506"/>
      <c r="B22" s="8" t="s">
        <v>310</v>
      </c>
      <c r="C22" s="8"/>
      <c r="D22" s="496">
        <f>9812000/10000000</f>
        <v>0.9812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3" t="s">
        <v>477</v>
      </c>
    </row>
    <row r="25" ht="6.75" customHeight="1" thickBot="1">
      <c r="A25" s="12"/>
    </row>
    <row r="26" spans="1:5" ht="12.75">
      <c r="A26" s="255" t="s">
        <v>67</v>
      </c>
      <c r="C26" s="8"/>
      <c r="E26" s="440" t="s">
        <v>293</v>
      </c>
    </row>
    <row r="27" spans="1:5" ht="12.75">
      <c r="A27" s="256" t="s">
        <v>68</v>
      </c>
      <c r="C27" s="8"/>
      <c r="E27" s="441" t="s">
        <v>294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283</v>
      </c>
      <c r="D31" s="485">
        <v>82918060</v>
      </c>
      <c r="H31" s="5"/>
    </row>
    <row r="32" ht="6" customHeight="1"/>
    <row r="33" spans="1:8" ht="12.75">
      <c r="A33" t="s">
        <v>71</v>
      </c>
      <c r="D33" s="484">
        <v>0.5</v>
      </c>
      <c r="F33" t="s">
        <v>102</v>
      </c>
      <c r="H33" s="39"/>
    </row>
    <row r="34" spans="4:8" ht="6" customHeight="1">
      <c r="D34">
        <v>50</v>
      </c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4">
        <v>0.0988</v>
      </c>
      <c r="H37" s="41"/>
    </row>
    <row r="38" ht="4.5" customHeight="1">
      <c r="H38" s="34"/>
    </row>
    <row r="39" spans="1:8" ht="12.75">
      <c r="A39" t="s">
        <v>74</v>
      </c>
      <c r="D39" s="48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7101931.839000001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3632253</v>
      </c>
      <c r="E43" s="389">
        <f>D43</f>
        <v>3632253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3469678.8390000006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86">
        <v>1156560</v>
      </c>
      <c r="E47" s="389">
        <f aca="true" t="shared" si="0" ref="E47:E53">D47</f>
        <v>1156560</v>
      </c>
      <c r="H47" s="40"/>
      <c r="J47" s="5"/>
      <c r="K47" s="5"/>
    </row>
    <row r="48" spans="1:11" ht="12.75">
      <c r="A48" t="s">
        <v>286</v>
      </c>
      <c r="D48" s="486">
        <v>1156560</v>
      </c>
      <c r="E48" s="389">
        <f>D48</f>
        <v>1156560</v>
      </c>
      <c r="F48" s="22"/>
      <c r="H48" s="40"/>
      <c r="J48" s="5"/>
      <c r="K48" s="5"/>
    </row>
    <row r="49" spans="1:11" ht="12.75">
      <c r="A49" t="s">
        <v>287</v>
      </c>
      <c r="D49" s="487"/>
      <c r="E49" s="389">
        <v>0</v>
      </c>
      <c r="F49" s="22"/>
      <c r="H49" s="40"/>
      <c r="J49" s="5"/>
      <c r="K49" s="5"/>
    </row>
    <row r="50" spans="1:11" ht="12.75">
      <c r="A50" t="s">
        <v>288</v>
      </c>
      <c r="D50" s="425"/>
      <c r="E50" s="389">
        <f t="shared" si="0"/>
        <v>0</v>
      </c>
      <c r="H50" s="40"/>
      <c r="J50" s="5"/>
      <c r="K50" s="5"/>
    </row>
    <row r="51" spans="1:11" ht="12.75">
      <c r="A51" t="s">
        <v>435</v>
      </c>
      <c r="D51" s="425"/>
      <c r="E51" s="389">
        <f t="shared" si="0"/>
        <v>0</v>
      </c>
      <c r="H51" s="40"/>
      <c r="J51" s="5"/>
      <c r="K51" s="5"/>
    </row>
    <row r="52" spans="1:11" ht="12.75">
      <c r="A52" t="s">
        <v>458</v>
      </c>
      <c r="D52" s="425"/>
      <c r="E52" s="389">
        <f t="shared" si="0"/>
        <v>0</v>
      </c>
      <c r="H52" s="40"/>
      <c r="J52" s="5"/>
      <c r="K52" s="5"/>
    </row>
    <row r="53" spans="4:11" ht="12.75">
      <c r="D53" s="425"/>
      <c r="E53" s="389">
        <f t="shared" si="0"/>
        <v>0</v>
      </c>
      <c r="H53" s="40"/>
      <c r="J53" s="5"/>
      <c r="K53" s="5"/>
    </row>
    <row r="54" spans="1:11" ht="12.75">
      <c r="A54" s="2" t="s">
        <v>289</v>
      </c>
      <c r="E54" s="254">
        <f>SUM(E43:E53)</f>
        <v>5945373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41459030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4096152.164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41459030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2">
        <f>D60*D39</f>
        <v>3005779.675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3">
        <f>IF(D41&gt;0,(((D43+D47)/D41)*D62),0)</f>
        <v>2026788.9229422065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3">
        <f>IF(D41&gt;0,(((D43+D47+D48)/D41)*D62),0)</f>
        <v>2516284.5446584937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3">
        <f>IF(D41&gt;0,(((D43+D47+D48)/D41)*D62),0)</f>
        <v>2516284.5446584937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3">
        <f>D62</f>
        <v>3005779.675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workbookViewId="0" topLeftCell="A88">
      <selection activeCell="I114" sqref="I11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460</v>
      </c>
      <c r="H1" s="210"/>
    </row>
    <row r="2" spans="1:8" ht="12.75">
      <c r="A2" s="211" t="s">
        <v>459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461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Guelph Hydro Electric Systems Inc.</v>
      </c>
      <c r="B6" s="115"/>
      <c r="D6" s="137"/>
      <c r="E6" s="115"/>
      <c r="G6" s="115"/>
      <c r="H6" s="462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2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6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253</v>
      </c>
      <c r="B10" s="426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337</v>
      </c>
      <c r="B16" s="125">
        <v>1</v>
      </c>
      <c r="C16" s="260">
        <f>REGINFO!E54</f>
        <v>5945373</v>
      </c>
      <c r="D16" s="17"/>
      <c r="E16" s="268">
        <f>G16-C16</f>
        <v>2524627</v>
      </c>
      <c r="F16" s="3"/>
      <c r="G16" s="268">
        <f>TAXREC!E50</f>
        <v>8470000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8">
        <f>4540301+31043</f>
        <v>4571344</v>
      </c>
      <c r="D20" s="18"/>
      <c r="E20" s="268">
        <f>G20-C20</f>
        <v>396107</v>
      </c>
      <c r="F20" s="6"/>
      <c r="G20" s="268">
        <f>TAXREC!E61</f>
        <v>4967451</v>
      </c>
      <c r="H20" s="151"/>
    </row>
    <row r="21" spans="1:8" ht="12.75">
      <c r="A21" s="158" t="s">
        <v>56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261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260</v>
      </c>
      <c r="B23" s="127">
        <v>4</v>
      </c>
      <c r="C23" s="262"/>
      <c r="D23" s="18"/>
      <c r="E23" s="268">
        <f>G23-C23</f>
        <v>6398561</v>
      </c>
      <c r="F23" s="6"/>
      <c r="G23" s="268">
        <f>TAXREC!E64</f>
        <v>6398561</v>
      </c>
      <c r="H23" s="151"/>
    </row>
    <row r="24" spans="1:8" ht="12.75">
      <c r="A24" s="158" t="s">
        <v>262</v>
      </c>
      <c r="B24" s="127">
        <v>5</v>
      </c>
      <c r="C24" s="488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90472</v>
      </c>
      <c r="F26" s="6"/>
      <c r="G26" s="268">
        <f>TAXREC!E92</f>
        <v>90472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7" t="s">
        <v>391</v>
      </c>
      <c r="B30" s="127"/>
      <c r="C30" s="260"/>
      <c r="D30" s="18"/>
      <c r="E30" s="268">
        <f>G30-C30</f>
        <v>0</v>
      </c>
      <c r="F30" s="6"/>
      <c r="G30" s="268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338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8">
        <v>3197129</v>
      </c>
      <c r="D33" s="132"/>
      <c r="E33" s="268">
        <f aca="true" t="shared" si="0" ref="E33:E42">G33-C33</f>
        <v>2444393</v>
      </c>
      <c r="F33" s="6"/>
      <c r="G33" s="268">
        <f>TAXREC!E97+TAXREC!E98</f>
        <v>5641522</v>
      </c>
      <c r="H33" s="151"/>
    </row>
    <row r="34" spans="1:8" ht="12.75">
      <c r="A34" s="158" t="s">
        <v>57</v>
      </c>
      <c r="B34" s="127">
        <v>8</v>
      </c>
      <c r="C34" s="262">
        <v>0</v>
      </c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263</v>
      </c>
      <c r="B36" s="127">
        <v>10</v>
      </c>
      <c r="C36" s="488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2516284.5446584937</v>
      </c>
      <c r="D37" s="132"/>
      <c r="E37" s="268">
        <f t="shared" si="0"/>
        <v>-218284.54465849372</v>
      </c>
      <c r="F37" s="6"/>
      <c r="G37" s="268">
        <f>TAXREC!E51</f>
        <v>2298000</v>
      </c>
      <c r="H37" s="151"/>
    </row>
    <row r="38" spans="1:8" ht="12.75">
      <c r="A38" s="155" t="s">
        <v>259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258</v>
      </c>
      <c r="B39" s="125">
        <v>4</v>
      </c>
      <c r="C39" s="262"/>
      <c r="D39" s="132"/>
      <c r="E39" s="268">
        <f t="shared" si="0"/>
        <v>5648133</v>
      </c>
      <c r="F39" s="6"/>
      <c r="G39" s="268">
        <f>TAXREC!E105</f>
        <v>5648133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77212</v>
      </c>
      <c r="F44" s="6"/>
      <c r="G44" s="251">
        <f>TAXREC!E130</f>
        <v>77212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391</v>
      </c>
      <c r="B48" s="127"/>
      <c r="C48" s="260"/>
      <c r="D48" s="132"/>
      <c r="E48" s="268">
        <f>G48-C48</f>
        <v>1972275</v>
      </c>
      <c r="F48" s="6"/>
      <c r="G48" s="251">
        <f>TAXREC!E108</f>
        <v>1972275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4">
        <f>C16+SUM(C20:C30)-SUM(C33:C48)</f>
        <v>4803303.455341507</v>
      </c>
      <c r="D50" s="102"/>
      <c r="E50" s="264">
        <f>E16+SUM(E20:E30)-SUM(E33:E48)</f>
        <v>-513961.45534150675</v>
      </c>
      <c r="F50" s="428" t="s">
        <v>363</v>
      </c>
      <c r="G50" s="264">
        <f>G16+SUM(G20:G30)-SUM(G33:G48)</f>
        <v>4289342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336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-0.026302141540590573</v>
      </c>
      <c r="F53" s="114"/>
      <c r="G53" s="470">
        <f>TAXREC!E151</f>
        <v>0.3598978584594094</v>
      </c>
      <c r="H53" s="151"/>
      <c r="I53" s="467" t="s">
        <v>102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1855035.7944528898</v>
      </c>
      <c r="D55" s="102"/>
      <c r="E55" s="268">
        <f>G55-C55</f>
        <v>-311310.7944528898</v>
      </c>
      <c r="F55" s="428" t="s">
        <v>364</v>
      </c>
      <c r="G55" s="265">
        <f>TAXREC!E144</f>
        <v>1543725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8" t="s">
        <v>364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1855035.7944528898</v>
      </c>
      <c r="D60" s="133"/>
      <c r="E60" s="270">
        <f>+E55-E58</f>
        <v>-311310.7944528898</v>
      </c>
      <c r="F60" s="428" t="s">
        <v>364</v>
      </c>
      <c r="G60" s="270">
        <f>+G55-G58</f>
        <v>1543725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82918060</v>
      </c>
      <c r="D66" s="102"/>
      <c r="E66" s="268">
        <f>G66-C66</f>
        <v>15480718</v>
      </c>
      <c r="F66" s="6"/>
      <c r="G66" s="489">
        <v>98398778</v>
      </c>
      <c r="H66" s="151"/>
      <c r="I66" s="472" t="s">
        <v>471</v>
      </c>
    </row>
    <row r="67" spans="1:10" ht="12.75">
      <c r="A67" s="152" t="s">
        <v>356</v>
      </c>
      <c r="B67" s="125">
        <v>16</v>
      </c>
      <c r="C67" s="261">
        <f>IF(C66&gt;0,'Tax Rates'!C21,0)</f>
        <v>4906000</v>
      </c>
      <c r="D67" s="102"/>
      <c r="E67" s="268">
        <f>G67-C67</f>
        <v>-4906000</v>
      </c>
      <c r="F67" s="6"/>
      <c r="G67" s="268">
        <f>'Tax Rates'!C57</f>
        <v>0</v>
      </c>
      <c r="H67" s="151"/>
      <c r="I67" s="472" t="s">
        <v>471</v>
      </c>
      <c r="J67" s="473" t="s">
        <v>472</v>
      </c>
    </row>
    <row r="68" spans="1:8" ht="12.75">
      <c r="A68" s="152" t="s">
        <v>42</v>
      </c>
      <c r="B68" s="125"/>
      <c r="C68" s="265">
        <f>IF((C66-C67)&gt;0,C66-C67,0)</f>
        <v>78012060</v>
      </c>
      <c r="D68" s="102"/>
      <c r="E68" s="268">
        <f>SUM(E66:E67)</f>
        <v>10574718</v>
      </c>
      <c r="F68" s="114"/>
      <c r="G68" s="265">
        <f>G66-G67</f>
        <v>98398778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357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313</v>
      </c>
      <c r="B72" s="125"/>
      <c r="C72" s="265">
        <f>IF(C68&gt;0,C68*C70,0)*REGINFO!$B$6/REGINFO!$B$7</f>
        <v>234036.18000000002</v>
      </c>
      <c r="D72" s="101"/>
      <c r="E72" s="268">
        <f>+G72-C72</f>
        <v>61160.15400000001</v>
      </c>
      <c r="F72" s="474"/>
      <c r="G72" s="265">
        <f>IF(G68&gt;0,G68*G70,0)*REGINFO!$B$6/REGINFO!$B$7</f>
        <v>295196.33400000003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82918060</v>
      </c>
      <c r="D75" s="102"/>
      <c r="E75" s="268">
        <f>+G75-C75</f>
        <v>18645669</v>
      </c>
      <c r="F75" s="6"/>
      <c r="G75" s="489">
        <v>101563729</v>
      </c>
      <c r="H75" s="151"/>
      <c r="I75" s="472" t="s">
        <v>471</v>
      </c>
    </row>
    <row r="76" spans="1:9" ht="12.75">
      <c r="A76" s="152" t="s">
        <v>356</v>
      </c>
      <c r="B76" s="125">
        <v>19</v>
      </c>
      <c r="C76" s="261">
        <f>IF(C75&gt;0,'Tax Rates'!C22,0)</f>
        <v>9812000</v>
      </c>
      <c r="D76" s="18"/>
      <c r="E76" s="268">
        <f>+G76-C76</f>
        <v>-5502000</v>
      </c>
      <c r="F76" s="6"/>
      <c r="G76" s="268">
        <v>4310000</v>
      </c>
      <c r="H76" s="151"/>
      <c r="I76" s="472" t="s">
        <v>471</v>
      </c>
    </row>
    <row r="77" spans="1:8" ht="12.75">
      <c r="A77" s="152" t="s">
        <v>42</v>
      </c>
      <c r="B77" s="125"/>
      <c r="C77" s="265">
        <f>IF((C75-C76)&gt;0,C75-C76,0)</f>
        <v>73106060</v>
      </c>
      <c r="D77" s="19"/>
      <c r="E77" s="268">
        <f>SUM(E75:E76)</f>
        <v>13143669</v>
      </c>
      <c r="F77" s="114"/>
      <c r="G77" s="265">
        <f>G75-G76</f>
        <v>97253729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357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5">
        <f>IF(C77&gt;0,C77*C79,0)*REGINFO!$B$6/REGINFO!$B$7</f>
        <v>164488.63499999998</v>
      </c>
      <c r="D81" s="102"/>
      <c r="E81" s="268">
        <f>+G81-C81</f>
        <v>54332.25525000002</v>
      </c>
      <c r="F81" s="6"/>
      <c r="G81" s="265">
        <f>G77*G79*B9/B10</f>
        <v>218820.89025</v>
      </c>
      <c r="H81" s="151"/>
    </row>
    <row r="82" spans="1:8" ht="12.75">
      <c r="A82" s="152" t="s">
        <v>315</v>
      </c>
      <c r="B82" s="125">
        <v>21</v>
      </c>
      <c r="C82" s="301">
        <v>53450</v>
      </c>
      <c r="D82" s="102"/>
      <c r="E82" s="268">
        <f>+G82-C82</f>
        <v>-5409</v>
      </c>
      <c r="F82" s="6"/>
      <c r="G82" s="301">
        <v>48041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111038.63499999998</v>
      </c>
      <c r="D84" s="16"/>
      <c r="E84" s="268">
        <f>E81-E82</f>
        <v>59741.25525000002</v>
      </c>
      <c r="F84" s="103"/>
      <c r="G84" s="265">
        <f>G81-G82</f>
        <v>170779.89025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365</v>
      </c>
      <c r="B90" s="127">
        <v>22</v>
      </c>
      <c r="C90" s="265">
        <f>C60/(1-C88)</f>
        <v>2968057.2711246237</v>
      </c>
      <c r="D90" s="20"/>
      <c r="E90" s="139"/>
      <c r="F90" s="427" t="s">
        <v>478</v>
      </c>
      <c r="G90" s="271">
        <f>TAXREC!E156</f>
        <v>1543725</v>
      </c>
      <c r="H90" s="151"/>
    </row>
    <row r="91" spans="1:8" ht="12.75">
      <c r="A91" s="158" t="s">
        <v>366</v>
      </c>
      <c r="B91" s="127">
        <v>23</v>
      </c>
      <c r="C91" s="265">
        <f>C84/(1-C88)</f>
        <v>177661.81599999996</v>
      </c>
      <c r="D91" s="20"/>
      <c r="E91" s="139"/>
      <c r="F91" s="427" t="s">
        <v>478</v>
      </c>
      <c r="G91" s="271">
        <f>TAXREC!E158</f>
        <v>170780</v>
      </c>
      <c r="H91" s="151"/>
    </row>
    <row r="92" spans="1:8" ht="12.75">
      <c r="A92" s="158" t="s">
        <v>344</v>
      </c>
      <c r="B92" s="127">
        <v>24</v>
      </c>
      <c r="C92" s="265">
        <f>C72</f>
        <v>234036.18000000002</v>
      </c>
      <c r="D92" s="20"/>
      <c r="E92" s="139"/>
      <c r="F92" s="427" t="s">
        <v>478</v>
      </c>
      <c r="G92" s="271">
        <f>TAXREC!E157</f>
        <v>295196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479</v>
      </c>
      <c r="B95" s="125">
        <v>25</v>
      </c>
      <c r="C95" s="270">
        <f>SUM(C90:C93)</f>
        <v>3379755.267124624</v>
      </c>
      <c r="D95" s="6"/>
      <c r="E95" s="139"/>
      <c r="F95" s="427" t="s">
        <v>478</v>
      </c>
      <c r="G95" s="415">
        <f>SUM(G90:G94)</f>
        <v>2009701</v>
      </c>
      <c r="H95" s="164"/>
    </row>
    <row r="96" spans="1:8" ht="12.75">
      <c r="A96" s="405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342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6398561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359</v>
      </c>
      <c r="B106" s="127">
        <v>6</v>
      </c>
      <c r="C106" s="112"/>
      <c r="D106" s="3"/>
      <c r="E106" s="251">
        <f>E26</f>
        <v>90472</v>
      </c>
      <c r="F106" s="37"/>
      <c r="G106" s="201"/>
      <c r="H106" s="164"/>
    </row>
    <row r="107" spans="1:8" ht="12.75">
      <c r="A107" s="158" t="s">
        <v>360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358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5" t="s">
        <v>503</v>
      </c>
      <c r="B112" s="127">
        <v>11</v>
      </c>
      <c r="C112" s="112"/>
      <c r="D112" s="3"/>
      <c r="E112" s="469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5648133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361</v>
      </c>
      <c r="B117" s="127">
        <v>12</v>
      </c>
      <c r="C117" s="112"/>
      <c r="D117" s="3"/>
      <c r="E117" s="251">
        <f>E44</f>
        <v>77212</v>
      </c>
      <c r="F117" s="37"/>
      <c r="G117" s="201"/>
      <c r="H117" s="164"/>
    </row>
    <row r="118" spans="1:8" ht="12.75">
      <c r="A118" s="158" t="s">
        <v>362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763688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480</v>
      </c>
      <c r="B122" s="127"/>
      <c r="C122" s="112"/>
      <c r="D122" s="3" t="s">
        <v>230</v>
      </c>
      <c r="E122" s="466">
        <f>IF((E120+G50)&gt;'Tax Rates'!$E$47,'Tax Rates'!$F$52-1.12%,IF((E120+G50)&gt;'Tax Rates'!$D$47,'Tax Rates'!$E$52-1.12%,IF((E120+G50)&gt;'Tax Rates'!$C$47,'Tax Rates'!$D$52-1.12%,'Tax Rates'!$C$52-1.12%)))</f>
        <v>0.355</v>
      </c>
      <c r="F122" s="467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271109.24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271109.24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348</v>
      </c>
      <c r="B132" s="130"/>
      <c r="C132" s="112"/>
      <c r="D132" s="3"/>
      <c r="E132" s="481">
        <f>E128/(1-E130)</f>
        <v>420324.40310077515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351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234</v>
      </c>
      <c r="B136" s="130"/>
      <c r="C136" s="112"/>
      <c r="D136" s="118" t="s">
        <v>189</v>
      </c>
      <c r="E136" s="303">
        <f>C50</f>
        <v>4803303.455341507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3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4">
        <f>IF(E136&gt;0,E136*E138,0)</f>
        <v>1758969.7253460595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3">
        <f>E140-E142</f>
        <v>1758969.7253460595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238</v>
      </c>
      <c r="B146" s="130"/>
      <c r="C146" s="112"/>
      <c r="D146" s="118" t="s">
        <v>188</v>
      </c>
      <c r="E146" s="303">
        <f>C60</f>
        <v>1855035.7944528898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3">
        <f>E144-E146</f>
        <v>-96066.06910683028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82918060</v>
      </c>
      <c r="F151" s="37"/>
      <c r="G151" s="201"/>
      <c r="H151" s="164"/>
    </row>
    <row r="152" spans="1:8" ht="12.75">
      <c r="A152" s="171" t="s">
        <v>354</v>
      </c>
      <c r="B152" s="130"/>
      <c r="C152" s="112"/>
      <c r="D152" s="118" t="s">
        <v>188</v>
      </c>
      <c r="E152" s="306">
        <f>IF(E151&gt;0,'Tax Rates'!C39,0)</f>
        <v>4906000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3">
        <f>E151-E152</f>
        <v>78012060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355</v>
      </c>
      <c r="B155" s="130"/>
      <c r="C155" s="112"/>
      <c r="D155" s="119" t="s">
        <v>230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3">
        <f>IF(E153&gt;0,E153*E155*B9/B10,0)</f>
        <v>234036.18000000002</v>
      </c>
      <c r="F157" s="37"/>
      <c r="G157" s="201"/>
      <c r="H157" s="164"/>
    </row>
    <row r="158" spans="1:8" ht="25.5">
      <c r="A158" s="171" t="s">
        <v>305</v>
      </c>
      <c r="B158" s="130"/>
      <c r="C158" s="112"/>
      <c r="D158" s="118" t="s">
        <v>188</v>
      </c>
      <c r="E158" s="306">
        <f>C72</f>
        <v>234036.18000000002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71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235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82918060</v>
      </c>
      <c r="F162" s="37"/>
      <c r="G162" s="201"/>
      <c r="H162" s="164"/>
    </row>
    <row r="163" spans="1:8" ht="12.75">
      <c r="A163" s="171" t="s">
        <v>353</v>
      </c>
      <c r="B163" s="130"/>
      <c r="C163" s="112"/>
      <c r="D163" s="118" t="s">
        <v>188</v>
      </c>
      <c r="E163" s="306">
        <f>IF(E162&gt;0,'Tax Rates'!C40,0)</f>
        <v>9812000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73106060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306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164488.63499999998</v>
      </c>
      <c r="F168" s="37"/>
      <c r="G168" s="201"/>
      <c r="H168" s="164"/>
    </row>
    <row r="169" spans="1:8" ht="12.75">
      <c r="A169" s="171" t="s">
        <v>316</v>
      </c>
      <c r="B169" s="130"/>
      <c r="C169" s="112"/>
      <c r="D169" s="118" t="s">
        <v>188</v>
      </c>
      <c r="E169" s="308">
        <f>IF(E164&gt;0,IF(E144&gt;0,E136*'Tax Rates'!C56,0),0)</f>
        <v>53796.99869982487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110691.6363001751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343</v>
      </c>
      <c r="B172" s="130"/>
      <c r="C172" s="112"/>
      <c r="D172" s="118" t="s">
        <v>188</v>
      </c>
      <c r="E172" s="306">
        <f>C84</f>
        <v>111038.63499999998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71">
        <f>E170-E172</f>
        <v>-346.9986998248787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341</v>
      </c>
      <c r="B175" s="130"/>
      <c r="C175" s="112"/>
      <c r="D175" s="119"/>
      <c r="E175" s="466">
        <f>IF((E120+G50)&gt;'Tax Rates'!E47,'Tax Rates'!F52-1.12%,IF((E120+G50)&gt;'Tax Rates'!D47,'Tax Rates'!E52-1.12%,IF((E120+G50)&gt;'Tax Rates'!C47,'Tax Rates'!D52,'Tax Rates'!C52-1.12%)))</f>
        <v>0.355</v>
      </c>
      <c r="F175" s="467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-148939.64202609347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-537.9824803486491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349</v>
      </c>
      <c r="B181" s="130"/>
      <c r="C181" s="112"/>
      <c r="D181" s="119" t="s">
        <v>189</v>
      </c>
      <c r="E181" s="480">
        <f>SUM(E177:E179)</f>
        <v>-149477.6245064421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487</v>
      </c>
      <c r="B183" s="130"/>
      <c r="C183" s="112"/>
      <c r="D183" s="119" t="s">
        <v>187</v>
      </c>
      <c r="E183" s="480">
        <f>E132</f>
        <v>420324.40310077515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350</v>
      </c>
      <c r="B185" s="130"/>
      <c r="C185" s="112"/>
      <c r="D185" s="119" t="s">
        <v>189</v>
      </c>
      <c r="E185" s="480">
        <f>E181+E183</f>
        <v>270846.77859433304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9">
        <f>REGINFO!D62</f>
        <v>3005779.675</v>
      </c>
      <c r="F193" s="3"/>
      <c r="G193" s="123"/>
      <c r="H193" s="164"/>
    </row>
    <row r="194" spans="1:8" ht="12.75">
      <c r="A194" s="505" t="s">
        <v>501</v>
      </c>
      <c r="B194" s="127"/>
      <c r="C194" s="112"/>
      <c r="D194" s="120"/>
      <c r="E194" s="309">
        <f>C37</f>
        <v>2516284.5446584937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339</v>
      </c>
      <c r="B196" s="127"/>
      <c r="C196" s="112"/>
      <c r="D196" s="120"/>
      <c r="E196" s="309">
        <f>E193-E194</f>
        <v>489495.1303415061</v>
      </c>
      <c r="F196" s="3"/>
      <c r="G196" s="123"/>
      <c r="H196" s="164"/>
    </row>
    <row r="197" spans="1:8" ht="12.75">
      <c r="A197" s="155" t="s">
        <v>340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254</v>
      </c>
      <c r="B199" s="127"/>
      <c r="C199" s="112"/>
      <c r="D199" s="120"/>
      <c r="E199" s="147"/>
      <c r="F199" s="3"/>
      <c r="G199" s="482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05" t="s">
        <v>502</v>
      </c>
      <c r="B201" s="127"/>
      <c r="C201" s="112"/>
      <c r="D201" s="120"/>
      <c r="E201" s="309">
        <f>G37+G42</f>
        <v>2298000</v>
      </c>
      <c r="F201" s="3"/>
      <c r="G201" s="482"/>
      <c r="H201" s="164"/>
    </row>
    <row r="202" spans="1:8" ht="12.75">
      <c r="A202" s="155" t="s">
        <v>490</v>
      </c>
      <c r="B202" s="127"/>
      <c r="C202" s="112"/>
      <c r="D202" s="120"/>
      <c r="E202" s="499">
        <f>REGINFO!D62</f>
        <v>3005779.675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504</v>
      </c>
      <c r="B206" s="127"/>
      <c r="C206" s="112"/>
      <c r="D206" s="120"/>
      <c r="E206" s="468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10">
        <f>+E196-E204</f>
        <v>489495.1303415061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3"/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51">
      <selection activeCell="C118" sqref="C11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Guelph Hydro Electric Systems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322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256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222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320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321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270</v>
      </c>
      <c r="B31" s="23" t="s">
        <v>187</v>
      </c>
      <c r="C31" s="490">
        <v>109690000</v>
      </c>
      <c r="D31" s="287"/>
      <c r="E31" s="285">
        <f>C31-D31</f>
        <v>109690000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90">
        <v>20022000</v>
      </c>
      <c r="D32" s="287"/>
      <c r="E32" s="285">
        <f>C32-D32</f>
        <v>20022000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1445000</v>
      </c>
      <c r="D33" s="287"/>
      <c r="E33" s="285">
        <f>C33-D33</f>
        <v>1445000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0">
        <v>109690000</v>
      </c>
      <c r="D39" s="287"/>
      <c r="E39" s="285">
        <f>C39-D39</f>
        <v>109690000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0">
        <f>3329000+1128000+40000-300206-1000</f>
        <v>4195794</v>
      </c>
      <c r="D40" s="287"/>
      <c r="E40" s="285">
        <f aca="true" t="shared" si="0" ref="E40:E48">C40-D40</f>
        <v>4195794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6">
        <v>1360000</v>
      </c>
      <c r="D41" s="287"/>
      <c r="E41" s="285">
        <f t="shared" si="0"/>
        <v>1360000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6">
        <f>895000+1809000</f>
        <v>2704000</v>
      </c>
      <c r="D42" s="287"/>
      <c r="E42" s="285">
        <f t="shared" si="0"/>
        <v>2704000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490">
        <v>4437000</v>
      </c>
      <c r="D43" s="287"/>
      <c r="E43" s="285">
        <f t="shared" si="0"/>
        <v>4437000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490">
        <v>300206</v>
      </c>
      <c r="D44" s="287"/>
      <c r="E44" s="285">
        <f t="shared" si="0"/>
        <v>300206</v>
      </c>
      <c r="F44" s="11"/>
      <c r="G44" s="11"/>
      <c r="H44" s="6"/>
      <c r="I44" s="6"/>
    </row>
    <row r="45" spans="1:11" ht="12.75">
      <c r="A45" s="417" t="s">
        <v>102</v>
      </c>
      <c r="B45" s="23" t="s">
        <v>188</v>
      </c>
      <c r="C45" s="490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8470000</v>
      </c>
      <c r="D50" s="282">
        <f>SUM(D31:D36)-SUM(D39:D49)</f>
        <v>0</v>
      </c>
      <c r="E50" s="282">
        <f>SUM(E31:E35)-SUM(E39:E48)</f>
        <v>8470000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90">
        <v>2298000</v>
      </c>
      <c r="D51" s="286"/>
      <c r="E51" s="283">
        <f>+C51-D51</f>
        <v>2298000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90">
        <v>2567000</v>
      </c>
      <c r="D52" s="286"/>
      <c r="E52" s="284">
        <f>+C52-D52</f>
        <v>2567000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3605000</v>
      </c>
      <c r="D53" s="282">
        <f>D50-D51-D52</f>
        <v>0</v>
      </c>
      <c r="E53" s="282">
        <f>E50-E51-E52</f>
        <v>3605000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2567000</v>
      </c>
      <c r="D59" s="288">
        <f>D52</f>
        <v>0</v>
      </c>
      <c r="E59" s="273">
        <f>+C59-D59</f>
        <v>2567000</v>
      </c>
      <c r="F59" s="8"/>
      <c r="G59" s="417"/>
    </row>
    <row r="60" spans="1:6" ht="12.75">
      <c r="A60" s="4" t="s">
        <v>323</v>
      </c>
      <c r="B60" s="8" t="s">
        <v>187</v>
      </c>
      <c r="C60" s="491"/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4776451+191000</f>
        <v>4967451</v>
      </c>
      <c r="D61" s="288">
        <f>D43</f>
        <v>0</v>
      </c>
      <c r="E61" s="273">
        <f>+C61-D61</f>
        <v>4967451</v>
      </c>
      <c r="F61" s="8"/>
      <c r="G61" s="417"/>
    </row>
    <row r="62" spans="1:6" ht="12.75">
      <c r="A62" t="s">
        <v>6</v>
      </c>
      <c r="B62" s="8" t="s">
        <v>187</v>
      </c>
      <c r="C62" s="491">
        <v>0</v>
      </c>
      <c r="D62" s="288">
        <v>0</v>
      </c>
      <c r="E62" s="273">
        <f>+C62-D62</f>
        <v>0</v>
      </c>
      <c r="F62" s="8"/>
    </row>
    <row r="63" spans="1:6" ht="12.75">
      <c r="A63" s="31" t="s">
        <v>275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6398561</v>
      </c>
      <c r="D64" s="318">
        <f>'Tax Reserves'!D63</f>
        <v>0</v>
      </c>
      <c r="E64" s="273">
        <f>+C64-D64</f>
        <v>6398561</v>
      </c>
      <c r="F64" s="8"/>
    </row>
    <row r="65" spans="1:6" ht="12.75">
      <c r="A65" t="s">
        <v>440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4" t="s">
        <v>391</v>
      </c>
      <c r="B66" s="8"/>
      <c r="C66" s="443">
        <f>'TAXREC 3 No True-up'!C47</f>
        <v>0</v>
      </c>
      <c r="D66" s="443">
        <f>'TAXREC 3 No True-up'!D47</f>
        <v>0</v>
      </c>
      <c r="E66" s="273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13933012</v>
      </c>
      <c r="D70" s="273">
        <f>SUM(D59:D68)</f>
        <v>0</v>
      </c>
      <c r="E70" s="273">
        <f>SUM(E59:E68)</f>
        <v>13933012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7762</v>
      </c>
      <c r="D74" s="295"/>
      <c r="E74" s="273">
        <f t="shared" si="1"/>
        <v>7762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25.5">
      <c r="A76" s="65" t="s">
        <v>510</v>
      </c>
      <c r="B76" s="8" t="s">
        <v>187</v>
      </c>
      <c r="C76" s="478">
        <v>77212</v>
      </c>
      <c r="D76" s="295"/>
      <c r="E76" s="475">
        <f t="shared" si="1"/>
        <v>77212</v>
      </c>
      <c r="F76" s="8"/>
      <c r="G76" s="76"/>
      <c r="H76" s="77"/>
      <c r="I76" s="78"/>
      <c r="J76" s="77"/>
      <c r="K76" s="77"/>
    </row>
    <row r="77" spans="1:11" ht="12.75">
      <c r="A77" s="68" t="s">
        <v>511</v>
      </c>
      <c r="B77" s="8" t="s">
        <v>187</v>
      </c>
      <c r="C77" s="295">
        <v>5498</v>
      </c>
      <c r="D77" s="295"/>
      <c r="E77" s="273">
        <f t="shared" si="1"/>
        <v>5498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90472</v>
      </c>
      <c r="D80" s="251">
        <f>SUM(D73:D79)</f>
        <v>0</v>
      </c>
      <c r="E80" s="251">
        <f>SUM(E73:E79)</f>
        <v>90472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14023484</v>
      </c>
      <c r="D82" s="251">
        <f>D70+D80</f>
        <v>0</v>
      </c>
      <c r="E82" s="251">
        <f>E70+E80</f>
        <v>14023484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Non-deductible meals and entertainment expense</v>
      </c>
      <c r="B86" s="274"/>
      <c r="C86" s="291">
        <f t="shared" si="3"/>
        <v>7762</v>
      </c>
      <c r="D86" s="291">
        <f t="shared" si="3"/>
        <v>0</v>
      </c>
      <c r="E86" s="291">
        <f t="shared" si="3"/>
        <v>7762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25.5">
      <c r="A88" s="289" t="str">
        <f t="shared" si="2"/>
        <v>SCIENTIFIC RESEARCH EXPENDITURES DEDUCTED PER FINANCIAL STATEMENTS</v>
      </c>
      <c r="B88" s="274"/>
      <c r="C88" s="291">
        <f t="shared" si="3"/>
        <v>77212</v>
      </c>
      <c r="D88" s="291">
        <f t="shared" si="3"/>
        <v>0</v>
      </c>
      <c r="E88" s="291">
        <f t="shared" si="3"/>
        <v>77212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ONTARIO SPECIFIED TAX CREDITS</v>
      </c>
      <c r="B89" s="274"/>
      <c r="C89" s="291">
        <f t="shared" si="3"/>
        <v>5498</v>
      </c>
      <c r="D89" s="291">
        <f t="shared" si="3"/>
        <v>0</v>
      </c>
      <c r="E89" s="291">
        <f t="shared" si="3"/>
        <v>5498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90472</v>
      </c>
      <c r="D92" s="280">
        <f>SUM(D85:D91)</f>
        <v>0</v>
      </c>
      <c r="E92" s="280">
        <f>SUM(E85:E91)</f>
        <v>90472</v>
      </c>
      <c r="F92" s="8"/>
      <c r="G92" s="45"/>
      <c r="H92" s="45"/>
      <c r="I92" s="45"/>
      <c r="J92" s="45"/>
      <c r="K92" s="45"/>
    </row>
    <row r="93" spans="1:11" ht="12.75">
      <c r="A93" s="274" t="s">
        <v>428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90472</v>
      </c>
      <c r="D94" s="251">
        <f>D92+D93</f>
        <v>0</v>
      </c>
      <c r="E94" s="251">
        <f>E92+E93</f>
        <v>90472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3">
        <v>5274841</v>
      </c>
      <c r="D97" s="295"/>
      <c r="E97" s="273">
        <f>+C97-D97</f>
        <v>5274841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366681</v>
      </c>
      <c r="D98" s="295"/>
      <c r="E98" s="273">
        <f>+C98-D98</f>
        <v>366681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3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20">
        <f>'Tax Reserves'!C50</f>
        <v>5648133</v>
      </c>
      <c r="D105" s="320">
        <f>'Tax Reserves'!D50</f>
        <v>0</v>
      </c>
      <c r="E105" s="283">
        <f t="shared" si="5"/>
        <v>5648133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4" t="s">
        <v>391</v>
      </c>
      <c r="B108" s="8"/>
      <c r="C108" s="254">
        <f>'TAXREC 3 No True-up'!C75</f>
        <v>1972275</v>
      </c>
      <c r="D108" s="254">
        <f>'TAXREC 3 No True-up'!D75</f>
        <v>0</v>
      </c>
      <c r="E108" s="273">
        <f t="shared" si="5"/>
        <v>1972275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13261930</v>
      </c>
      <c r="D113" s="251">
        <f>SUM(D97:D111)</f>
        <v>0</v>
      </c>
      <c r="E113" s="251">
        <f>SUM(E97:E111)</f>
        <v>13261930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25.5">
      <c r="A116" s="68" t="s">
        <v>512</v>
      </c>
      <c r="B116" s="8" t="s">
        <v>188</v>
      </c>
      <c r="C116" s="295">
        <v>77212</v>
      </c>
      <c r="D116" s="295"/>
      <c r="E116" s="273">
        <f>+C116-D116</f>
        <v>77212</v>
      </c>
      <c r="F116" s="8"/>
      <c r="G116" s="76"/>
      <c r="H116" s="77"/>
      <c r="I116" s="77"/>
      <c r="J116" s="77"/>
      <c r="K116" s="77"/>
    </row>
    <row r="117" spans="1:11" ht="12.75">
      <c r="A117" s="68" t="s">
        <v>102</v>
      </c>
      <c r="B117" s="8" t="s">
        <v>188</v>
      </c>
      <c r="C117" s="295">
        <v>0</v>
      </c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77212</v>
      </c>
      <c r="D120" s="251">
        <f>SUM(D114:D119)</f>
        <v>0</v>
      </c>
      <c r="E120" s="251">
        <f>SUM(E114:E119)</f>
        <v>77212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13339142</v>
      </c>
      <c r="D122" s="251">
        <f>D113+D120</f>
        <v>0</v>
      </c>
      <c r="E122" s="251">
        <f>+E113+E120</f>
        <v>13339142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25.5">
      <c r="A126" s="289" t="str">
        <f>IF($E116&gt;$C$13,A116," ")</f>
        <v>SCIENTIFIC RESEARCH EXPENSES CLAIMED IN YEAR FROM FORM T661</v>
      </c>
      <c r="B126" s="274"/>
      <c r="C126" s="291">
        <f t="shared" si="6"/>
        <v>77212</v>
      </c>
      <c r="D126" s="291">
        <f>IF($E116&gt;$C$13,D116,)</f>
        <v>0</v>
      </c>
      <c r="E126" s="291">
        <f>IF($E116&gt;$C$13,E116,)</f>
        <v>77212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77212</v>
      </c>
      <c r="D130" s="251">
        <f>SUM(D125:D129)</f>
        <v>0</v>
      </c>
      <c r="E130" s="251">
        <f>SUM(E125:E129)</f>
        <v>77212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77212</v>
      </c>
      <c r="D132" s="251">
        <f>D130+D131</f>
        <v>0</v>
      </c>
      <c r="E132" s="251">
        <f>E130+E131</f>
        <v>77212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4289342</v>
      </c>
      <c r="D134" s="251">
        <f>D53+D82-D122</f>
        <v>0</v>
      </c>
      <c r="E134" s="251">
        <f>E53+E82-E122</f>
        <v>4289342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371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30"/>
      <c r="J136" s="45"/>
      <c r="K136" s="45"/>
    </row>
    <row r="137" spans="1:11" ht="12.75">
      <c r="A137" s="46" t="s">
        <v>372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4289342</v>
      </c>
      <c r="D139" s="252">
        <f>D134-D136-D137-D138</f>
        <v>0</v>
      </c>
      <c r="E139" s="252">
        <f>E134-E136-E137-E138</f>
        <v>4289342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187</v>
      </c>
      <c r="C142" s="492">
        <v>1013055</v>
      </c>
      <c r="D142" s="299"/>
      <c r="E142" s="252">
        <f>C142-D142</f>
        <v>1013055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187</v>
      </c>
      <c r="C143" s="492">
        <v>530670</v>
      </c>
      <c r="D143" s="299"/>
      <c r="E143" s="293">
        <f>C143-D143</f>
        <v>530670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1543725</v>
      </c>
      <c r="D144" s="252">
        <f>D142+D143</f>
        <v>0</v>
      </c>
      <c r="E144" s="252">
        <f>E142+E143</f>
        <v>1543725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1543725</v>
      </c>
      <c r="D146" s="252">
        <f>D144-D145</f>
        <v>0</v>
      </c>
      <c r="E146" s="252">
        <f>E144-E145</f>
        <v>1543725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6">
        <f>C142/C139</f>
        <v>0.23617958185661111</v>
      </c>
      <c r="D149" s="5"/>
      <c r="E149" s="407">
        <f>C149</f>
        <v>0.23617958185661111</v>
      </c>
      <c r="F149" s="8"/>
      <c r="G149" s="479" t="s">
        <v>465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93">
        <f>C143/C139</f>
        <v>0.12371827660279829</v>
      </c>
      <c r="D150" s="5"/>
      <c r="E150" s="407">
        <f>C150</f>
        <v>0.12371827660279829</v>
      </c>
      <c r="F150" s="8"/>
      <c r="G150" s="479" t="s">
        <v>466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7">
        <f>SUM(C149:C150)</f>
        <v>0.3598978584594094</v>
      </c>
      <c r="D151" s="5"/>
      <c r="E151" s="407">
        <f>SUM(E149:E150)</f>
        <v>0.3598978584594094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475</v>
      </c>
      <c r="B155" s="8"/>
    </row>
    <row r="156" spans="1:5" ht="12.75">
      <c r="A156" t="s">
        <v>219</v>
      </c>
      <c r="B156" s="86" t="s">
        <v>187</v>
      </c>
      <c r="C156" s="251">
        <f>C146</f>
        <v>1543725</v>
      </c>
      <c r="D156" s="251">
        <f>D146</f>
        <v>0</v>
      </c>
      <c r="E156" s="251">
        <f>E146</f>
        <v>1543725</v>
      </c>
    </row>
    <row r="157" spans="1:5" ht="12.75">
      <c r="A157" t="s">
        <v>20</v>
      </c>
      <c r="B157" s="86" t="s">
        <v>187</v>
      </c>
      <c r="C157" s="494">
        <v>295196</v>
      </c>
      <c r="D157" s="251"/>
      <c r="E157" s="251">
        <f>C157+D157</f>
        <v>295196</v>
      </c>
    </row>
    <row r="158" spans="1:5" ht="12.75">
      <c r="A158" t="s">
        <v>218</v>
      </c>
      <c r="B158" s="86" t="s">
        <v>187</v>
      </c>
      <c r="C158" s="494">
        <v>170780</v>
      </c>
      <c r="D158" s="251"/>
      <c r="E158" s="251">
        <f>C158+D158</f>
        <v>170780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1">
        <f>C156+C157+C158</f>
        <v>2009701</v>
      </c>
      <c r="D160" s="251">
        <f>D156+D157+D158</f>
        <v>0</v>
      </c>
      <c r="E160" s="251">
        <f>E156+E157+E158</f>
        <v>2009701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65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19">
      <selection activeCell="C19" sqref="C19"/>
    </sheetView>
  </sheetViews>
  <sheetFormatPr defaultColWidth="9.140625" defaultRowHeight="12.75"/>
  <cols>
    <col min="1" max="1" width="48.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Guelph Hydro Electric Systems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269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277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278</v>
      </c>
      <c r="B15" s="61"/>
      <c r="C15" s="295"/>
      <c r="D15" s="295"/>
      <c r="E15" s="251">
        <f t="shared" si="0"/>
        <v>0</v>
      </c>
    </row>
    <row r="16" spans="1:5" ht="12.75">
      <c r="A16" s="61" t="s">
        <v>279</v>
      </c>
      <c r="B16" s="61"/>
      <c r="C16" s="295"/>
      <c r="D16" s="295"/>
      <c r="E16" s="251">
        <f t="shared" si="0"/>
        <v>0</v>
      </c>
    </row>
    <row r="17" spans="1:5" ht="12.75">
      <c r="A17" s="61" t="s">
        <v>280</v>
      </c>
      <c r="B17" s="61"/>
      <c r="C17" s="295"/>
      <c r="D17" s="295"/>
      <c r="E17" s="251">
        <f t="shared" si="0"/>
        <v>0</v>
      </c>
    </row>
    <row r="18" spans="1:5" ht="12.75">
      <c r="A18" s="61" t="s">
        <v>509</v>
      </c>
      <c r="B18" s="61"/>
      <c r="C18" s="295">
        <v>0</v>
      </c>
      <c r="D18" s="295"/>
      <c r="E18" s="251">
        <f t="shared" si="0"/>
        <v>0</v>
      </c>
    </row>
    <row r="19" spans="1:5" ht="12.75">
      <c r="A19" s="61" t="s">
        <v>445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268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277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278</v>
      </c>
      <c r="B27" s="61"/>
      <c r="C27" s="295"/>
      <c r="D27" s="295"/>
      <c r="E27" s="251">
        <f t="shared" si="1"/>
        <v>0</v>
      </c>
    </row>
    <row r="28" spans="1:5" ht="12.75">
      <c r="A28" s="61" t="s">
        <v>279</v>
      </c>
      <c r="B28" s="61"/>
      <c r="C28" s="295"/>
      <c r="D28" s="295"/>
      <c r="E28" s="251">
        <f t="shared" si="1"/>
        <v>0</v>
      </c>
    </row>
    <row r="29" spans="1:5" ht="12.75">
      <c r="A29" s="61" t="s">
        <v>280</v>
      </c>
      <c r="B29" s="61"/>
      <c r="C29" s="295"/>
      <c r="D29" s="295"/>
      <c r="E29" s="251">
        <f t="shared" si="1"/>
        <v>0</v>
      </c>
    </row>
    <row r="30" spans="1:5" ht="12.75">
      <c r="A30" s="61" t="s">
        <v>508</v>
      </c>
      <c r="B30" s="61"/>
      <c r="C30" s="295">
        <v>0</v>
      </c>
      <c r="D30" s="295"/>
      <c r="E30" s="251">
        <f t="shared" si="1"/>
        <v>0</v>
      </c>
    </row>
    <row r="31" spans="1:5" ht="12.75">
      <c r="A31" s="61" t="s">
        <v>445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269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264</v>
      </c>
      <c r="B43" s="61"/>
      <c r="C43" s="295"/>
      <c r="D43" s="295"/>
      <c r="E43" s="251">
        <f t="shared" si="2"/>
        <v>0</v>
      </c>
    </row>
    <row r="44" spans="1:5" ht="12.75">
      <c r="A44" s="61" t="s">
        <v>266</v>
      </c>
      <c r="B44" s="61"/>
      <c r="C44" s="295">
        <v>0</v>
      </c>
      <c r="D44" s="295"/>
      <c r="E44" s="251">
        <f t="shared" si="2"/>
        <v>0</v>
      </c>
    </row>
    <row r="45" spans="1:5" ht="12.75">
      <c r="A45" s="502" t="s">
        <v>499</v>
      </c>
      <c r="B45" s="61"/>
      <c r="C45" s="295"/>
      <c r="D45" s="295"/>
      <c r="E45" s="251">
        <f t="shared" si="2"/>
        <v>0</v>
      </c>
    </row>
    <row r="46" spans="1:5" ht="12.75">
      <c r="A46" s="61" t="s">
        <v>509</v>
      </c>
      <c r="B46" s="61"/>
      <c r="C46" s="295">
        <v>5648133</v>
      </c>
      <c r="D46" s="295"/>
      <c r="E46" s="251">
        <f t="shared" si="2"/>
        <v>5648133</v>
      </c>
    </row>
    <row r="47" spans="1:5" ht="12.75">
      <c r="A47" s="61" t="s">
        <v>445</v>
      </c>
      <c r="B47" s="61"/>
      <c r="C47" s="295">
        <v>0</v>
      </c>
      <c r="D47" s="295"/>
      <c r="E47" s="251">
        <f t="shared" si="2"/>
        <v>0</v>
      </c>
    </row>
    <row r="48" spans="1:5" ht="12.75">
      <c r="A48" s="61" t="s">
        <v>265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5648133</v>
      </c>
      <c r="D50" s="251">
        <f>SUM(D41:D49)</f>
        <v>0</v>
      </c>
      <c r="E50" s="251">
        <f>SUM(E41:E49)</f>
        <v>5648133</v>
      </c>
    </row>
    <row r="51" spans="3:5" ht="12.75">
      <c r="C51" s="22"/>
      <c r="D51" s="22"/>
      <c r="E51" s="22"/>
    </row>
    <row r="52" spans="1:5" ht="12.75">
      <c r="A52" s="247" t="s">
        <v>268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264</v>
      </c>
      <c r="B55" s="61"/>
      <c r="C55" s="295"/>
      <c r="D55" s="295"/>
      <c r="E55" s="251">
        <f t="shared" si="3"/>
        <v>0</v>
      </c>
    </row>
    <row r="56" spans="1:5" ht="12.75">
      <c r="A56" s="502" t="s">
        <v>499</v>
      </c>
      <c r="B56" s="61"/>
      <c r="C56" s="295">
        <v>0</v>
      </c>
      <c r="D56" s="295"/>
      <c r="E56" s="251">
        <f t="shared" si="3"/>
        <v>0</v>
      </c>
    </row>
    <row r="57" spans="1:5" ht="12.75">
      <c r="A57" s="246" t="s">
        <v>265</v>
      </c>
      <c r="B57" s="61"/>
      <c r="C57" s="295"/>
      <c r="D57" s="295"/>
      <c r="E57" s="251">
        <f t="shared" si="3"/>
        <v>0</v>
      </c>
    </row>
    <row r="58" spans="1:5" ht="12.75">
      <c r="A58" s="246" t="s">
        <v>266</v>
      </c>
      <c r="B58" s="61"/>
      <c r="C58" s="295"/>
      <c r="D58" s="295"/>
      <c r="E58" s="251">
        <f t="shared" si="3"/>
        <v>0</v>
      </c>
    </row>
    <row r="59" spans="1:5" ht="12.75">
      <c r="A59" s="61" t="s">
        <v>508</v>
      </c>
      <c r="B59" s="61"/>
      <c r="C59" s="295">
        <v>6398561</v>
      </c>
      <c r="D59" s="295"/>
      <c r="E59" s="251">
        <f t="shared" si="3"/>
        <v>6398561</v>
      </c>
    </row>
    <row r="60" spans="1:5" ht="12.75">
      <c r="A60" s="61" t="s">
        <v>445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6398561</v>
      </c>
      <c r="D63" s="251">
        <f>SUM(D53:D61)</f>
        <v>0</v>
      </c>
      <c r="E63" s="251">
        <f>SUM(E53:E61)</f>
        <v>6398561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110" zoomScaleNormal="110" zoomScalePageLayoutView="0" workbookViewId="0" topLeftCell="A1">
      <pane xSplit="1" ySplit="6" topLeftCell="B8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95" sqref="A9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463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462</v>
      </c>
      <c r="B5" s="8"/>
      <c r="C5" s="8" t="s">
        <v>2</v>
      </c>
      <c r="D5" s="8"/>
      <c r="E5" s="8"/>
      <c r="F5" s="8"/>
    </row>
    <row r="6" spans="1:6" ht="12.75">
      <c r="A6" s="417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Guelph Hydro Electric Systems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250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446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251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473</v>
      </c>
      <c r="B36" t="s">
        <v>187</v>
      </c>
      <c r="C36" s="495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252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373</v>
      </c>
      <c r="B87" s="8" t="s">
        <v>188</v>
      </c>
      <c r="C87" s="483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474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500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6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4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E80" sqref="E8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381</v>
      </c>
      <c r="E3" s="92"/>
    </row>
    <row r="4" spans="1:6" ht="15.75">
      <c r="A4" s="461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3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Guelph Hydro Electric Systems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384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450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387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388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451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434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386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385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429</v>
      </c>
      <c r="B32" t="s">
        <v>187</v>
      </c>
      <c r="C32" s="495"/>
      <c r="D32" s="296"/>
      <c r="E32" s="314">
        <f t="shared" si="0"/>
        <v>0</v>
      </c>
    </row>
    <row r="33" spans="1:5" ht="12.75">
      <c r="A33" s="67" t="s">
        <v>430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447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448</v>
      </c>
      <c r="C35" s="296">
        <v>0</v>
      </c>
      <c r="D35" s="296"/>
      <c r="E35" s="314">
        <f t="shared" si="0"/>
        <v>0</v>
      </c>
    </row>
    <row r="36" spans="1:5" ht="12.75">
      <c r="A36" s="67" t="s">
        <v>431</v>
      </c>
      <c r="C36" s="495"/>
      <c r="D36" s="296"/>
      <c r="E36" s="314">
        <f t="shared" si="0"/>
        <v>0</v>
      </c>
    </row>
    <row r="37" spans="1:5" ht="12.75">
      <c r="A37" s="67" t="s">
        <v>432</v>
      </c>
      <c r="C37" s="296"/>
      <c r="D37" s="296"/>
      <c r="E37" s="314">
        <f t="shared" si="0"/>
        <v>0</v>
      </c>
    </row>
    <row r="38" spans="1:5" ht="12.75">
      <c r="A38" s="67" t="s">
        <v>454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389</v>
      </c>
      <c r="B40" t="s">
        <v>187</v>
      </c>
      <c r="C40" s="296"/>
      <c r="D40" s="296"/>
      <c r="E40" s="314">
        <f t="shared" si="0"/>
        <v>0</v>
      </c>
    </row>
    <row r="41" spans="1:5" ht="12.75">
      <c r="A41" s="81" t="s">
        <v>383</v>
      </c>
      <c r="B41" t="s">
        <v>187</v>
      </c>
      <c r="C41" s="495">
        <v>0</v>
      </c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s="500" t="s">
        <v>491</v>
      </c>
      <c r="B44" t="s">
        <v>187</v>
      </c>
      <c r="C44" s="483">
        <v>0</v>
      </c>
      <c r="D44" s="295"/>
      <c r="E44" s="251">
        <f t="shared" si="0"/>
        <v>0</v>
      </c>
    </row>
    <row r="45" spans="1:5" ht="12.75">
      <c r="A45" s="501" t="s">
        <v>492</v>
      </c>
      <c r="B45" t="s">
        <v>187</v>
      </c>
      <c r="C45" s="295">
        <v>0</v>
      </c>
      <c r="D45" s="295"/>
      <c r="E45" s="251">
        <f t="shared" si="0"/>
        <v>0</v>
      </c>
    </row>
    <row r="46" spans="1:5" ht="12.75">
      <c r="A46" s="501" t="s">
        <v>500</v>
      </c>
      <c r="B46" t="s">
        <v>187</v>
      </c>
      <c r="C46" s="295">
        <v>0</v>
      </c>
      <c r="D46" s="295"/>
      <c r="E46" s="280"/>
    </row>
    <row r="47" spans="1:5" ht="12.75">
      <c r="A47" s="446" t="s">
        <v>393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384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450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385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433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441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453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449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452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3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5" t="s">
        <v>390</v>
      </c>
      <c r="B64" s="8" t="s">
        <v>188</v>
      </c>
      <c r="C64" s="295">
        <v>300206</v>
      </c>
      <c r="D64" s="295"/>
      <c r="E64" s="251">
        <f t="shared" si="2"/>
        <v>300206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5" t="s">
        <v>383</v>
      </c>
      <c r="B66" s="8" t="s">
        <v>188</v>
      </c>
      <c r="C66" s="295">
        <v>1672069</v>
      </c>
      <c r="D66" s="295"/>
      <c r="E66" s="251">
        <f t="shared" si="2"/>
        <v>1672069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501" t="s">
        <v>493</v>
      </c>
      <c r="B69" s="8" t="s">
        <v>188</v>
      </c>
      <c r="C69" s="295">
        <v>0</v>
      </c>
      <c r="D69" s="295"/>
      <c r="E69" s="251">
        <f t="shared" si="2"/>
        <v>0</v>
      </c>
    </row>
    <row r="70" spans="1:5" ht="12.75">
      <c r="A70" s="501" t="s">
        <v>494</v>
      </c>
      <c r="B70" s="8" t="s">
        <v>188</v>
      </c>
      <c r="C70" s="295">
        <v>0</v>
      </c>
      <c r="D70" s="295"/>
      <c r="E70" s="251">
        <f t="shared" si="2"/>
        <v>0</v>
      </c>
    </row>
    <row r="71" spans="1:5" ht="12.75">
      <c r="A71" s="501" t="s">
        <v>495</v>
      </c>
      <c r="B71" s="8" t="s">
        <v>188</v>
      </c>
      <c r="C71" s="295">
        <v>0</v>
      </c>
      <c r="D71" s="295"/>
      <c r="E71" s="251">
        <f t="shared" si="2"/>
        <v>0</v>
      </c>
    </row>
    <row r="72" spans="1:5" ht="12.75">
      <c r="A72" s="501" t="s">
        <v>496</v>
      </c>
      <c r="B72" s="8" t="s">
        <v>188</v>
      </c>
      <c r="C72" s="295">
        <v>0</v>
      </c>
      <c r="D72" s="295"/>
      <c r="E72" s="280">
        <f t="shared" si="2"/>
        <v>0</v>
      </c>
    </row>
    <row r="73" spans="1:5" ht="12.75">
      <c r="A73" s="501" t="s">
        <v>497</v>
      </c>
      <c r="B73" s="8"/>
      <c r="C73" s="295">
        <v>0</v>
      </c>
      <c r="D73" s="295"/>
      <c r="E73" s="280">
        <f t="shared" si="2"/>
        <v>0</v>
      </c>
    </row>
    <row r="74" spans="1:5" ht="12.75">
      <c r="A74" s="501" t="s">
        <v>498</v>
      </c>
      <c r="B74" s="8"/>
      <c r="C74" s="295"/>
      <c r="D74" s="295"/>
      <c r="E74" s="280"/>
    </row>
    <row r="75" spans="1:5" ht="12.75">
      <c r="A75" s="445" t="s">
        <v>392</v>
      </c>
      <c r="B75" s="8" t="s">
        <v>189</v>
      </c>
      <c r="C75" s="251">
        <f>SUM(C51:C74)</f>
        <v>1972275</v>
      </c>
      <c r="D75" s="251">
        <f>SUM(D51:D74)</f>
        <v>0</v>
      </c>
      <c r="E75" s="251">
        <f>SUM(E51:E74)</f>
        <v>1972275</v>
      </c>
    </row>
    <row r="76" ht="12.75">
      <c r="A76" s="67"/>
    </row>
    <row r="77" ht="12.75">
      <c r="A77" s="4"/>
    </row>
    <row r="78" ht="12.75">
      <c r="A78" s="503"/>
    </row>
    <row r="79" ht="12.75">
      <c r="A79" s="504"/>
    </row>
    <row r="80" ht="12.75">
      <c r="A80" s="504"/>
    </row>
    <row r="81" ht="12.75">
      <c r="A81" s="504"/>
    </row>
    <row r="82" ht="12.75">
      <c r="A82" s="504"/>
    </row>
    <row r="83" ht="12.75">
      <c r="A83" s="31"/>
    </row>
    <row r="84" ht="12.75">
      <c r="A84" s="504"/>
    </row>
    <row r="85" ht="12.75">
      <c r="A85" s="504"/>
    </row>
    <row r="86" ht="12.75">
      <c r="A86" s="50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5">
      <selection activeCell="A59" sqref="A59:F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EB-2010-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303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Guelph Hydro Electric Systems Inc.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333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4" t="s">
        <v>481</v>
      </c>
      <c r="B8" s="515"/>
      <c r="C8" s="515"/>
      <c r="D8" s="515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464</v>
      </c>
      <c r="B10" s="328"/>
      <c r="C10" s="377" t="s">
        <v>111</v>
      </c>
      <c r="D10" s="377"/>
      <c r="E10" s="377" t="s">
        <v>111</v>
      </c>
      <c r="F10" s="378" t="s">
        <v>486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296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295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300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257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328</v>
      </c>
      <c r="B21" s="408" t="s">
        <v>469</v>
      </c>
      <c r="C21" s="497">
        <f>5000000*REGINFO!D21</f>
        <v>4906000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329</v>
      </c>
      <c r="B22" s="409" t="s">
        <v>470</v>
      </c>
      <c r="C22" s="498">
        <f>10000000*REGINFO!D22</f>
        <v>9812000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8" t="s">
        <v>488</v>
      </c>
      <c r="B23" s="509"/>
      <c r="C23" s="509"/>
      <c r="D23" s="509"/>
      <c r="E23" s="509"/>
      <c r="F23" s="509"/>
      <c r="G23" s="435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6" t="s">
        <v>482</v>
      </c>
      <c r="B26" s="517"/>
      <c r="C26" s="517"/>
      <c r="D26" s="517"/>
      <c r="E26" s="517"/>
      <c r="F26" s="51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437</v>
      </c>
      <c r="B28" s="328"/>
      <c r="C28" s="371" t="s">
        <v>111</v>
      </c>
      <c r="D28" s="371"/>
      <c r="E28" s="371" t="s">
        <v>111</v>
      </c>
      <c r="F28" s="372" t="s">
        <v>486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295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257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483</v>
      </c>
      <c r="B39" s="408" t="s">
        <v>469</v>
      </c>
      <c r="C39" s="363">
        <f>5000000*REGINFO!D21</f>
        <v>4906000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484</v>
      </c>
      <c r="B40" s="409" t="s">
        <v>470</v>
      </c>
      <c r="C40" s="364">
        <f>10000000*REGINFO!D22</f>
        <v>9812000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0" t="s">
        <v>331</v>
      </c>
      <c r="B41" s="509"/>
      <c r="C41" s="509"/>
      <c r="D41" s="509"/>
      <c r="E41" s="509"/>
      <c r="F41" s="50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1"/>
      <c r="B42" s="511"/>
      <c r="C42" s="511"/>
      <c r="D42" s="511"/>
      <c r="E42" s="511"/>
      <c r="F42" s="51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485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468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295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257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345</v>
      </c>
      <c r="B57" s="408" t="s">
        <v>469</v>
      </c>
      <c r="C57" s="363">
        <v>0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346</v>
      </c>
      <c r="B58" s="409" t="s">
        <v>470</v>
      </c>
      <c r="C58" s="364">
        <v>4310000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8" t="s">
        <v>347</v>
      </c>
      <c r="B59" s="512"/>
      <c r="C59" s="512"/>
      <c r="D59" s="512"/>
      <c r="E59" s="512"/>
      <c r="F59" s="51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3"/>
      <c r="B60" s="513"/>
      <c r="C60" s="513"/>
      <c r="D60" s="513"/>
      <c r="E60" s="513"/>
      <c r="F60" s="51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455</v>
      </c>
      <c r="B2" s="2"/>
    </row>
    <row r="3" spans="1:15" ht="12.75">
      <c r="A3" s="2" t="str">
        <f>REGINFO!A3</f>
        <v>Utility Name: Guelph Hydro Electric Systems Inc.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317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394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436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395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396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420324.40310077515</v>
      </c>
      <c r="N15" s="393"/>
      <c r="O15" s="398">
        <f t="shared" si="0"/>
        <v>420324.40310077515</v>
      </c>
    </row>
    <row r="16" spans="1:15" ht="27" customHeight="1">
      <c r="A16" s="81" t="s">
        <v>397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398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-149477.6245064421</v>
      </c>
      <c r="N17" s="393"/>
      <c r="O17" s="398">
        <f t="shared" si="0"/>
        <v>-149477.6245064421</v>
      </c>
    </row>
    <row r="18" spans="1:15" ht="25.5">
      <c r="A18" s="81" t="s">
        <v>399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29" t="s">
        <v>400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467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370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270846.77859433304</v>
      </c>
      <c r="N22" s="392"/>
      <c r="O22" s="447">
        <f>SUM(O11:O20)</f>
        <v>270846.77859433304</v>
      </c>
    </row>
    <row r="23" spans="1:15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8"/>
      <c r="M23" s="439"/>
      <c r="N23" s="188"/>
      <c r="O23" s="439"/>
    </row>
    <row r="24" spans="1:15" ht="12.75">
      <c r="A24" s="453"/>
      <c r="B24" s="454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/>
    </row>
    <row r="25" spans="1:15" ht="12.75">
      <c r="A25" s="430"/>
      <c r="B25" s="431"/>
      <c r="C25" s="457"/>
      <c r="D25" s="457"/>
      <c r="E25" s="457"/>
      <c r="F25" s="457"/>
      <c r="G25" s="457"/>
      <c r="H25" s="457"/>
      <c r="I25" s="457"/>
      <c r="J25" s="458"/>
      <c r="K25" s="457"/>
      <c r="L25" s="459"/>
      <c r="M25" s="460"/>
      <c r="N25" s="459"/>
      <c r="O25" s="460"/>
    </row>
    <row r="26" spans="1:15" ht="12.75">
      <c r="A26" s="430" t="s">
        <v>401</v>
      </c>
      <c r="B26" s="431"/>
      <c r="C26" s="457"/>
      <c r="D26" s="457"/>
      <c r="E26" s="457"/>
      <c r="F26" s="457"/>
      <c r="G26" s="457"/>
      <c r="H26" s="457"/>
      <c r="I26" s="457"/>
      <c r="J26" s="458"/>
      <c r="K26" s="457"/>
      <c r="L26" s="459"/>
      <c r="M26" s="460"/>
      <c r="N26" s="459"/>
      <c r="O26" s="460"/>
    </row>
    <row r="27" spans="1:15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8"/>
      <c r="M27" s="188"/>
      <c r="N27" s="188"/>
      <c r="O27" s="188"/>
    </row>
    <row r="28" spans="1:15" ht="12.75">
      <c r="A28" s="430" t="s">
        <v>402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8"/>
      <c r="M28" s="188"/>
      <c r="N28" s="188"/>
      <c r="O28" s="188"/>
    </row>
    <row r="29" spans="1:15" ht="12.75">
      <c r="A29" s="433" t="s">
        <v>403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8"/>
      <c r="M29" s="188"/>
      <c r="N29" s="188"/>
      <c r="O29" s="188"/>
    </row>
    <row r="30" spans="1:15" ht="9" customHeight="1">
      <c r="A30" s="188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8"/>
      <c r="M30" s="188"/>
      <c r="N30" s="188"/>
      <c r="O30" s="188"/>
    </row>
    <row r="31" spans="1:15" ht="12.75">
      <c r="A31" s="448" t="s">
        <v>404</v>
      </c>
      <c r="B31" s="80"/>
      <c r="C31" s="80"/>
      <c r="D31" s="80"/>
      <c r="E31" s="80"/>
      <c r="F31" s="80"/>
      <c r="G31" s="80"/>
      <c r="H31" s="80"/>
      <c r="I31" s="444"/>
      <c r="J31" s="444"/>
      <c r="K31" s="444"/>
      <c r="L31" s="444"/>
      <c r="M31" s="444"/>
      <c r="N31" s="444"/>
      <c r="O31" s="444"/>
    </row>
    <row r="32" spans="1:15" ht="9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</row>
    <row r="33" spans="1:19" ht="12.75">
      <c r="A33" s="519" t="s">
        <v>405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422"/>
      <c r="Q33" s="422"/>
      <c r="R33" s="422"/>
      <c r="S33" s="422"/>
    </row>
    <row r="34" spans="1:19" ht="12.75">
      <c r="A34" s="518" t="s">
        <v>406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422"/>
      <c r="Q34" s="422"/>
      <c r="R34" s="422"/>
      <c r="S34" s="422"/>
    </row>
    <row r="35" spans="1:19" ht="12.75">
      <c r="A35" s="518" t="s">
        <v>427</v>
      </c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422"/>
      <c r="Q35" s="422"/>
      <c r="R35" s="422"/>
      <c r="S35" s="422"/>
    </row>
    <row r="36" spans="1:19" ht="12.75">
      <c r="A36" s="518" t="s">
        <v>407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422"/>
      <c r="Q36" s="422"/>
      <c r="R36" s="422"/>
      <c r="S36" s="422"/>
    </row>
    <row r="37" spans="1:19" ht="12.75">
      <c r="A37" s="434" t="s">
        <v>367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22"/>
      <c r="Q37" s="422"/>
      <c r="R37" s="422"/>
      <c r="S37" s="422"/>
    </row>
    <row r="38" spans="1:19" ht="12.75">
      <c r="A38" s="434" t="s">
        <v>368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22"/>
      <c r="Q38" s="422"/>
      <c r="R38" s="422"/>
      <c r="S38" s="422"/>
    </row>
    <row r="39" spans="1:19" ht="12.75">
      <c r="A39" s="434" t="s">
        <v>408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22"/>
      <c r="Q39" s="422"/>
      <c r="R39" s="422"/>
      <c r="S39" s="422"/>
    </row>
    <row r="40" spans="1:19" ht="12.75">
      <c r="A40" s="434" t="s">
        <v>409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22"/>
      <c r="Q40" s="422"/>
      <c r="R40" s="422"/>
      <c r="S40" s="422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22"/>
      <c r="Q41" s="422"/>
      <c r="R41" s="422"/>
      <c r="S41" s="422"/>
    </row>
    <row r="42" spans="1:15" ht="12.75">
      <c r="A42" s="436" t="s">
        <v>410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8"/>
      <c r="M42" s="188"/>
      <c r="N42" s="188"/>
      <c r="O42" s="188"/>
    </row>
    <row r="43" spans="1:15" ht="12.75">
      <c r="A43" s="431" t="s">
        <v>411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8"/>
      <c r="M43" s="188"/>
      <c r="N43" s="188"/>
      <c r="O43" s="188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8"/>
      <c r="M44" s="188"/>
      <c r="N44" s="188"/>
      <c r="O44" s="188"/>
    </row>
    <row r="45" spans="1:15" ht="12.75">
      <c r="A45" s="436" t="s">
        <v>412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8"/>
      <c r="M45" s="188"/>
      <c r="N45" s="188"/>
      <c r="O45" s="188"/>
    </row>
    <row r="46" spans="1:15" ht="12.75">
      <c r="A46" s="431" t="s">
        <v>413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8"/>
      <c r="M46" s="188"/>
      <c r="N46" s="188"/>
      <c r="O46" s="188"/>
    </row>
    <row r="47" spans="1:15" ht="9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8"/>
      <c r="M47" s="188"/>
      <c r="N47" s="188"/>
      <c r="O47" s="188"/>
    </row>
    <row r="48" spans="1:15" ht="12.75">
      <c r="A48" s="436" t="s">
        <v>414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8"/>
      <c r="M48" s="188"/>
      <c r="N48" s="188"/>
      <c r="O48" s="188"/>
    </row>
    <row r="49" spans="1:15" ht="12.75">
      <c r="A49" s="431" t="s">
        <v>415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8"/>
      <c r="M49" s="188"/>
      <c r="N49" s="188"/>
      <c r="O49" s="188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8"/>
      <c r="M50" s="188"/>
      <c r="N50" s="188"/>
      <c r="O50" s="188"/>
    </row>
    <row r="51" spans="1:15" ht="12.75">
      <c r="A51" s="436" t="s">
        <v>416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8"/>
      <c r="M51" s="188"/>
      <c r="N51" s="188"/>
      <c r="O51" s="188"/>
    </row>
    <row r="52" spans="1:15" ht="12.75">
      <c r="A52" s="431" t="s">
        <v>413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8"/>
      <c r="M52" s="188"/>
      <c r="N52" s="188"/>
      <c r="O52" s="188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8"/>
      <c r="M53" s="188"/>
      <c r="N53" s="188"/>
      <c r="O53" s="188"/>
    </row>
    <row r="54" spans="1:15" ht="12.75">
      <c r="A54" s="431" t="s">
        <v>417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8"/>
      <c r="M54" s="188"/>
      <c r="N54" s="188"/>
      <c r="O54" s="188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8"/>
      <c r="M55" s="188"/>
      <c r="N55" s="188"/>
      <c r="O55" s="188"/>
    </row>
    <row r="56" spans="1:15" ht="12.75" customHeight="1">
      <c r="A56" s="436" t="s">
        <v>418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8"/>
      <c r="M56" s="188"/>
      <c r="N56" s="188"/>
      <c r="O56" s="188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8"/>
      <c r="M57" s="188"/>
      <c r="N57" s="188"/>
      <c r="O57" s="188"/>
    </row>
    <row r="58" spans="1:15" ht="12.75">
      <c r="A58" s="431" t="s">
        <v>419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8"/>
      <c r="M58" s="188"/>
      <c r="N58" s="188"/>
      <c r="O58" s="188"/>
    </row>
    <row r="59" spans="1:15" ht="12.75">
      <c r="A59" s="431" t="s">
        <v>420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8"/>
      <c r="M59" s="188"/>
      <c r="N59" s="188"/>
      <c r="O59" s="188"/>
    </row>
    <row r="60" spans="1:15" ht="12.75">
      <c r="A60" s="431" t="s">
        <v>421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8"/>
      <c r="M60" s="188"/>
      <c r="N60" s="188"/>
      <c r="O60" s="188"/>
    </row>
    <row r="61" spans="1:15" ht="12.75">
      <c r="A61" s="431" t="s">
        <v>377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8"/>
      <c r="M61" s="188"/>
      <c r="N61" s="188"/>
      <c r="O61" s="188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8"/>
      <c r="M62" s="188"/>
      <c r="N62" s="188"/>
      <c r="O62" s="188"/>
    </row>
    <row r="63" spans="1:15" ht="12.75">
      <c r="A63" s="431" t="s">
        <v>422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8"/>
      <c r="M63" s="188"/>
      <c r="N63" s="188"/>
      <c r="O63" s="188"/>
    </row>
    <row r="64" spans="1:15" ht="12.75">
      <c r="A64" s="431" t="s">
        <v>423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8"/>
      <c r="M64" s="188"/>
      <c r="N64" s="188"/>
      <c r="O64" s="188"/>
    </row>
    <row r="65" spans="1:15" ht="12.75">
      <c r="A65" s="431" t="s">
        <v>379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8"/>
      <c r="M65" s="188"/>
      <c r="N65" s="188"/>
      <c r="O65" s="188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8"/>
      <c r="M66" s="188"/>
      <c r="N66" s="188"/>
      <c r="O66" s="188"/>
    </row>
    <row r="67" spans="1:15" ht="12.75">
      <c r="A67" s="431" t="s">
        <v>378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8"/>
      <c r="M67" s="188"/>
      <c r="N67" s="188"/>
      <c r="O67" s="188"/>
    </row>
    <row r="68" spans="1:15" ht="12.75">
      <c r="A68" s="431" t="s">
        <v>380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8"/>
      <c r="M68" s="188"/>
      <c r="N68" s="188"/>
      <c r="O68" s="188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8"/>
      <c r="M69" s="188"/>
      <c r="N69" s="188"/>
      <c r="O69" s="188"/>
    </row>
    <row r="70" spans="1:15" ht="12.75">
      <c r="A70" s="431" t="s">
        <v>424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8"/>
      <c r="M70" s="188"/>
      <c r="N70" s="188"/>
      <c r="O70" s="188"/>
    </row>
    <row r="71" spans="1:15" ht="12.75">
      <c r="A71" s="431" t="s">
        <v>425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8"/>
      <c r="M71" s="188"/>
      <c r="N71" s="188"/>
      <c r="O71" s="188"/>
    </row>
    <row r="72" spans="1:15" ht="12.75">
      <c r="A72" s="431" t="s">
        <v>426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8"/>
      <c r="M72" s="188"/>
      <c r="N72" s="188"/>
      <c r="O72" s="188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8"/>
      <c r="M73" s="188"/>
      <c r="N73" s="188"/>
      <c r="O73" s="188"/>
    </row>
    <row r="74" spans="1:15" ht="12.75" customHeight="1">
      <c r="A74" s="518" t="s">
        <v>456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</row>
    <row r="75" spans="1:15" ht="12.75">
      <c r="A75" s="431" t="s">
        <v>369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8"/>
      <c r="M75" s="188"/>
      <c r="N75" s="188"/>
      <c r="O75" s="188"/>
    </row>
    <row r="76" spans="1:15" ht="12.75">
      <c r="A76" s="188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8"/>
      <c r="M76" s="188"/>
      <c r="N76" s="188"/>
      <c r="O76" s="188"/>
    </row>
    <row r="77" spans="1:15" ht="12.75">
      <c r="A77" s="188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8"/>
      <c r="M77" s="188"/>
      <c r="N77" s="188"/>
      <c r="O77" s="188"/>
    </row>
    <row r="78" spans="1:17" ht="12.75">
      <c r="A78" s="188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8"/>
      <c r="O78" s="188"/>
      <c r="P78" s="188"/>
      <c r="Q78" s="188"/>
    </row>
    <row r="79" spans="1:17" ht="12.75">
      <c r="A79" s="188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8"/>
      <c r="O79" s="188"/>
      <c r="P79" s="188"/>
      <c r="Q79" s="188"/>
    </row>
    <row r="80" spans="1:17" ht="12.75">
      <c r="A80" s="188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8"/>
      <c r="O80" s="188"/>
      <c r="P80" s="188"/>
      <c r="Q80" s="188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8"/>
      <c r="O81" s="188"/>
      <c r="P81" s="188"/>
      <c r="Q81" s="188"/>
    </row>
    <row r="82" spans="1:17" ht="12.75">
      <c r="A82" s="188"/>
      <c r="B82" s="188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8"/>
      <c r="O82" s="188"/>
      <c r="P82" s="188"/>
      <c r="Q82" s="188"/>
    </row>
    <row r="83" spans="1:17" ht="12.75">
      <c r="A83" s="188"/>
      <c r="B83" s="188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8"/>
      <c r="O83" s="188"/>
      <c r="P83" s="188"/>
      <c r="Q83" s="188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8"/>
      <c r="O84" s="188"/>
      <c r="P84" s="188"/>
      <c r="Q84" s="188"/>
    </row>
    <row r="85" spans="1:17" ht="12.75">
      <c r="A85" s="188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8"/>
      <c r="O85" s="188"/>
      <c r="P85" s="188"/>
      <c r="Q85" s="188"/>
    </row>
    <row r="86" spans="1:17" ht="12.75">
      <c r="A86" s="188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8"/>
      <c r="O86" s="188"/>
      <c r="P86" s="188"/>
      <c r="Q86" s="188"/>
    </row>
    <row r="87" spans="1:17" ht="12.75">
      <c r="A87" s="188"/>
      <c r="B87" s="188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8"/>
      <c r="O87" s="188"/>
      <c r="P87" s="188"/>
      <c r="Q87" s="188"/>
    </row>
    <row r="88" spans="1:17" ht="12.75">
      <c r="A88" s="188"/>
      <c r="B88" s="188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8"/>
      <c r="O88" s="188"/>
      <c r="P88" s="188"/>
      <c r="Q88" s="188"/>
    </row>
    <row r="89" spans="1:17" ht="12.75">
      <c r="A89" s="188"/>
      <c r="B89" s="188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8"/>
      <c r="O89" s="188"/>
      <c r="P89" s="188"/>
      <c r="Q89" s="188"/>
    </row>
    <row r="90" spans="1:17" ht="12.75">
      <c r="A90" s="188"/>
      <c r="B90" s="188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8"/>
      <c r="O90" s="188"/>
      <c r="P90" s="188"/>
      <c r="Q90" s="188"/>
    </row>
    <row r="91" spans="1:17" ht="12.75">
      <c r="A91" s="188"/>
      <c r="B91" s="188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8"/>
      <c r="O91" s="188"/>
      <c r="P91" s="188"/>
      <c r="Q91" s="188"/>
    </row>
    <row r="92" spans="1:17" ht="12.75">
      <c r="A92" s="188"/>
      <c r="B92" s="18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</row>
    <row r="93" spans="1:17" ht="12.75">
      <c r="A93" s="188"/>
      <c r="B93" s="188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KOKTANM</cp:lastModifiedBy>
  <cp:lastPrinted>2010-08-24T17:50:02Z</cp:lastPrinted>
  <dcterms:created xsi:type="dcterms:W3CDTF">2001-11-07T16:15:53Z</dcterms:created>
  <dcterms:modified xsi:type="dcterms:W3CDTF">2011-10-31T02:06:23Z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