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6" yWindow="65404" windowWidth="14436" windowHeight="1225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C33" authorId="0">
      <text>
        <r>
          <rPr>
            <b/>
            <sz val="11"/>
            <rFont val="Tahoma"/>
            <family val="2"/>
          </rPr>
          <t>Lenovo User:</t>
        </r>
        <r>
          <rPr>
            <sz val="11"/>
            <rFont val="Tahoma"/>
            <family val="2"/>
          </rPr>
          <t xml:space="preserve">
Adjustment to agree with 2001 RAM Decision</t>
        </r>
      </text>
    </comment>
  </commentList>
</comments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<sst xmlns="http://schemas.openxmlformats.org/spreadsheetml/2006/main" count="879" uniqueCount="502">
  <si>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</si>
  <si>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</si>
  <si>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</si>
  <si>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</si>
  <si>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</si>
  <si>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</si>
  <si>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</si>
  <si>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</si>
  <si>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</si>
  <si>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</si>
  <si>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</si>
  <si>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</si>
  <si>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</si>
  <si>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</si>
  <si>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</si>
  <si>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</si>
  <si>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</si>
  <si>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</si>
  <si>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</si>
  <si>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</si>
  <si>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</si>
  <si>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</si>
  <si>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</si>
  <si>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</si>
  <si>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</si>
  <si>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</si>
  <si>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</si>
  <si>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</si>
  <si>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</si>
  <si>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</si>
  <si>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</si>
  <si>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</si>
  <si>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</si>
  <si>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</si>
  <si>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</si>
  <si>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</si>
  <si>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</si>
  <si>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</si>
  <si>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</si>
  <si>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</si>
  <si>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</si>
  <si>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</si>
  <si>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</si>
  <si>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</si>
  <si>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</si>
  <si>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</si>
  <si>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</si>
  <si>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</si>
  <si>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</si>
  <si>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</si>
  <si>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</si>
  <si>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</si>
  <si>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</si>
  <si>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</si>
  <si>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</si>
  <si>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</si>
  <si>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</si>
  <si>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</si>
  <si>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</si>
  <si>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</si>
  <si>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</si>
  <si>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</si>
  <si>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</si>
  <si>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</si>
  <si>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</si>
  <si>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</si>
  <si>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</si>
  <si>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</si>
  <si>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</si>
  <si>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</si>
  <si>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</si>
  <si>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</si>
  <si>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</si>
  <si>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</si>
  <si>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</si>
  <si>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</si>
  <si>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</si>
  <si>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</si>
  <si>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</si>
  <si>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</si>
  <si>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</si>
  <si>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</si>
  <si>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</si>
  <si>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</si>
  <si>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</si>
  <si>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</si>
  <si>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</si>
  <si>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</si>
  <si>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</si>
  <si>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</si>
  <si>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</si>
  <si>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</si>
  <si>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</si>
  <si>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</si>
  <si>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</si>
  <si>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</si>
  <si>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</si>
  <si>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</si>
  <si>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</si>
  <si>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</si>
  <si>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</si>
  <si>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</si>
  <si>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</si>
  <si>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</si>
  <si>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</si>
  <si>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</si>
  <si>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</si>
  <si>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</si>
  <si>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</si>
  <si>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</si>
  <si>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</si>
  <si>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</si>
  <si>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</si>
  <si>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</si>
  <si>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</si>
  <si>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</si>
  <si>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</si>
  <si>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</si>
  <si>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</si>
  <si>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</si>
  <si>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</si>
  <si>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</si>
  <si>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</si>
  <si>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</si>
  <si>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</si>
  <si>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</si>
  <si>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</si>
  <si>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</si>
  <si>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</si>
  <si>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</si>
  <si>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</si>
  <si>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</si>
  <si>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</si>
  <si>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</si>
  <si>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</si>
  <si>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</si>
  <si>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</si>
  <si>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</si>
  <si>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</si>
  <si>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</si>
  <si>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</si>
  <si>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</si>
  <si>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</si>
  <si>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</si>
  <si>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</si>
  <si>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</si>
  <si>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</si>
  <si>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</si>
  <si>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</si>
  <si>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</si>
  <si>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</si>
  <si>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</si>
  <si>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</si>
  <si>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</si>
  <si>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</si>
  <si>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</si>
  <si>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</si>
  <si>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</si>
  <si>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</si>
  <si>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</si>
  <si>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</si>
  <si>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</si>
  <si>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</si>
  <si>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</si>
  <si>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</si>
  <si>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</si>
  <si>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</si>
  <si>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</si>
  <si>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</si>
  <si>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</si>
  <si>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</si>
  <si>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</si>
  <si>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</si>
  <si>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</si>
  <si>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</si>
  <si>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</si>
  <si>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</si>
  <si>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</si>
  <si>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</si>
  <si>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</si>
  <si>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</si>
  <si>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</si>
  <si>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</si>
  <si>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</si>
  <si>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</si>
  <si>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</si>
  <si>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</si>
  <si>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</si>
  <si>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</si>
  <si>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</si>
  <si>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</si>
  <si>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</si>
  <si>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</si>
  <si>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</si>
  <si>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</si>
  <si>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</si>
  <si>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</si>
  <si>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</si>
  <si>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</si>
  <si>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</si>
  <si>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</si>
  <si>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</si>
  <si>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</si>
  <si>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</si>
  <si>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</si>
  <si>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</si>
  <si>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</si>
  <si>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</si>
  <si>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</si>
  <si>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</si>
  <si>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</si>
  <si>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</si>
  <si>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</si>
  <si>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</si>
  <si>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</si>
  <si>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</si>
  <si>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</si>
  <si>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</si>
  <si>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</si>
  <si>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</si>
  <si>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</si>
  <si>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</si>
  <si>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</si>
  <si>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</si>
  <si>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</si>
  <si>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</si>
  <si>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</si>
  <si>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</si>
  <si>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</si>
  <si>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</si>
  <si>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</si>
  <si>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</si>
  <si>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</si>
  <si>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</si>
  <si>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</si>
  <si>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</si>
  <si>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</si>
  <si>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</si>
  <si>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</si>
  <si>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</si>
  <si>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</si>
  <si>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</si>
  <si>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</si>
  <si>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</si>
  <si>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</si>
  <si>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</si>
  <si>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</si>
  <si>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</si>
  <si>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</si>
  <si>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</si>
  <si>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</si>
  <si>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</si>
  <si>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</si>
  <si>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</si>
  <si>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</si>
  <si>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</si>
  <si>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</si>
  <si>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</si>
  <si>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</si>
  <si>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</si>
  <si>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</si>
  <si>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</si>
  <si>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</si>
  <si>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</si>
  <si>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</si>
  <si>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</si>
  <si>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</si>
  <si>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</si>
  <si>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</si>
  <si>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</si>
  <si>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</si>
  <si>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</si>
  <si>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</si>
  <si>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</si>
  <si>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</si>
  <si>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</si>
  <si>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</si>
  <si>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</si>
  <si>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</si>
  <si>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</si>
  <si>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</si>
  <si>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</si>
  <si>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</si>
  <si>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</si>
  <si>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</si>
  <si>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</si>
  <si>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</si>
  <si>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</si>
  <si>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</si>
  <si>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</si>
  <si>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</si>
  <si>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</si>
  <si>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</si>
  <si>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</si>
  <si>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</si>
  <si>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</si>
  <si>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</si>
  <si>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</si>
  <si>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</si>
  <si>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</si>
  <si>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</si>
  <si>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</si>
  <si>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</si>
  <si>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</si>
  <si>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</si>
  <si>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</si>
  <si>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</si>
  <si>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</si>
  <si>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</si>
  <si>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</si>
  <si>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</si>
  <si>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</si>
  <si>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</si>
  <si>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</si>
  <si>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</si>
  <si>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</si>
  <si>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</si>
  <si>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</si>
  <si>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</si>
  <si>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</si>
  <si>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</si>
  <si>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</si>
  <si>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</si>
  <si>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</si>
  <si>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</si>
  <si>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</si>
  <si>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</si>
  <si>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</si>
  <si>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</si>
  <si>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</si>
  <si>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</si>
  <si>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</si>
  <si>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</si>
  <si>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</si>
  <si>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</si>
  <si>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</si>
  <si>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</si>
  <si>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</si>
  <si>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</si>
  <si>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</si>
  <si>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</si>
  <si>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</si>
  <si>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</si>
  <si>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</si>
  <si>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</si>
  <si>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</si>
  <si>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</si>
  <si>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</si>
  <si>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</si>
  <si>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</si>
  <si>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</si>
  <si>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</si>
  <si>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</si>
  <si>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</si>
  <si>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</si>
  <si>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</si>
  <si>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</si>
  <si>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</si>
  <si>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</si>
  <si>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</si>
  <si>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</si>
  <si>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</si>
  <si>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</si>
  <si>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</si>
  <si>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</si>
  <si>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</si>
  <si>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</si>
  <si>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</si>
  <si>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</si>
  <si>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</si>
  <si>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</si>
  <si>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</si>
  <si>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</si>
  <si>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</si>
  <si>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</si>
  <si>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</si>
  <si>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</si>
  <si>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</si>
  <si>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</si>
  <si>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</si>
  <si>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</si>
  <si>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</si>
  <si>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</si>
  <si>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</si>
  <si>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</si>
  <si>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</si>
  <si>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</si>
  <si>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</si>
  <si>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</si>
  <si>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</si>
  <si>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</si>
  <si>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</si>
  <si>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</si>
  <si>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</si>
  <si>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</si>
  <si>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</si>
  <si>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</si>
  <si>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</si>
  <si>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</si>
  <si>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</si>
  <si>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</si>
  <si>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</si>
  <si>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</si>
  <si>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</si>
  <si>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</si>
  <si>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</si>
  <si>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</si>
  <si>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</si>
  <si>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</si>
  <si>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</si>
  <si>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</si>
  <si>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</si>
  <si>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</si>
  <si>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</si>
  <si>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</si>
  <si>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</si>
  <si>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</si>
  <si>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</si>
  <si>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</si>
  <si>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</si>
  <si>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</si>
  <si>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</si>
  <si>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</si>
  <si>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</si>
  <si>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</si>
  <si>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</si>
  <si>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</si>
  <si>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</si>
  <si>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</si>
  <si>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</si>
  <si>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</si>
  <si>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</si>
  <si>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</si>
  <si>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</si>
  <si>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</si>
  <si>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</si>
  <si>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</si>
  <si>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</si>
  <si>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</si>
  <si>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</si>
  <si>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</si>
  <si>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</si>
  <si>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</si>
  <si>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</si>
  <si>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</si>
  <si>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</si>
  <si>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</si>
  <si>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</si>
  <si>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</si>
  <si>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</si>
  <si>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</si>
  <si>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</si>
  <si>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</si>
  <si>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</si>
  <si>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</si>
  <si>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</si>
  <si>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</si>
  <si>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</si>
  <si>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</si>
  <si>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</si>
  <si>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</si>
  <si>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</si>
  <si>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</si>
  <si>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</si>
  <si>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</si>
  <si>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</si>
  <si>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</si>
  <si>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</si>
  <si>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</si>
  <si>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</si>
  <si>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</si>
  <si>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</si>
  <si>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</si>
  <si>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</si>
  <si>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</si>
  <si>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</si>
  <si>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</si>
  <si>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</si>
  <si>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</si>
  <si>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</si>
  <si>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</si>
  <si>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</si>
  <si>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</si>
  <si>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</si>
  <si>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</si>
  <si>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</si>
  <si>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</si>
  <si>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</si>
  <si>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</si>
  <si>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PILs TAXES - EB-2010-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</si>
  <si>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</si>
  <si>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</si>
  <si>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</si>
  <si>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</si>
  <si>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</si>
  <si>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</si>
  <si>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</si>
  <si>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</si>
  <si>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</si>
  <si>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</si>
  <si>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</si>
  <si>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>Utility Name: Wellington Electric Distribution Company Inc.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</si>
</sst>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1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44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90" zoomScaleNormal="90" zoomScalePageLayoutView="0" workbookViewId="0" topLeftCell="A13">
      <selection activeCell="B32" sqref="B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489</v>
      </c>
      <c r="C1" s="8"/>
      <c r="E1" s="2" t="s">
        <v>453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48" t="s">
        <v>439</v>
      </c>
      <c r="E3" s="8"/>
      <c r="F3" s="8"/>
      <c r="G3" s="8"/>
      <c r="H3" s="8"/>
    </row>
    <row r="4" spans="1:8" ht="12.75">
      <c r="A4" s="2" t="s">
        <v>464</v>
      </c>
      <c r="C4" s="8"/>
      <c r="D4" s="447" t="s">
        <v>434</v>
      </c>
      <c r="E4" s="422"/>
      <c r="H4" s="8"/>
    </row>
    <row r="5" spans="1:8" ht="12.75">
      <c r="A5" s="52"/>
      <c r="C5" s="8"/>
      <c r="D5" s="446" t="s">
        <v>435</v>
      </c>
      <c r="E5" s="397"/>
      <c r="H5" s="8"/>
    </row>
    <row r="6" spans="1:8" ht="12.75">
      <c r="A6" s="2" t="s">
        <v>126</v>
      </c>
      <c r="B6" s="477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8" t="s">
        <v>499</v>
      </c>
    </row>
    <row r="18" spans="1:4" ht="15" customHeight="1">
      <c r="A18" s="388" t="s">
        <v>310</v>
      </c>
      <c r="C18" s="8"/>
      <c r="D18" s="8"/>
    </row>
    <row r="19" spans="1:4" ht="15" customHeight="1">
      <c r="A19" s="501" t="s">
        <v>311</v>
      </c>
      <c r="B19" s="8" t="s">
        <v>308</v>
      </c>
      <c r="C19" s="8" t="s">
        <v>64</v>
      </c>
      <c r="D19" s="499" t="s">
        <v>498</v>
      </c>
    </row>
    <row r="20" spans="1:4" ht="13.5" thickBot="1">
      <c r="A20" s="502"/>
      <c r="B20" s="8" t="s">
        <v>309</v>
      </c>
      <c r="C20" s="8" t="s">
        <v>64</v>
      </c>
      <c r="D20" s="498" t="s">
        <v>498</v>
      </c>
    </row>
    <row r="21" spans="1:4" ht="12.75">
      <c r="A21" s="501" t="s">
        <v>307</v>
      </c>
      <c r="B21" s="8" t="s">
        <v>308</v>
      </c>
      <c r="C21" s="8"/>
      <c r="D21" s="481">
        <v>0</v>
      </c>
    </row>
    <row r="22" spans="1:4" ht="12.75">
      <c r="A22" s="501"/>
      <c r="B22" s="8" t="s">
        <v>309</v>
      </c>
      <c r="C22" s="8"/>
      <c r="D22" s="481">
        <v>0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0" t="s">
        <v>465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293</v>
      </c>
    </row>
    <row r="27" spans="1:5" ht="12.75">
      <c r="A27" s="256" t="s">
        <v>68</v>
      </c>
      <c r="C27" s="8"/>
      <c r="E27" s="438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72">
        <v>1584985</v>
      </c>
      <c r="H31" s="5"/>
    </row>
    <row r="32" ht="6" customHeight="1"/>
    <row r="33" spans="1:8" ht="12.75">
      <c r="A33" t="s">
        <v>71</v>
      </c>
      <c r="D33" s="47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1">
        <v>0.0988</v>
      </c>
      <c r="H37" s="41"/>
    </row>
    <row r="38" ht="4.5" customHeight="1">
      <c r="H38" s="34"/>
    </row>
    <row r="39" spans="1:8" ht="12.75">
      <c r="A39" t="s">
        <v>74</v>
      </c>
      <c r="D39" s="47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135753.96525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64585</v>
      </c>
      <c r="E43" s="386">
        <f>D43</f>
        <v>64585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71168.96525000001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73">
        <v>23723</v>
      </c>
      <c r="E47" s="386">
        <f aca="true" t="shared" si="0" ref="E47:E53">D47</f>
        <v>23723</v>
      </c>
      <c r="H47" s="40"/>
      <c r="J47" s="5"/>
      <c r="K47" s="5"/>
    </row>
    <row r="48" spans="1:11" ht="12.75">
      <c r="A48" t="s">
        <v>286</v>
      </c>
      <c r="D48" s="473">
        <v>23723</v>
      </c>
      <c r="E48" s="386">
        <v>0</v>
      </c>
      <c r="F48" s="22"/>
      <c r="H48" s="40"/>
      <c r="J48" s="5"/>
      <c r="K48" s="5"/>
    </row>
    <row r="49" spans="1:11" ht="12.75">
      <c r="A49" t="s">
        <v>287</v>
      </c>
      <c r="D49" s="474">
        <v>0</v>
      </c>
      <c r="E49" s="386">
        <v>0</v>
      </c>
      <c r="F49" s="22"/>
      <c r="H49" s="40"/>
      <c r="J49" s="5"/>
      <c r="K49" s="5"/>
    </row>
    <row r="50" spans="1:11" ht="12.75">
      <c r="A50" t="s">
        <v>288</v>
      </c>
      <c r="D50" s="422"/>
      <c r="E50" s="386">
        <f t="shared" si="0"/>
        <v>0</v>
      </c>
      <c r="H50" s="40"/>
      <c r="J50" s="5"/>
      <c r="K50" s="5"/>
    </row>
    <row r="51" spans="1:11" ht="12.75">
      <c r="A51" t="s">
        <v>431</v>
      </c>
      <c r="D51" s="422"/>
      <c r="E51" s="386">
        <f t="shared" si="0"/>
        <v>0</v>
      </c>
      <c r="H51" s="40"/>
      <c r="J51" s="5"/>
      <c r="K51" s="5"/>
    </row>
    <row r="52" spans="1:11" ht="12.75">
      <c r="A52" t="s">
        <v>454</v>
      </c>
      <c r="D52" s="422"/>
      <c r="E52" s="386">
        <f t="shared" si="0"/>
        <v>0</v>
      </c>
      <c r="H52" s="40"/>
      <c r="J52" s="5"/>
      <c r="K52" s="5"/>
    </row>
    <row r="53" spans="4:11" ht="12.75">
      <c r="D53" s="422"/>
      <c r="E53" s="386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88308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792492.5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78298.259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792492.5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57455.706249999996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37374.95621716287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47415.338587273785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47415.338587273785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53">
        <f>D62</f>
        <v>57455.706249999996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51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456</v>
      </c>
      <c r="H1" s="210"/>
    </row>
    <row r="2" spans="1:8" ht="12.75">
      <c r="A2" s="211" t="s">
        <v>455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Wellington Electric Distribution Company Inc.</v>
      </c>
      <c r="B6" s="115"/>
      <c r="D6" s="137"/>
      <c r="E6" s="115"/>
      <c r="G6" s="115"/>
      <c r="H6" s="458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8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8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3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9">
        <v>22077</v>
      </c>
      <c r="D16" s="17"/>
      <c r="E16" s="267">
        <f>G16-C16</f>
        <v>-38102</v>
      </c>
      <c r="F16" s="3"/>
      <c r="G16" s="267">
        <f>TAXREC!E50</f>
        <v>-16025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75">
        <v>22593</v>
      </c>
      <c r="D20" s="18"/>
      <c r="E20" s="267">
        <f>G20-C20</f>
        <v>-9969</v>
      </c>
      <c r="F20" s="6"/>
      <c r="G20" s="267">
        <f>TAXREC!E61</f>
        <v>12624</v>
      </c>
      <c r="H20" s="151"/>
    </row>
    <row r="21" spans="1:8" ht="12.75">
      <c r="A21" s="158" t="s">
        <v>56</v>
      </c>
      <c r="B21" s="127">
        <v>3</v>
      </c>
      <c r="C21" s="261">
        <v>0</v>
      </c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260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259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261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2.75">
      <c r="A30" s="402" t="s">
        <v>387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75">
        <f>7270+533</f>
        <v>7803</v>
      </c>
      <c r="D33" s="132"/>
      <c r="E33" s="267">
        <f aca="true" t="shared" si="0" ref="E33:E42">G33-C33</f>
        <v>8210</v>
      </c>
      <c r="F33" s="6"/>
      <c r="G33" s="267">
        <f>TAXREC!E97+TAXREC!E98</f>
        <v>16013</v>
      </c>
      <c r="H33" s="151"/>
    </row>
    <row r="34" spans="1:8" ht="12.75">
      <c r="A34" s="158" t="s">
        <v>57</v>
      </c>
      <c r="B34" s="127">
        <v>8</v>
      </c>
      <c r="C34" s="261">
        <v>0</v>
      </c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262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9344</v>
      </c>
      <c r="D37" s="132"/>
      <c r="E37" s="267">
        <f t="shared" si="0"/>
        <v>-9344</v>
      </c>
      <c r="F37" s="6"/>
      <c r="G37" s="267">
        <f>TAXREC!E51</f>
        <v>0</v>
      </c>
      <c r="H37" s="151"/>
    </row>
    <row r="38" spans="1:8" ht="12.75">
      <c r="A38" s="155" t="s">
        <v>258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257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2.75">
      <c r="A48" s="402" t="s">
        <v>387</v>
      </c>
      <c r="B48" s="127"/>
      <c r="C48" s="259"/>
      <c r="D48" s="132"/>
      <c r="E48" s="267">
        <f>G48-C48</f>
        <v>1563</v>
      </c>
      <c r="F48" s="6"/>
      <c r="G48" s="251">
        <f>TAXREC!E108</f>
        <v>1563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27523</v>
      </c>
      <c r="D50" s="102"/>
      <c r="E50" s="263">
        <f>E16+SUM(E20:E30)-SUM(E33:E48)</f>
        <v>-48500</v>
      </c>
      <c r="F50" s="425"/>
      <c r="G50" s="263">
        <f>G16+SUM(G20:G30)-SUM(G33:G48)</f>
        <v>-20977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2">
        <v>0.4062</v>
      </c>
      <c r="D53" s="102"/>
      <c r="E53" s="268">
        <f>+G53-C53</f>
        <v>-0.215</v>
      </c>
      <c r="F53" s="114"/>
      <c r="G53" s="466">
        <v>0.1912</v>
      </c>
      <c r="H53" s="151"/>
      <c r="I53" s="463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11179.8426</v>
      </c>
      <c r="D55" s="102"/>
      <c r="E55" s="267">
        <f>G55-C55</f>
        <v>-11179.8426</v>
      </c>
      <c r="F55" s="425" t="s">
        <v>362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5" t="s">
        <v>362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11179.8426</v>
      </c>
      <c r="D60" s="133"/>
      <c r="E60" s="269">
        <f>+E55-E58</f>
        <v>-11179.8426</v>
      </c>
      <c r="F60" s="425" t="s">
        <v>362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v>1584985</v>
      </c>
      <c r="D66" s="102"/>
      <c r="E66" s="267">
        <f>G66-C66</f>
        <v>588519</v>
      </c>
      <c r="F66" s="6"/>
      <c r="G66" s="476">
        <v>2173504</v>
      </c>
      <c r="H66" s="151"/>
      <c r="I66" s="468" t="s">
        <v>477</v>
      </c>
    </row>
    <row r="67" spans="1:10" ht="12.75">
      <c r="A67" s="152" t="s">
        <v>355</v>
      </c>
      <c r="B67" s="125">
        <v>16</v>
      </c>
      <c r="C67" s="260">
        <v>94000</v>
      </c>
      <c r="D67" s="102"/>
      <c r="E67" s="267">
        <f>G67-C67</f>
        <v>12363</v>
      </c>
      <c r="F67" s="6"/>
      <c r="G67" s="267">
        <v>106363</v>
      </c>
      <c r="H67" s="151"/>
      <c r="I67" s="468" t="s">
        <v>477</v>
      </c>
      <c r="J67" s="494"/>
    </row>
    <row r="68" spans="1:8" ht="12.75">
      <c r="A68" s="152" t="s">
        <v>42</v>
      </c>
      <c r="B68" s="125"/>
      <c r="C68" s="264">
        <f>IF((C66-C67)&gt;0,C66-C67,0)</f>
        <v>1490985</v>
      </c>
      <c r="D68" s="102"/>
      <c r="E68" s="267">
        <f>E66-E67</f>
        <v>576156</v>
      </c>
      <c r="F68" s="114"/>
      <c r="G68" s="264">
        <f>G66-G67</f>
        <v>2067141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356</v>
      </c>
      <c r="B70" s="125">
        <v>17</v>
      </c>
      <c r="C70" s="300">
        <f>'Tax Rates'!C18</f>
        <v>0.003</v>
      </c>
      <c r="D70" s="102"/>
      <c r="E70" s="268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4">
        <v>1118</v>
      </c>
      <c r="D72" s="101"/>
      <c r="E72" s="267">
        <f>+G72-C72</f>
        <v>445.09839999999986</v>
      </c>
      <c r="F72" s="469"/>
      <c r="G72" s="264">
        <f>IF(G68&gt;0,((G68*G70*B9/B10)),0)</f>
        <v>1563.0983999999999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v>1584985</v>
      </c>
      <c r="D75" s="102"/>
      <c r="E75" s="267">
        <v>94506510</v>
      </c>
      <c r="F75" s="6"/>
      <c r="G75" s="476">
        <v>2176893</v>
      </c>
      <c r="H75" s="151"/>
      <c r="I75" s="468" t="s">
        <v>477</v>
      </c>
    </row>
    <row r="76" spans="1:9" ht="12.75">
      <c r="A76" s="152" t="s">
        <v>355</v>
      </c>
      <c r="B76" s="125">
        <v>19</v>
      </c>
      <c r="C76" s="260">
        <v>188000</v>
      </c>
      <c r="D76" s="18"/>
      <c r="E76" s="267">
        <v>10000000</v>
      </c>
      <c r="F76" s="6"/>
      <c r="G76" s="267">
        <v>0</v>
      </c>
      <c r="H76" s="151"/>
      <c r="I76" s="468" t="s">
        <v>477</v>
      </c>
    </row>
    <row r="77" spans="1:8" ht="12.75">
      <c r="A77" s="152" t="s">
        <v>42</v>
      </c>
      <c r="B77" s="125"/>
      <c r="C77" s="264">
        <f>IF((C75-C76)&gt;0,C75-C76,0)</f>
        <v>1396985</v>
      </c>
      <c r="D77" s="19"/>
      <c r="E77" s="267">
        <f>E75-E76</f>
        <v>84506510</v>
      </c>
      <c r="F77" s="114"/>
      <c r="G77" s="264">
        <f>G75-G76</f>
        <v>2176893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356</v>
      </c>
      <c r="B79" s="125">
        <v>20</v>
      </c>
      <c r="C79" s="300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v>786</v>
      </c>
      <c r="D81" s="102"/>
      <c r="E81" s="267">
        <f>+G81-C81</f>
        <v>448.5667150684933</v>
      </c>
      <c r="F81" s="6"/>
      <c r="G81" s="264">
        <f>G77*G79*B9/B10</f>
        <v>1234.5667150684933</v>
      </c>
      <c r="H81" s="151"/>
    </row>
    <row r="82" spans="1:8" ht="12.75">
      <c r="A82" s="152" t="s">
        <v>314</v>
      </c>
      <c r="B82" s="125">
        <v>21</v>
      </c>
      <c r="C82" s="299">
        <f>IF(C77&gt;0,IF(C60&gt;0,C50*'Tax Rates'!C20,0),0)</f>
        <v>308.2576</v>
      </c>
      <c r="D82" s="102"/>
      <c r="E82" s="267">
        <f>+G82-C82</f>
        <v>-308.2576</v>
      </c>
      <c r="F82" s="6"/>
      <c r="G82" s="299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477.7424</v>
      </c>
      <c r="D84" s="16"/>
      <c r="E84" s="267">
        <f>E81-E82</f>
        <v>756.8243150684933</v>
      </c>
      <c r="F84" s="103"/>
      <c r="G84" s="264">
        <f>G81-G82</f>
        <v>1234.5667150684933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v>0.4062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363</v>
      </c>
      <c r="B90" s="127">
        <v>22</v>
      </c>
      <c r="C90" s="264">
        <f>C60/(1-C88)</f>
        <v>18827.623105422703</v>
      </c>
      <c r="D90" s="20"/>
      <c r="E90" s="139"/>
      <c r="F90" s="424" t="s">
        <v>466</v>
      </c>
      <c r="G90" s="270">
        <f>TAXREC!E156</f>
        <v>0</v>
      </c>
      <c r="H90" s="151"/>
    </row>
    <row r="91" spans="1:8" ht="12.75">
      <c r="A91" s="158" t="s">
        <v>364</v>
      </c>
      <c r="B91" s="127">
        <v>23</v>
      </c>
      <c r="C91" s="264">
        <f>C84/(1-C88)-15</f>
        <v>789.5510272819131</v>
      </c>
      <c r="D91" s="20"/>
      <c r="E91" s="139"/>
      <c r="F91" s="424" t="s">
        <v>466</v>
      </c>
      <c r="G91" s="270">
        <f>TAXREC!E158</f>
        <v>1235</v>
      </c>
      <c r="H91" s="151"/>
    </row>
    <row r="92" spans="1:8" ht="12.75">
      <c r="A92" s="158" t="s">
        <v>343</v>
      </c>
      <c r="B92" s="127">
        <v>24</v>
      </c>
      <c r="C92" s="264">
        <f>C72</f>
        <v>1118</v>
      </c>
      <c r="D92" s="20"/>
      <c r="E92" s="139"/>
      <c r="F92" s="424" t="s">
        <v>466</v>
      </c>
      <c r="G92" s="270">
        <f>TAXREC!E157</f>
        <v>1563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467</v>
      </c>
      <c r="B95" s="125">
        <v>25</v>
      </c>
      <c r="C95" s="269">
        <f>SUM(C90:C93)</f>
        <v>20735.174132704615</v>
      </c>
      <c r="D95" s="6"/>
      <c r="E95" s="139"/>
      <c r="F95" s="424" t="s">
        <v>466</v>
      </c>
      <c r="G95" s="412">
        <f>SUM(G90:G94)</f>
        <v>2798</v>
      </c>
      <c r="H95" s="164"/>
    </row>
    <row r="96" spans="1:8" ht="12.75">
      <c r="A96" s="402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358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359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357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3" t="s">
        <v>497</v>
      </c>
      <c r="B112" s="127">
        <v>11</v>
      </c>
      <c r="C112" s="112"/>
      <c r="D112" s="3"/>
      <c r="E112" s="465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360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361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2">
        <v>0.4062</v>
      </c>
      <c r="F122" s="463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347</v>
      </c>
      <c r="B132" s="130"/>
      <c r="C132" s="112"/>
      <c r="D132" s="3"/>
      <c r="E132" s="263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350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1">
        <f>C50</f>
        <v>27523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2">
        <f>'Tax Rates'!F52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11179.8426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11179.8426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483</v>
      </c>
      <c r="B146" s="130"/>
      <c r="C146" s="112"/>
      <c r="D146" s="118" t="s">
        <v>188</v>
      </c>
      <c r="E146" s="301">
        <f>C60</f>
        <v>11179.8426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5" t="s">
        <v>20</v>
      </c>
      <c r="B150" s="130"/>
      <c r="C150" s="112"/>
      <c r="D150" s="119"/>
      <c r="E150" s="30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1584985</v>
      </c>
      <c r="F151" s="37"/>
      <c r="G151" s="201"/>
      <c r="H151" s="164"/>
    </row>
    <row r="152" spans="1:8" ht="12.75">
      <c r="A152" s="171" t="s">
        <v>353</v>
      </c>
      <c r="B152" s="130"/>
      <c r="C152" s="112"/>
      <c r="D152" s="118" t="s">
        <v>188</v>
      </c>
      <c r="E152" s="304">
        <f>IF(E151&gt;0,'Tax Rates'!C39,0)</f>
        <v>94000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1490985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354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1127.4297534246575</v>
      </c>
      <c r="F157" s="37"/>
      <c r="G157" s="201"/>
      <c r="H157" s="164"/>
    </row>
    <row r="158" spans="1:8" ht="26.25">
      <c r="A158" s="171" t="s">
        <v>484</v>
      </c>
      <c r="B158" s="130"/>
      <c r="C158" s="112"/>
      <c r="D158" s="118" t="s">
        <v>188</v>
      </c>
      <c r="E158" s="304">
        <f>C72</f>
        <v>1118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7">
        <f>E157-E158</f>
        <v>9.42975342465752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5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1584985</v>
      </c>
      <c r="F162" s="37"/>
      <c r="G162" s="201"/>
      <c r="H162" s="164"/>
    </row>
    <row r="163" spans="1:8" ht="12.75">
      <c r="A163" s="171" t="s">
        <v>352</v>
      </c>
      <c r="B163" s="130"/>
      <c r="C163" s="112"/>
      <c r="D163" s="118" t="s">
        <v>188</v>
      </c>
      <c r="E163" s="304">
        <f>IF(E162&gt;0,'Tax Rates'!C40,0)</f>
        <v>188000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1">
        <f>E162-E163</f>
        <v>1396985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792.2627260273973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6">
        <f>IF(E164&gt;0,IF(E144&gt;0,E136*'Tax Rates'!C56,0),0)</f>
        <v>308.2576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1">
        <f>E168-E169</f>
        <v>484.0051260273973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485</v>
      </c>
      <c r="B172" s="130"/>
      <c r="C172" s="112"/>
      <c r="D172" s="118" t="s">
        <v>188</v>
      </c>
      <c r="E172" s="304">
        <f>C84</f>
        <v>477.7424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7">
        <f>E170-E172</f>
        <v>6.262726027397321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2">
        <v>0.395</v>
      </c>
      <c r="F175" s="463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1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10.351613268425323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9.42975342465752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348</v>
      </c>
      <c r="B181" s="130"/>
      <c r="C181" s="112"/>
      <c r="D181" s="119" t="s">
        <v>189</v>
      </c>
      <c r="E181" s="301">
        <f>SUM(E177:E179)</f>
        <v>19.781366693082845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486</v>
      </c>
      <c r="B183" s="130"/>
      <c r="C183" s="112"/>
      <c r="D183" s="119" t="s">
        <v>187</v>
      </c>
      <c r="E183" s="301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349</v>
      </c>
      <c r="B185" s="130"/>
      <c r="C185" s="112"/>
      <c r="D185" s="119" t="s">
        <v>189</v>
      </c>
      <c r="E185" s="301">
        <f>E181+E183</f>
        <v>19.781366693082845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57455.706249999996</v>
      </c>
      <c r="F193" s="3"/>
      <c r="G193" s="123"/>
      <c r="H193" s="164"/>
    </row>
    <row r="194" spans="1:8" ht="12.75">
      <c r="A194" s="155" t="s">
        <v>487</v>
      </c>
      <c r="B194" s="127"/>
      <c r="C194" s="112"/>
      <c r="D194" s="120"/>
      <c r="E194" s="307">
        <f>C37</f>
        <v>9344</v>
      </c>
      <c r="F194" s="470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7">
        <f>E193-E194</f>
        <v>48111.706249999996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93" t="s">
        <v>495</v>
      </c>
      <c r="B201" s="127"/>
      <c r="C201" s="112"/>
      <c r="D201" s="120"/>
      <c r="E201" s="307">
        <f>G37+G42</f>
        <v>0</v>
      </c>
      <c r="F201" s="3"/>
      <c r="G201" s="123"/>
      <c r="H201" s="164"/>
    </row>
    <row r="202" spans="1:8" ht="12.75">
      <c r="A202" s="493" t="s">
        <v>494</v>
      </c>
      <c r="B202" s="127"/>
      <c r="C202" s="112"/>
      <c r="D202" s="120"/>
      <c r="E202" s="307">
        <f>REGINFO!D62</f>
        <v>57455.706249999996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496</v>
      </c>
      <c r="B206" s="127"/>
      <c r="C206" s="112"/>
      <c r="D206" s="120"/>
      <c r="E206" s="46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48111.706249999996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3">
      <selection activeCell="A158" sqref="A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Electric Distribution Company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8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0.0025*Ratebase*REGINFO!D33</f>
        <v>1981.23125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498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498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 t="s">
        <v>499</v>
      </c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321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255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319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320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84">
        <v>0</v>
      </c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61926</v>
      </c>
      <c r="D32" s="285"/>
      <c r="E32" s="283">
        <f>C32-D32</f>
        <v>61926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19467</v>
      </c>
      <c r="D33" s="285"/>
      <c r="E33" s="283">
        <f>C33-D33</f>
        <v>19467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0</v>
      </c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4">
        <v>0</v>
      </c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4">
        <v>56989</v>
      </c>
      <c r="D40" s="285"/>
      <c r="E40" s="283">
        <f aca="true" t="shared" si="0" ref="E40:E48">C40-D40</f>
        <v>56989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4">
        <v>0</v>
      </c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4">
        <v>27805</v>
      </c>
      <c r="D42" s="285"/>
      <c r="E42" s="283">
        <f t="shared" si="0"/>
        <v>27805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84">
        <v>12624</v>
      </c>
      <c r="D43" s="285"/>
      <c r="E43" s="283">
        <f t="shared" si="0"/>
        <v>12624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4">
        <v>0</v>
      </c>
      <c r="D44" s="285"/>
      <c r="E44" s="283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-16025</v>
      </c>
      <c r="D50" s="280">
        <f>SUM(D31:D36)-SUM(D39:D49)</f>
        <v>0</v>
      </c>
      <c r="E50" s="280">
        <f>SUM(E31:E35)-SUM(E39:E48)</f>
        <v>-16025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4">
        <v>0</v>
      </c>
      <c r="D51" s="284"/>
      <c r="E51" s="281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0</v>
      </c>
      <c r="D52" s="284"/>
      <c r="E52" s="282">
        <f>+C52-D52</f>
        <v>0</v>
      </c>
      <c r="F52" s="8"/>
    </row>
    <row r="53" spans="1:6" ht="12.75">
      <c r="A53" s="2" t="s">
        <v>131</v>
      </c>
      <c r="B53" s="8" t="s">
        <v>189</v>
      </c>
      <c r="C53" s="280">
        <f>C50-C51-C52</f>
        <v>-16025</v>
      </c>
      <c r="D53" s="280">
        <f>D50-D51-D52</f>
        <v>0</v>
      </c>
      <c r="E53" s="280">
        <f>E50-E51-E52</f>
        <v>-16025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v>0</v>
      </c>
      <c r="D59" s="286">
        <f>D52</f>
        <v>0</v>
      </c>
      <c r="E59" s="271">
        <f>+C59-D59</f>
        <v>0</v>
      </c>
      <c r="F59" s="8"/>
    </row>
    <row r="60" spans="1:6" ht="12.75">
      <c r="A60" s="4" t="s">
        <v>322</v>
      </c>
      <c r="B60" s="8" t="s">
        <v>187</v>
      </c>
      <c r="C60" s="485"/>
      <c r="D60" s="317"/>
      <c r="E60" s="271">
        <f>+C60-D60</f>
        <v>0</v>
      </c>
      <c r="F60" s="8"/>
    </row>
    <row r="61" spans="1:6" ht="12.75">
      <c r="A61" t="s">
        <v>4</v>
      </c>
      <c r="B61" s="8" t="s">
        <v>187</v>
      </c>
      <c r="C61" s="286">
        <f>C43</f>
        <v>12624</v>
      </c>
      <c r="D61" s="286">
        <f>D43</f>
        <v>0</v>
      </c>
      <c r="E61" s="271">
        <f>+C61-D61</f>
        <v>12624</v>
      </c>
      <c r="F61" s="8"/>
    </row>
    <row r="62" spans="1:6" ht="12.75">
      <c r="A62" t="s">
        <v>6</v>
      </c>
      <c r="B62" s="8" t="s">
        <v>187</v>
      </c>
      <c r="C62" s="485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275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436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0" t="s">
        <v>387</v>
      </c>
      <c r="B66" s="8"/>
      <c r="C66" s="439">
        <f>'TAXREC 3'!C47</f>
        <v>0</v>
      </c>
      <c r="D66" s="439">
        <f>'TAXREC 3'!D47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12624</v>
      </c>
      <c r="D70" s="271">
        <f>SUM(D59:D68)</f>
        <v>0</v>
      </c>
      <c r="E70" s="271">
        <f>SUM(E59:E68)</f>
        <v>12624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0</v>
      </c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9" t="s">
        <v>491</v>
      </c>
      <c r="B75" s="8" t="s">
        <v>187</v>
      </c>
      <c r="C75" s="293">
        <v>0</v>
      </c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3"/>
      <c r="D76" s="293"/>
      <c r="E76" s="27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12624</v>
      </c>
      <c r="D82" s="251">
        <f>D70+D80</f>
        <v>0</v>
      </c>
      <c r="E82" s="251">
        <f>E70+E80</f>
        <v>12624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424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6">
        <v>16013</v>
      </c>
      <c r="D97" s="293"/>
      <c r="E97" s="271">
        <f>+C97-D97</f>
        <v>16013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6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387</v>
      </c>
      <c r="B108" s="8"/>
      <c r="C108" s="254">
        <f>'TAXREC 3'!C73</f>
        <v>1563</v>
      </c>
      <c r="D108" s="254">
        <f>'TAXREC 3'!D73</f>
        <v>0</v>
      </c>
      <c r="E108" s="271">
        <f t="shared" si="5"/>
        <v>1563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>
        <v>0</v>
      </c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17576</v>
      </c>
      <c r="D113" s="251">
        <f>SUM(D97:D111)</f>
        <v>0</v>
      </c>
      <c r="E113" s="251">
        <f>SUM(E97:E111)</f>
        <v>17576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17576</v>
      </c>
      <c r="D122" s="251">
        <f>D113+D120</f>
        <v>0</v>
      </c>
      <c r="E122" s="251">
        <f>+E113+E120</f>
        <v>17576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-20977</v>
      </c>
      <c r="D134" s="251">
        <f>D53+D82-D122</f>
        <v>0</v>
      </c>
      <c r="E134" s="251">
        <f>E53+E82-E122</f>
        <v>-20977</v>
      </c>
      <c r="F134" s="8"/>
      <c r="G134" s="496"/>
      <c r="H134" s="496"/>
      <c r="I134" s="496"/>
      <c r="J134" s="496"/>
      <c r="K134" s="45"/>
    </row>
    <row r="135" spans="1:11" ht="12.75">
      <c r="A135" s="12" t="s">
        <v>46</v>
      </c>
      <c r="B135" s="8"/>
      <c r="D135" s="30"/>
      <c r="E135" s="30"/>
      <c r="F135" s="8"/>
      <c r="G135" s="496"/>
      <c r="H135" s="496"/>
      <c r="I135" s="496"/>
      <c r="J135" s="496"/>
      <c r="K135" s="45"/>
    </row>
    <row r="136" spans="1:11" ht="12.75">
      <c r="A136" s="12" t="s">
        <v>369</v>
      </c>
      <c r="B136" s="8" t="s">
        <v>188</v>
      </c>
      <c r="C136" s="293"/>
      <c r="D136" s="293"/>
      <c r="E136" s="264">
        <f>C136-D136</f>
        <v>0</v>
      </c>
      <c r="F136" s="8"/>
      <c r="G136" s="496"/>
      <c r="H136" s="496"/>
      <c r="I136" s="496"/>
      <c r="J136" s="496"/>
      <c r="K136" s="45"/>
    </row>
    <row r="137" spans="1:11" ht="12.75">
      <c r="A137" s="46" t="s">
        <v>370</v>
      </c>
      <c r="B137" s="8" t="s">
        <v>188</v>
      </c>
      <c r="C137" s="309"/>
      <c r="D137" s="309"/>
      <c r="E137" s="392">
        <f>C137-D137</f>
        <v>0</v>
      </c>
      <c r="F137" s="8"/>
      <c r="G137" s="497"/>
      <c r="H137" s="496"/>
      <c r="I137" s="497"/>
      <c r="J137" s="496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96"/>
      <c r="H138" s="496"/>
      <c r="I138" s="496"/>
      <c r="J138" s="496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-20977</v>
      </c>
      <c r="D139" s="252">
        <f>D134-D136-D137-D138</f>
        <v>0</v>
      </c>
      <c r="E139" s="252">
        <f>E134-E136-E137-E138</f>
        <v>-20977</v>
      </c>
      <c r="F139" s="8"/>
      <c r="G139" s="496"/>
      <c r="H139" s="496"/>
      <c r="I139" s="496"/>
      <c r="J139" s="496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187</v>
      </c>
      <c r="C142" s="297">
        <v>0</v>
      </c>
      <c r="D142" s="297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3">
        <f>C142/C139</f>
        <v>0</v>
      </c>
      <c r="D149" s="5"/>
      <c r="E149" s="404">
        <f>C149</f>
        <v>0</v>
      </c>
      <c r="F149" s="8"/>
      <c r="G149" s="45" t="s">
        <v>461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3">
        <v>0.125</v>
      </c>
      <c r="D150" s="5"/>
      <c r="E150" s="404">
        <f>C150</f>
        <v>0.125</v>
      </c>
      <c r="F150" s="8"/>
      <c r="G150" s="45" t="s">
        <v>462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4">
        <f>SUM(C149:C150)</f>
        <v>0.125</v>
      </c>
      <c r="D151" s="5"/>
      <c r="E151" s="404">
        <f>SUM(E149:E150)</f>
        <v>0.125</v>
      </c>
      <c r="F151" s="8"/>
      <c r="G151" s="45"/>
      <c r="H151" s="45"/>
      <c r="I151" s="45"/>
      <c r="J151" s="45"/>
      <c r="K151" s="45"/>
    </row>
    <row r="152" spans="2:11" ht="12.75">
      <c r="B152" s="8"/>
      <c r="C152" s="49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7">
        <v>1563</v>
      </c>
      <c r="D157" s="251"/>
      <c r="E157" s="251">
        <f>C157+D157</f>
        <v>1563</v>
      </c>
    </row>
    <row r="158" spans="1:5" ht="12.75">
      <c r="A158" t="s">
        <v>218</v>
      </c>
      <c r="B158" s="86" t="s">
        <v>187</v>
      </c>
      <c r="C158" s="487">
        <v>1235</v>
      </c>
      <c r="D158" s="251"/>
      <c r="E158" s="251">
        <f>C158+D158</f>
        <v>1235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2798</v>
      </c>
      <c r="D160" s="251">
        <f>D156+D157+D158</f>
        <v>0</v>
      </c>
      <c r="E160" s="251">
        <f>E156+E157+E158</f>
        <v>2798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Electric Distribution Company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277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3"/>
      <c r="D15" s="293"/>
      <c r="E15" s="251">
        <f t="shared" si="0"/>
        <v>0</v>
      </c>
    </row>
    <row r="16" spans="1:5" ht="12.75">
      <c r="A16" s="61" t="s">
        <v>279</v>
      </c>
      <c r="B16" s="61"/>
      <c r="C16" s="293"/>
      <c r="D16" s="293"/>
      <c r="E16" s="251">
        <f t="shared" si="0"/>
        <v>0</v>
      </c>
    </row>
    <row r="17" spans="1:5" ht="12.75">
      <c r="A17" s="61" t="s">
        <v>280</v>
      </c>
      <c r="B17" s="61"/>
      <c r="C17" s="293"/>
      <c r="D17" s="293"/>
      <c r="E17" s="251">
        <f t="shared" si="0"/>
        <v>0</v>
      </c>
    </row>
    <row r="18" spans="1:5" ht="12.75">
      <c r="A18" s="61" t="s">
        <v>441</v>
      </c>
      <c r="B18" s="61"/>
      <c r="C18" s="293"/>
      <c r="D18" s="293"/>
      <c r="E18" s="251">
        <f t="shared" si="0"/>
        <v>0</v>
      </c>
    </row>
    <row r="19" spans="1:5" ht="12.75">
      <c r="A19" s="61" t="s">
        <v>441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277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3"/>
      <c r="D27" s="293"/>
      <c r="E27" s="251">
        <f t="shared" si="1"/>
        <v>0</v>
      </c>
    </row>
    <row r="28" spans="1:5" ht="12.75">
      <c r="A28" s="61" t="s">
        <v>279</v>
      </c>
      <c r="B28" s="61"/>
      <c r="C28" s="293"/>
      <c r="D28" s="293"/>
      <c r="E28" s="251">
        <f t="shared" si="1"/>
        <v>0</v>
      </c>
    </row>
    <row r="29" spans="1:5" ht="12.75">
      <c r="A29" s="61" t="s">
        <v>280</v>
      </c>
      <c r="B29" s="61"/>
      <c r="C29" s="293"/>
      <c r="D29" s="293"/>
      <c r="E29" s="251">
        <f t="shared" si="1"/>
        <v>0</v>
      </c>
    </row>
    <row r="30" spans="1:5" ht="12.75">
      <c r="A30" s="61" t="s">
        <v>441</v>
      </c>
      <c r="B30" s="61"/>
      <c r="C30" s="293"/>
      <c r="D30" s="293"/>
      <c r="E30" s="251">
        <f t="shared" si="1"/>
        <v>0</v>
      </c>
    </row>
    <row r="31" spans="1:5" ht="12.75">
      <c r="A31" s="61" t="s">
        <v>441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3"/>
      <c r="D43" s="293"/>
      <c r="E43" s="251">
        <f t="shared" si="2"/>
        <v>0</v>
      </c>
    </row>
    <row r="44" spans="1:5" ht="12.75">
      <c r="A44" s="61" t="s">
        <v>264</v>
      </c>
      <c r="B44" s="61"/>
      <c r="C44" s="293"/>
      <c r="D44" s="293"/>
      <c r="E44" s="251">
        <f t="shared" si="2"/>
        <v>0</v>
      </c>
    </row>
    <row r="45" spans="1:5" ht="12.75">
      <c r="A45" s="61" t="s">
        <v>265</v>
      </c>
      <c r="B45" s="61"/>
      <c r="C45" s="293"/>
      <c r="D45" s="293"/>
      <c r="E45" s="251">
        <f t="shared" si="2"/>
        <v>0</v>
      </c>
    </row>
    <row r="46" spans="1:5" ht="12.75">
      <c r="A46" s="61" t="s">
        <v>266</v>
      </c>
      <c r="B46" s="61"/>
      <c r="C46" s="293"/>
      <c r="D46" s="293"/>
      <c r="E46" s="251">
        <f t="shared" si="2"/>
        <v>0</v>
      </c>
    </row>
    <row r="47" spans="1:5" ht="12.75">
      <c r="A47" s="500" t="s">
        <v>500</v>
      </c>
      <c r="B47" s="61"/>
      <c r="C47" s="293">
        <v>0</v>
      </c>
      <c r="D47" s="293"/>
      <c r="E47" s="251">
        <f t="shared" si="2"/>
        <v>0</v>
      </c>
    </row>
    <row r="48" spans="1:5" ht="12.75">
      <c r="A48" s="61" t="s">
        <v>441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3"/>
      <c r="D55" s="293"/>
      <c r="E55" s="251">
        <f t="shared" si="3"/>
        <v>0</v>
      </c>
    </row>
    <row r="56" spans="1:5" ht="12.75">
      <c r="A56" s="246" t="s">
        <v>264</v>
      </c>
      <c r="B56" s="61"/>
      <c r="C56" s="293"/>
      <c r="D56" s="293"/>
      <c r="E56" s="251">
        <f t="shared" si="3"/>
        <v>0</v>
      </c>
    </row>
    <row r="57" spans="1:5" ht="12.75">
      <c r="A57" s="246" t="s">
        <v>265</v>
      </c>
      <c r="B57" s="61"/>
      <c r="C57" s="293"/>
      <c r="D57" s="293"/>
      <c r="E57" s="251">
        <f t="shared" si="3"/>
        <v>0</v>
      </c>
    </row>
    <row r="58" spans="1:5" ht="12.75">
      <c r="A58" s="246" t="s">
        <v>266</v>
      </c>
      <c r="B58" s="61"/>
      <c r="C58" s="293"/>
      <c r="D58" s="293"/>
      <c r="E58" s="251">
        <f t="shared" si="3"/>
        <v>0</v>
      </c>
    </row>
    <row r="59" spans="1:5" ht="12.75">
      <c r="A59" s="500" t="s">
        <v>500</v>
      </c>
      <c r="B59" s="61"/>
      <c r="C59" s="293">
        <v>0</v>
      </c>
      <c r="D59" s="293"/>
      <c r="E59" s="251">
        <f t="shared" si="3"/>
        <v>0</v>
      </c>
    </row>
    <row r="60" spans="1:5" ht="12.75">
      <c r="A60" s="61" t="s">
        <v>441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0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135" sqref="C13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458</v>
      </c>
      <c r="B5" s="8"/>
      <c r="C5" s="8" t="s">
        <v>2</v>
      </c>
      <c r="D5" s="8"/>
      <c r="E5" s="8"/>
      <c r="F5" s="8"/>
    </row>
    <row r="6" spans="1:6" ht="12.75">
      <c r="A6" s="414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Wellington Electric Distribution Company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79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1981.23125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249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442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250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/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>
        <v>0</v>
      </c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371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1:5" ht="12.75">
      <c r="A92" s="491"/>
      <c r="B92" s="8" t="s">
        <v>188</v>
      </c>
      <c r="C92" s="293"/>
      <c r="D92" s="293"/>
      <c r="E92" s="251"/>
    </row>
    <row r="93" spans="1:5" ht="12.75">
      <c r="A93" s="491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490"/>
      <c r="B96" s="8" t="s">
        <v>188</v>
      </c>
      <c r="C96" s="293"/>
      <c r="D96" s="293"/>
      <c r="E96" s="251">
        <f t="shared" si="5"/>
        <v>0</v>
      </c>
    </row>
    <row r="97" spans="1:5" ht="12.75">
      <c r="A97" s="490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D5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78" sqref="D7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379</v>
      </c>
      <c r="E3" s="92"/>
    </row>
    <row r="4" spans="1:6" ht="15">
      <c r="A4" s="457" t="s">
        <v>438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9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Electric Distribution Company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79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382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446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385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386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447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430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383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425</v>
      </c>
      <c r="B32" t="s">
        <v>187</v>
      </c>
      <c r="C32" s="480"/>
      <c r="D32" s="294"/>
      <c r="E32" s="312">
        <f t="shared" si="0"/>
        <v>0</v>
      </c>
    </row>
    <row r="33" spans="1:5" ht="12.75">
      <c r="A33" s="67" t="s">
        <v>426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444</v>
      </c>
      <c r="B35" t="s">
        <v>187</v>
      </c>
      <c r="C35" s="294"/>
      <c r="D35" s="294"/>
      <c r="E35" s="312"/>
    </row>
    <row r="36" spans="1:5" ht="12.75">
      <c r="A36" s="67" t="s">
        <v>427</v>
      </c>
      <c r="B36" t="s">
        <v>187</v>
      </c>
      <c r="C36" s="294"/>
      <c r="D36" s="294"/>
      <c r="E36" s="312"/>
    </row>
    <row r="37" spans="1:5" ht="12.75">
      <c r="A37" s="67" t="s">
        <v>428</v>
      </c>
      <c r="B37" t="s">
        <v>187</v>
      </c>
      <c r="C37" s="294"/>
      <c r="D37" s="294"/>
      <c r="E37" s="312"/>
    </row>
    <row r="38" spans="1:5" ht="12.75">
      <c r="A38" s="81" t="s">
        <v>479</v>
      </c>
      <c r="B38" t="s">
        <v>187</v>
      </c>
      <c r="C38" s="294"/>
      <c r="D38" s="294"/>
      <c r="E38" s="312"/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381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450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t="s">
        <v>478</v>
      </c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2" t="s">
        <v>389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382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446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383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429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437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449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445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448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1" t="s">
        <v>480</v>
      </c>
      <c r="B60" s="8" t="s">
        <v>188</v>
      </c>
      <c r="C60" s="293">
        <v>1563</v>
      </c>
      <c r="D60" s="293"/>
      <c r="E60" s="251">
        <f t="shared" si="1"/>
        <v>1563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1" t="s">
        <v>381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s="489"/>
      <c r="B64" s="8" t="s">
        <v>188</v>
      </c>
      <c r="C64" s="293"/>
      <c r="D64" s="293"/>
      <c r="E64" s="251">
        <f t="shared" si="2"/>
        <v>0</v>
      </c>
    </row>
    <row r="65" spans="1:5" ht="12.75">
      <c r="A65" s="489"/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 t="s">
        <v>481</v>
      </c>
      <c r="B69" s="8" t="s">
        <v>188</v>
      </c>
      <c r="C69" s="293"/>
      <c r="D69" s="293"/>
      <c r="E69" s="251">
        <f t="shared" si="2"/>
        <v>0</v>
      </c>
    </row>
    <row r="70" spans="1:5" ht="12.75">
      <c r="A70" s="490" t="s">
        <v>490</v>
      </c>
      <c r="B70" s="8" t="s">
        <v>188</v>
      </c>
      <c r="C70" s="293">
        <v>0</v>
      </c>
      <c r="D70" s="293"/>
      <c r="E70" s="251">
        <f t="shared" si="2"/>
        <v>0</v>
      </c>
    </row>
    <row r="71" spans="1:5" ht="12.75">
      <c r="A71" s="492" t="s">
        <v>492</v>
      </c>
      <c r="B71" s="8" t="s">
        <v>188</v>
      </c>
      <c r="C71" s="293"/>
      <c r="D71" s="293"/>
      <c r="E71" s="251">
        <f t="shared" si="2"/>
        <v>0</v>
      </c>
    </row>
    <row r="72" spans="1:5" ht="12.75">
      <c r="A72" s="492" t="s">
        <v>493</v>
      </c>
      <c r="B72" s="8" t="s">
        <v>188</v>
      </c>
      <c r="C72" s="293">
        <v>0</v>
      </c>
      <c r="D72" s="293"/>
      <c r="E72" s="278">
        <f t="shared" si="2"/>
        <v>0</v>
      </c>
    </row>
    <row r="73" spans="1:5" ht="12.75">
      <c r="A73" s="441" t="s">
        <v>388</v>
      </c>
      <c r="B73" s="8" t="s">
        <v>189</v>
      </c>
      <c r="C73" s="251">
        <f>SUM(C51:C72)</f>
        <v>1563</v>
      </c>
      <c r="D73" s="251">
        <f>SUM(D51:D72)</f>
        <v>0</v>
      </c>
      <c r="E73" s="251">
        <f>SUM(E51:E72)</f>
        <v>1563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M22" sqref="M22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Wellington Electric Distribution Company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9" t="s">
        <v>474</v>
      </c>
      <c r="B8" s="510"/>
      <c r="C8" s="510"/>
      <c r="D8" s="510"/>
      <c r="E8" s="342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2">
        <v>0</v>
      </c>
      <c r="D9" s="372"/>
      <c r="E9" s="372">
        <v>50000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460</v>
      </c>
      <c r="B10" s="326"/>
      <c r="C10" s="374" t="s">
        <v>111</v>
      </c>
      <c r="D10" s="374"/>
      <c r="E10" s="374" t="s">
        <v>111</v>
      </c>
      <c r="F10" s="375" t="s">
        <v>469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6">
        <v>50000</v>
      </c>
      <c r="D11" s="376"/>
      <c r="E11" s="376">
        <v>175000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296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295</v>
      </c>
      <c r="B14" s="245"/>
      <c r="C14" s="327">
        <v>0.1312</v>
      </c>
      <c r="D14" s="327"/>
      <c r="E14" s="328">
        <v>0.2812</v>
      </c>
      <c r="F14" s="328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300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256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327</v>
      </c>
      <c r="B21" s="405" t="s">
        <v>470</v>
      </c>
      <c r="C21" s="482">
        <v>94000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328</v>
      </c>
      <c r="B22" s="406" t="s">
        <v>471</v>
      </c>
      <c r="C22" s="483">
        <v>188000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3" t="s">
        <v>468</v>
      </c>
      <c r="B23" s="504"/>
      <c r="C23" s="504"/>
      <c r="D23" s="504"/>
      <c r="E23" s="504"/>
      <c r="F23" s="504"/>
      <c r="G23" s="432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2"/>
      <c r="E25" s="342"/>
      <c r="F25" s="409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9" t="s">
        <v>472</v>
      </c>
      <c r="B26" s="510"/>
      <c r="C26" s="510"/>
      <c r="D26" s="510"/>
      <c r="E26" s="510"/>
      <c r="F26" s="51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6">
        <v>0</v>
      </c>
      <c r="D27" s="366"/>
      <c r="E27" s="366">
        <v>50000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433</v>
      </c>
      <c r="B28" s="326"/>
      <c r="C28" s="368" t="s">
        <v>111</v>
      </c>
      <c r="D28" s="368"/>
      <c r="E28" s="368" t="s">
        <v>111</v>
      </c>
      <c r="F28" s="369" t="s">
        <v>469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0">
        <v>50000</v>
      </c>
      <c r="D29" s="370"/>
      <c r="E29" s="370">
        <v>175000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295</v>
      </c>
      <c r="B32" s="408">
        <v>2001</v>
      </c>
      <c r="C32" s="327">
        <v>0.1312</v>
      </c>
      <c r="D32" s="327"/>
      <c r="E32" s="328">
        <v>0.2812</v>
      </c>
      <c r="F32" s="328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2001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256</v>
      </c>
      <c r="B34" s="408">
        <v>2001</v>
      </c>
      <c r="C34" s="331">
        <f>SUM(C32:C33)</f>
        <v>0.1912</v>
      </c>
      <c r="D34" s="331"/>
      <c r="E34" s="332">
        <f>SUM(E32:E33)</f>
        <v>0.3412</v>
      </c>
      <c r="F34" s="332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2001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2001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2001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475</v>
      </c>
      <c r="B39" s="405" t="s">
        <v>470</v>
      </c>
      <c r="C39" s="482">
        <v>94000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476</v>
      </c>
      <c r="B40" s="406" t="s">
        <v>471</v>
      </c>
      <c r="C40" s="483">
        <v>188000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5" t="s">
        <v>331</v>
      </c>
      <c r="B41" s="504"/>
      <c r="C41" s="504"/>
      <c r="D41" s="504"/>
      <c r="E41" s="504"/>
      <c r="F41" s="50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6"/>
      <c r="B42" s="506"/>
      <c r="C42" s="506"/>
      <c r="D42" s="506"/>
      <c r="E42" s="506"/>
      <c r="F42" s="50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9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473</v>
      </c>
      <c r="B44" s="364"/>
      <c r="C44" s="365"/>
      <c r="D44" s="364"/>
      <c r="E44" s="342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6">
        <v>0</v>
      </c>
      <c r="D45" s="366"/>
      <c r="E45" s="366">
        <v>50000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8" t="s">
        <v>111</v>
      </c>
      <c r="D46" s="368"/>
      <c r="E46" s="368" t="s">
        <v>111</v>
      </c>
      <c r="F46" s="369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0">
        <v>50000</v>
      </c>
      <c r="D47" s="370"/>
      <c r="E47" s="370">
        <v>175000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295</v>
      </c>
      <c r="B50" s="245"/>
      <c r="C50" s="351">
        <v>0.1312</v>
      </c>
      <c r="D50" s="351"/>
      <c r="E50" s="352">
        <v>0.2212</v>
      </c>
      <c r="F50" s="352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256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344</v>
      </c>
      <c r="B57" s="405" t="s">
        <v>470</v>
      </c>
      <c r="C57" s="361">
        <f>TAXCALC!G67</f>
        <v>106363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345</v>
      </c>
      <c r="B58" s="406" t="s">
        <v>471</v>
      </c>
      <c r="C58" s="483">
        <f>TAXCALC!G76</f>
        <v>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3" t="s">
        <v>346</v>
      </c>
      <c r="B59" s="507"/>
      <c r="C59" s="507"/>
      <c r="D59" s="507"/>
      <c r="E59" s="507"/>
      <c r="F59" s="50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8"/>
      <c r="B60" s="508"/>
      <c r="C60" s="508"/>
      <c r="D60" s="508"/>
      <c r="E60" s="508"/>
      <c r="F60" s="50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7">
      <selection activeCell="A33" sqref="A33:O3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Wellington Electric Distribution Company Inc.</v>
      </c>
      <c r="O3" s="415" t="str">
        <f>REGINFO!E1</f>
        <v>Version 2009.1</v>
      </c>
    </row>
    <row r="4" spans="1:15" ht="12.75">
      <c r="A4" s="2" t="str">
        <f>REGINFO!A4</f>
        <v>Reporting period:  2001</v>
      </c>
      <c r="E4" s="416" t="s">
        <v>316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0</v>
      </c>
      <c r="F11" s="418"/>
      <c r="G11" s="395">
        <f>E22</f>
        <v>0</v>
      </c>
      <c r="H11" s="418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1" t="s">
        <v>390</v>
      </c>
      <c r="B12" s="66" t="s">
        <v>190</v>
      </c>
      <c r="C12" s="394"/>
      <c r="D12" s="390"/>
      <c r="E12" s="394"/>
      <c r="F12" s="95"/>
      <c r="G12" s="417">
        <f>C12+E12</f>
        <v>0</v>
      </c>
      <c r="H12" s="95"/>
      <c r="I12" s="417">
        <f>(E12/12*9)+(G12/12*3)</f>
        <v>0</v>
      </c>
      <c r="J12" s="390"/>
      <c r="K12" s="417">
        <f>E12/12*3</f>
        <v>0</v>
      </c>
      <c r="L12" s="390"/>
      <c r="M12" s="417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1" t="s">
        <v>432</v>
      </c>
      <c r="B13" s="66"/>
      <c r="C13" s="417"/>
      <c r="D13" s="390"/>
      <c r="E13" s="417"/>
      <c r="F13" s="95"/>
      <c r="G13" s="417"/>
      <c r="H13" s="95"/>
      <c r="I13" s="417"/>
      <c r="J13" s="390"/>
      <c r="K13" s="394"/>
      <c r="L13" s="390"/>
      <c r="M13" s="417"/>
      <c r="N13" s="390"/>
      <c r="O13" s="395">
        <f t="shared" si="0"/>
        <v>0</v>
      </c>
    </row>
    <row r="14" spans="1:15" ht="26.25">
      <c r="A14" s="81" t="s">
        <v>391</v>
      </c>
      <c r="B14" s="66" t="s">
        <v>190</v>
      </c>
      <c r="C14" s="394"/>
      <c r="D14" s="390"/>
      <c r="E14" s="394"/>
      <c r="F14" s="95"/>
      <c r="G14" s="394"/>
      <c r="H14" s="95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392</v>
      </c>
      <c r="B15" s="66" t="s">
        <v>190</v>
      </c>
      <c r="C15" s="394"/>
      <c r="D15" s="390"/>
      <c r="E15" s="394"/>
      <c r="F15" s="95"/>
      <c r="G15" s="394"/>
      <c r="H15" s="95"/>
      <c r="I15" s="394"/>
      <c r="J15" s="390"/>
      <c r="K15" s="394"/>
      <c r="L15" s="390"/>
      <c r="M15" s="417">
        <f>TAXCALC!E132</f>
        <v>0</v>
      </c>
      <c r="N15" s="390"/>
      <c r="O15" s="395">
        <f t="shared" si="0"/>
        <v>0</v>
      </c>
    </row>
    <row r="16" spans="1:15" ht="27" customHeight="1">
      <c r="A16" s="81" t="s">
        <v>393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1" t="s">
        <v>394</v>
      </c>
      <c r="B17" s="66" t="s">
        <v>190</v>
      </c>
      <c r="C17" s="394"/>
      <c r="D17" s="390"/>
      <c r="E17" s="394"/>
      <c r="F17" s="95"/>
      <c r="G17" s="394"/>
      <c r="H17" s="95"/>
      <c r="I17" s="394"/>
      <c r="J17" s="390"/>
      <c r="K17" s="394"/>
      <c r="L17" s="390"/>
      <c r="M17" s="417">
        <f>TAXCALC!E181</f>
        <v>19.781366693082845</v>
      </c>
      <c r="N17" s="390"/>
      <c r="O17" s="395">
        <f t="shared" si="0"/>
        <v>19.781366693082845</v>
      </c>
    </row>
    <row r="18" spans="1:15" ht="26.25">
      <c r="A18" s="81" t="s">
        <v>395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6" t="s">
        <v>396</v>
      </c>
      <c r="B19" s="66" t="s">
        <v>190</v>
      </c>
      <c r="C19" s="394"/>
      <c r="D19" s="390"/>
      <c r="E19" s="394"/>
      <c r="F19" s="95"/>
      <c r="G19" s="394"/>
      <c r="H19" s="95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1" t="s">
        <v>463</v>
      </c>
      <c r="B20" s="66" t="s">
        <v>188</v>
      </c>
      <c r="C20" s="417">
        <v>0</v>
      </c>
      <c r="D20" s="390"/>
      <c r="E20" s="394"/>
      <c r="F20" s="95"/>
      <c r="G20" s="394"/>
      <c r="H20" s="95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5" ht="13.5" thickBot="1">
      <c r="A22" s="81" t="s">
        <v>368</v>
      </c>
      <c r="B22" s="34"/>
      <c r="C22" s="396">
        <f>SUM(C11:C20)</f>
        <v>0</v>
      </c>
      <c r="D22" s="418"/>
      <c r="E22" s="396">
        <f>SUM(E11:E20)</f>
        <v>0</v>
      </c>
      <c r="F22" s="418"/>
      <c r="G22" s="396">
        <f>SUM(G11:G20)</f>
        <v>0</v>
      </c>
      <c r="H22" s="418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19.781366693082845</v>
      </c>
      <c r="N22" s="389"/>
      <c r="O22" s="443">
        <f>SUM(O11:O20)</f>
        <v>19.781366693082845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397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398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399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4" t="s">
        <v>400</v>
      </c>
      <c r="B31" s="80"/>
      <c r="C31" s="80"/>
      <c r="D31" s="80"/>
      <c r="E31" s="80"/>
      <c r="F31" s="80"/>
      <c r="G31" s="80"/>
      <c r="H31" s="80"/>
      <c r="I31" s="440"/>
      <c r="J31" s="440"/>
      <c r="K31" s="440"/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12" t="s">
        <v>401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419"/>
      <c r="Q33" s="419"/>
      <c r="R33" s="419"/>
      <c r="S33" s="419"/>
    </row>
    <row r="34" spans="1:19" ht="12.75">
      <c r="A34" s="511" t="s">
        <v>402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419"/>
      <c r="Q34" s="419"/>
      <c r="R34" s="419"/>
      <c r="S34" s="419"/>
    </row>
    <row r="35" spans="1:19" ht="12.75">
      <c r="A35" s="511" t="s">
        <v>423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19"/>
      <c r="Q35" s="419"/>
      <c r="R35" s="419"/>
      <c r="S35" s="419"/>
    </row>
    <row r="36" spans="1:19" ht="12.75">
      <c r="A36" s="511" t="s">
        <v>403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419"/>
      <c r="Q36" s="419"/>
      <c r="R36" s="419"/>
      <c r="S36" s="419"/>
    </row>
    <row r="37" spans="1:19" ht="12.75">
      <c r="A37" s="431" t="s">
        <v>365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9"/>
      <c r="Q37" s="419"/>
      <c r="R37" s="419"/>
      <c r="S37" s="419"/>
    </row>
    <row r="38" spans="1:19" ht="12.75">
      <c r="A38" s="431" t="s">
        <v>366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9"/>
      <c r="Q38" s="419"/>
      <c r="R38" s="419"/>
      <c r="S38" s="419"/>
    </row>
    <row r="39" spans="1:19" ht="12.75">
      <c r="A39" s="431" t="s">
        <v>404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9"/>
      <c r="Q39" s="419"/>
      <c r="R39" s="419"/>
      <c r="S39" s="419"/>
    </row>
    <row r="40" spans="1:19" ht="12.75">
      <c r="A40" s="431" t="s">
        <v>405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9"/>
      <c r="Q40" s="419"/>
      <c r="R40" s="419"/>
      <c r="S40" s="419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9"/>
      <c r="Q41" s="419"/>
      <c r="R41" s="419"/>
      <c r="S41" s="419"/>
    </row>
    <row r="42" spans="1:15" ht="12.75">
      <c r="A42" s="433" t="s">
        <v>406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407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408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409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411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412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409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413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414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415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416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417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375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418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419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377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376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378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420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421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422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11" t="s">
        <v>452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</row>
    <row r="75" spans="1:15" ht="12.75">
      <c r="A75" s="428" t="s">
        <v>367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KOKTANM</cp:lastModifiedBy>
  <cp:lastPrinted>2011-10-19T15:57:19Z</cp:lastPrinted>
  <dcterms:created xsi:type="dcterms:W3CDTF">2001-11-07T16:15:53Z</dcterms:created>
  <dcterms:modified xsi:type="dcterms:W3CDTF">2011-11-01T16:38:25Z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