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85" activeTab="3"/>
  </bookViews>
  <sheets>
    <sheet name="Summary" sheetId="1" r:id="rId1"/>
    <sheet name="2002" sheetId="2" r:id="rId2"/>
    <sheet name="2003" sheetId="3" r:id="rId3"/>
    <sheet name="2004 to 20040401" sheetId="4" r:id="rId4"/>
    <sheet name="2004 from 20040401" sheetId="5" r:id="rId5"/>
    <sheet name="2004 rates unbilled" sheetId="6" r:id="rId6"/>
    <sheet name="2004 rates in 2005" sheetId="7" r:id="rId7"/>
    <sheet name="2005 rates in 2005" sheetId="8" r:id="rId8"/>
    <sheet name="2005 rates in 2006" sheetId="9" r:id="rId9"/>
    <sheet name="2005 rates 060101-060430" sheetId="10" r:id="rId10"/>
  </sheets>
  <definedNames/>
  <calcPr fullCalcOnLoad="1"/>
</workbook>
</file>

<file path=xl/sharedStrings.xml><?xml version="1.0" encoding="utf-8"?>
<sst xmlns="http://schemas.openxmlformats.org/spreadsheetml/2006/main" count="864" uniqueCount="89">
  <si>
    <t>kW/kWh</t>
  </si>
  <si>
    <t>Svc Chg</t>
  </si>
  <si>
    <t>Var Rate</t>
  </si>
  <si>
    <t>Svc Chg Rate</t>
  </si>
  <si>
    <t>Fixed PILs</t>
  </si>
  <si>
    <t>Var Billed</t>
  </si>
  <si>
    <t>Fixed Billed</t>
  </si>
  <si>
    <t>Total</t>
  </si>
  <si>
    <t>kWh</t>
  </si>
  <si>
    <t>GS&gt;50</t>
  </si>
  <si>
    <t>RS</t>
  </si>
  <si>
    <t>N01</t>
  </si>
  <si>
    <t>N03</t>
  </si>
  <si>
    <t>N05</t>
  </si>
  <si>
    <t>N06</t>
  </si>
  <si>
    <t>N11</t>
  </si>
  <si>
    <t>N12</t>
  </si>
  <si>
    <t>N10</t>
  </si>
  <si>
    <t>Dmd</t>
  </si>
  <si>
    <t xml:space="preserve"> </t>
  </si>
  <si>
    <t>N07</t>
  </si>
  <si>
    <t>ST</t>
  </si>
  <si>
    <t>ST kWh</t>
  </si>
  <si>
    <t>N08</t>
  </si>
  <si>
    <t>ST dmd</t>
  </si>
  <si>
    <t>ST Dmd</t>
  </si>
  <si>
    <t>TOTAL</t>
  </si>
  <si>
    <t>B16</t>
  </si>
  <si>
    <t>N02</t>
  </si>
  <si>
    <t>N13</t>
  </si>
  <si>
    <t>B13</t>
  </si>
  <si>
    <t>N04</t>
  </si>
  <si>
    <t>N09</t>
  </si>
  <si>
    <t>005</t>
  </si>
  <si>
    <t>2002/05/01-2002/12/31</t>
  </si>
  <si>
    <t>GS under50</t>
  </si>
  <si>
    <t>Sentinel</t>
  </si>
  <si>
    <t>2001/2002 PILs billed in 2002 (rates 2002/05/01)</t>
  </si>
  <si>
    <t>2001/2002</t>
  </si>
  <si>
    <t>Per Blk Summ</t>
  </si>
  <si>
    <t>2001/2002 PILs billed in 2003 (rates 2002/05/01)</t>
  </si>
  <si>
    <t>N14</t>
  </si>
  <si>
    <t>2001/2002 PILs billed in 2004 (rates 2002/05/01)</t>
  </si>
  <si>
    <t>2004 PILs billed in 2004 (rates 2004/04/01)</t>
  </si>
  <si>
    <t>Adj to</t>
  </si>
  <si>
    <t>thru 2004/04/01</t>
  </si>
  <si>
    <t>aftr 2004/04/01</t>
  </si>
  <si>
    <t>2005 PILs billed in 2005 (rates 2005/04/01)</t>
  </si>
  <si>
    <t>2005 PILs billed in 2006(rates 2005/04/01)  - unbilled from 2005</t>
  </si>
  <si>
    <t>unbilled from 2005</t>
  </si>
  <si>
    <t>2005 PILs billed in 2006(rates 2005/04/01)  - Jan 1 - April 30th consumption</t>
  </si>
  <si>
    <t>2006/01/1-2006/04/30</t>
  </si>
  <si>
    <t>Billing Year</t>
  </si>
  <si>
    <t>RAM Rate Year</t>
  </si>
  <si>
    <t>2004 PILs billed in 2005 (rates 2004/04/01)  UNBILLED</t>
  </si>
  <si>
    <t>(1)  Amount reported on 2005 SIMPIL</t>
  </si>
  <si>
    <t xml:space="preserve">      This reflects rates effective 2005/04/01billed in 2005 plus the year end unbilled revenue</t>
  </si>
  <si>
    <t xml:space="preserve">      It also includes amounts billed in 2005 with 2004/04/01 rates for the period 2005/01/01-2005/03/31</t>
  </si>
  <si>
    <t>West Nipissing PILs Proxy</t>
  </si>
  <si>
    <t>Deemed Rate</t>
  </si>
  <si>
    <t>Actual</t>
  </si>
  <si>
    <t>per proxy</t>
  </si>
  <si>
    <t>no filing</t>
  </si>
  <si>
    <t>West Nipissing Energy Services Ltd</t>
  </si>
  <si>
    <t>2004/04/01-2004/12/31</t>
  </si>
  <si>
    <t>PILs Billed Pre 2006/05/01</t>
  </si>
  <si>
    <t>2005/04/01-2005/12/31</t>
  </si>
  <si>
    <t>Effective 2004/04/01</t>
  </si>
  <si>
    <t>2004 PILs billed in 2005 (rates 2005/01/01) - 2005/01/01-2005/03/31</t>
  </si>
  <si>
    <t>effective 2004/04/01</t>
  </si>
  <si>
    <t>effective 2005/01/01</t>
  </si>
  <si>
    <t>effective 2005/04/01</t>
  </si>
  <si>
    <t xml:space="preserve">Adjusting for unbilled amounts - </t>
  </si>
  <si>
    <t>2001/2002/2003</t>
  </si>
  <si>
    <t>There was no system rate change for year ends in the West Nip billing environment until 2005/12/31</t>
  </si>
  <si>
    <t>No year end details of unbilled PILs for 2002 and 2003 so for purposes of calculations of carrying charges we are assuming</t>
  </si>
  <si>
    <t>billing commenced May 1, 2002 through March 31, 2004 for the 2002 RAM amounts and billing (including unbilled amounts)</t>
  </si>
  <si>
    <t>occurred evenly over the 23 month period</t>
  </si>
  <si>
    <t xml:space="preserve">=49,402.21/23 = </t>
  </si>
  <si>
    <t>per month</t>
  </si>
  <si>
    <t>commencing April 1, 2004 through December 31,2004</t>
  </si>
  <si>
    <t>The 2004 amount of $10,482.36 above includes unbilled amounts at year end.   Assume equal monthly billing for 9 months</t>
  </si>
  <si>
    <t>The 2005 amounts include $5,302.64 for 2004 rates effective 2005/01/01 - 2005/03/31 and $7,079.87 for 2005 rates</t>
  </si>
  <si>
    <t>including year end unbilled for the period 2005/04/01 - 2005/12/31</t>
  </si>
  <si>
    <t>The 2006 amounts include 2005 rates for the period 2006/01/01-2006/04/30</t>
  </si>
  <si>
    <t>=10,482.36/9  =</t>
  </si>
  <si>
    <t>= $5,302.64/3</t>
  </si>
  <si>
    <t>= $7,079.87/9</t>
  </si>
  <si>
    <t>= $4,038.89/4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</si>
</sst>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0000_);_(&quot;$&quot;* \(#,##0.00000\);_(&quot;$&quot;* &quot;-&quot;??_);_(@_)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00000_);_(&quot;$&quot;* \(#,##0.000000\);_(&quot;$&quot;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_);_(* \(#,##0.0000\);_(* &quot;-&quot;????_);_(@_)"/>
    <numFmt numFmtId="180" formatCode="_(* #,##0.000000_);_(* \(#,##0.000000\);_(* &quot;-&quot;????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72" fontId="0" fillId="0" borderId="0" xfId="44" applyNumberFormat="1" applyFont="1" applyAlignment="1">
      <alignment/>
    </xf>
    <xf numFmtId="173" fontId="0" fillId="0" borderId="0" xfId="44" applyNumberFormat="1" applyFont="1" applyAlignment="1">
      <alignment/>
    </xf>
    <xf numFmtId="170" fontId="0" fillId="0" borderId="0" xfId="44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44" applyNumberFormat="1" applyFont="1" applyAlignment="1">
      <alignment horizontal="center"/>
    </xf>
    <xf numFmtId="173" fontId="2" fillId="0" borderId="0" xfId="44" applyNumberFormat="1" applyFont="1" applyAlignment="1">
      <alignment horizontal="center"/>
    </xf>
    <xf numFmtId="170" fontId="2" fillId="0" borderId="0" xfId="44" applyFont="1" applyAlignment="1">
      <alignment horizontal="center"/>
    </xf>
    <xf numFmtId="171" fontId="0" fillId="0" borderId="0" xfId="42" applyFont="1" applyAlignment="1">
      <alignment/>
    </xf>
    <xf numFmtId="170" fontId="0" fillId="0" borderId="0" xfId="0" applyNumberFormat="1" applyAlignment="1">
      <alignment/>
    </xf>
    <xf numFmtId="171" fontId="0" fillId="0" borderId="10" xfId="42" applyFont="1" applyBorder="1" applyAlignment="1">
      <alignment/>
    </xf>
    <xf numFmtId="170" fontId="0" fillId="0" borderId="10" xfId="44" applyFont="1" applyBorder="1" applyAlignment="1">
      <alignment/>
    </xf>
    <xf numFmtId="170" fontId="0" fillId="0" borderId="10" xfId="0" applyNumberFormat="1" applyBorder="1" applyAlignment="1">
      <alignment/>
    </xf>
    <xf numFmtId="171" fontId="0" fillId="0" borderId="0" xfId="42" applyFont="1" applyBorder="1" applyAlignment="1">
      <alignment/>
    </xf>
    <xf numFmtId="170" fontId="0" fillId="0" borderId="0" xfId="44" applyFont="1" applyBorder="1" applyAlignment="1">
      <alignment/>
    </xf>
    <xf numFmtId="170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174" fontId="0" fillId="0" borderId="0" xfId="44" applyNumberFormat="1" applyFont="1" applyAlignment="1">
      <alignment/>
    </xf>
    <xf numFmtId="174" fontId="3" fillId="0" borderId="0" xfId="44" applyNumberFormat="1" applyFont="1" applyAlignment="1">
      <alignment/>
    </xf>
    <xf numFmtId="175" fontId="0" fillId="0" borderId="0" xfId="44" applyNumberFormat="1" applyFont="1" applyAlignment="1">
      <alignment/>
    </xf>
    <xf numFmtId="171" fontId="3" fillId="0" borderId="0" xfId="42" applyFont="1" applyAlignment="1">
      <alignment/>
    </xf>
    <xf numFmtId="175" fontId="3" fillId="0" borderId="0" xfId="44" applyNumberFormat="1" applyFont="1" applyAlignment="1">
      <alignment/>
    </xf>
    <xf numFmtId="170" fontId="3" fillId="0" borderId="0" xfId="44" applyFont="1" applyAlignment="1">
      <alignment/>
    </xf>
    <xf numFmtId="173" fontId="3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172" fontId="2" fillId="0" borderId="0" xfId="44" applyNumberFormat="1" applyFont="1" applyAlignment="1">
      <alignment/>
    </xf>
    <xf numFmtId="0" fontId="2" fillId="0" borderId="0" xfId="44" applyNumberFormat="1" applyFont="1" applyAlignment="1">
      <alignment horizontal="center"/>
    </xf>
    <xf numFmtId="170" fontId="3" fillId="33" borderId="0" xfId="44" applyFont="1" applyFill="1" applyAlignment="1">
      <alignment/>
    </xf>
    <xf numFmtId="170" fontId="0" fillId="33" borderId="0" xfId="44" applyFont="1" applyFill="1" applyAlignment="1">
      <alignment/>
    </xf>
    <xf numFmtId="175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11" xfId="0" applyNumberFormat="1" applyBorder="1" applyAlignment="1">
      <alignment/>
    </xf>
    <xf numFmtId="170" fontId="3" fillId="0" borderId="0" xfId="44" applyFont="1" applyFill="1" applyAlignment="1">
      <alignment/>
    </xf>
    <xf numFmtId="170" fontId="0" fillId="0" borderId="0" xfId="44" applyFont="1" applyFill="1" applyAlignment="1">
      <alignment/>
    </xf>
    <xf numFmtId="171" fontId="1" fillId="0" borderId="11" xfId="0" applyNumberFormat="1" applyFont="1" applyBorder="1" applyAlignment="1">
      <alignment/>
    </xf>
    <xf numFmtId="171" fontId="0" fillId="0" borderId="11" xfId="42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71" fontId="0" fillId="0" borderId="0" xfId="42" applyFont="1" applyFill="1" applyAlignment="1">
      <alignment/>
    </xf>
    <xf numFmtId="171" fontId="0" fillId="0" borderId="0" xfId="42" applyFont="1" applyFill="1" applyAlignment="1" quotePrefix="1">
      <alignment/>
    </xf>
    <xf numFmtId="0" fontId="0" fillId="0" borderId="0" xfId="0" applyFill="1" applyAlignment="1">
      <alignment horizontal="left"/>
    </xf>
    <xf numFmtId="170" fontId="1" fillId="0" borderId="11" xfId="44" applyFon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11" xfId="44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1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 quotePrefix="1">
      <alignment/>
    </xf>
    <xf numFmtId="43" fontId="0" fillId="0" borderId="0" xfId="0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171" fontId="0" fillId="0" borderId="10" xfId="42" applyFont="1" applyFill="1" applyBorder="1" applyAlignment="1">
      <alignment/>
    </xf>
    <xf numFmtId="170" fontId="0" fillId="0" borderId="10" xfId="44" applyFont="1" applyFill="1" applyBorder="1" applyAlignment="1">
      <alignment/>
    </xf>
    <xf numFmtId="170" fontId="0" fillId="0" borderId="0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J30" sqref="J30"/>
    </sheetView>
  </sheetViews>
  <sheetFormatPr defaultColWidth="8.8515625" defaultRowHeight="12.75"/>
  <cols>
    <col min="1" max="1" width="19.57421875" style="40" customWidth="1"/>
    <col min="2" max="2" width="6.140625" style="39" customWidth="1"/>
    <col min="3" max="3" width="40.57421875" style="39" customWidth="1"/>
    <col min="4" max="4" width="12.140625" style="39" customWidth="1"/>
    <col min="5" max="5" width="11.8515625" style="39" customWidth="1"/>
    <col min="6" max="6" width="10.421875" style="39" bestFit="1" customWidth="1"/>
    <col min="7" max="7" width="3.57421875" style="39" customWidth="1"/>
    <col min="8" max="8" width="10.28125" style="39" bestFit="1" customWidth="1"/>
    <col min="9" max="9" width="4.28125" style="39" bestFit="1" customWidth="1"/>
    <col min="10" max="10" width="8.8515625" style="39" customWidth="1"/>
    <col min="11" max="11" width="2.8515625" style="39" customWidth="1"/>
    <col min="12" max="12" width="11.28125" style="39" bestFit="1" customWidth="1"/>
    <col min="13" max="13" width="12.28125" style="39" bestFit="1" customWidth="1"/>
    <col min="14" max="14" width="2.00390625" style="39" customWidth="1"/>
    <col min="15" max="15" width="12.28125" style="39" bestFit="1" customWidth="1"/>
    <col min="16" max="16384" width="8.8515625" style="39" customWidth="1"/>
  </cols>
  <sheetData>
    <row r="1" spans="1:8" ht="12.75">
      <c r="A1" s="56" t="s">
        <v>63</v>
      </c>
      <c r="B1" s="56"/>
      <c r="C1" s="56"/>
      <c r="D1" s="56"/>
      <c r="E1" s="56"/>
      <c r="F1" s="56"/>
      <c r="G1" s="56"/>
      <c r="H1" s="56"/>
    </row>
    <row r="2" spans="1:8" ht="12.75">
      <c r="A2" s="56" t="s">
        <v>65</v>
      </c>
      <c r="B2" s="56"/>
      <c r="C2" s="56"/>
      <c r="D2" s="56"/>
      <c r="E2" s="56"/>
      <c r="F2" s="56"/>
      <c r="G2" s="56"/>
      <c r="H2" s="56"/>
    </row>
    <row r="4" spans="1:6" ht="12.75">
      <c r="A4" s="41" t="s">
        <v>52</v>
      </c>
      <c r="C4" s="55" t="s">
        <v>53</v>
      </c>
      <c r="D4" s="55"/>
      <c r="E4" s="55"/>
      <c r="F4" s="55"/>
    </row>
    <row r="6" spans="3:8" ht="12.75">
      <c r="C6" s="52" t="s">
        <v>73</v>
      </c>
      <c r="D6" s="40" t="s">
        <v>19</v>
      </c>
      <c r="E6" s="40">
        <v>2004</v>
      </c>
      <c r="F6" s="40">
        <v>2005</v>
      </c>
      <c r="H6" s="39" t="s">
        <v>7</v>
      </c>
    </row>
    <row r="8" spans="1:8" ht="12.75">
      <c r="A8" s="40">
        <v>2001</v>
      </c>
      <c r="C8" s="42">
        <v>0</v>
      </c>
      <c r="D8" s="42"/>
      <c r="E8" s="42"/>
      <c r="F8" s="42"/>
      <c r="G8" s="42"/>
      <c r="H8" s="42">
        <f aca="true" t="shared" si="0" ref="H8:H13">SUM(C8:F8)</f>
        <v>0</v>
      </c>
    </row>
    <row r="9" spans="1:8" ht="12.75">
      <c r="A9" s="40">
        <v>2002</v>
      </c>
      <c r="C9" s="42">
        <v>12164.59</v>
      </c>
      <c r="D9" s="42"/>
      <c r="E9" s="42"/>
      <c r="F9" s="42"/>
      <c r="G9" s="42"/>
      <c r="H9" s="42">
        <f t="shared" si="0"/>
        <v>12164.59</v>
      </c>
    </row>
    <row r="10" spans="1:8" ht="12.75">
      <c r="A10" s="40">
        <v>2003</v>
      </c>
      <c r="C10" s="42">
        <v>25845.4</v>
      </c>
      <c r="D10" s="42"/>
      <c r="E10" s="42"/>
      <c r="F10" s="42"/>
      <c r="G10" s="42"/>
      <c r="H10" s="42">
        <f t="shared" si="0"/>
        <v>25845.4</v>
      </c>
    </row>
    <row r="11" spans="1:8" ht="12.75">
      <c r="A11" s="40">
        <v>2004</v>
      </c>
      <c r="C11" s="42">
        <v>11392.22</v>
      </c>
      <c r="D11" s="42"/>
      <c r="E11" s="42">
        <f>'2004 from 20040401'!S33+'2004 rates unbilled'!S34</f>
        <v>10482.35530361</v>
      </c>
      <c r="F11" s="42" t="s">
        <v>19</v>
      </c>
      <c r="G11" s="42"/>
      <c r="H11" s="42">
        <f t="shared" si="0"/>
        <v>21874.57530361</v>
      </c>
    </row>
    <row r="12" spans="1:9" ht="12.75">
      <c r="A12" s="40">
        <v>2005</v>
      </c>
      <c r="C12" s="42"/>
      <c r="D12" s="42"/>
      <c r="E12" s="42">
        <f>'2004 rates in 2005'!S34</f>
        <v>5302.6411985899995</v>
      </c>
      <c r="F12" s="42">
        <f>'2005 rates in 2005'!S38+'2005 rates in 2006'!S34</f>
        <v>7079.865403</v>
      </c>
      <c r="H12" s="42">
        <f t="shared" si="0"/>
        <v>12382.50660159</v>
      </c>
      <c r="I12" s="43"/>
    </row>
    <row r="13" spans="1:8" ht="12.75">
      <c r="A13" s="40">
        <v>2006</v>
      </c>
      <c r="C13" s="42"/>
      <c r="D13" s="42"/>
      <c r="E13" s="42"/>
      <c r="F13" s="42">
        <f>'2005 rates 060101-060430'!S34</f>
        <v>4038.8932949999994</v>
      </c>
      <c r="G13" s="42"/>
      <c r="H13" s="42">
        <f t="shared" si="0"/>
        <v>4038.8932949999994</v>
      </c>
    </row>
    <row r="14" spans="3:8" ht="12.75">
      <c r="C14" s="42"/>
      <c r="D14" s="42"/>
      <c r="E14" s="42"/>
      <c r="F14" s="42"/>
      <c r="G14" s="42"/>
      <c r="H14" s="42"/>
    </row>
    <row r="15" spans="3:8" ht="13.5" thickBot="1">
      <c r="C15" s="38">
        <f>SUM(C8:C13)</f>
        <v>49402.21000000001</v>
      </c>
      <c r="D15" s="38">
        <f>SUM(D8:D13)</f>
        <v>0</v>
      </c>
      <c r="E15" s="38">
        <f>SUM(E8:E13)</f>
        <v>15784.9965022</v>
      </c>
      <c r="F15" s="38">
        <f>SUM(F8:F13)</f>
        <v>11118.758698</v>
      </c>
      <c r="G15" s="38" t="s">
        <v>19</v>
      </c>
      <c r="H15" s="38">
        <f>SUM(H8:H13)</f>
        <v>76305.96520020001</v>
      </c>
    </row>
    <row r="16" ht="13.5" thickTop="1"/>
    <row r="19" s="49" customFormat="1" ht="12.75">
      <c r="A19" s="48" t="s">
        <v>72</v>
      </c>
    </row>
    <row r="20" s="49" customFormat="1" ht="12.75">
      <c r="A20" s="48" t="s">
        <v>74</v>
      </c>
    </row>
    <row r="21" s="49" customFormat="1" ht="12.75">
      <c r="A21" s="48" t="s">
        <v>75</v>
      </c>
    </row>
    <row r="22" s="49" customFormat="1" ht="12.75">
      <c r="A22" s="48" t="s">
        <v>76</v>
      </c>
    </row>
    <row r="23" spans="1:8" s="49" customFormat="1" ht="12.75">
      <c r="A23" s="48" t="s">
        <v>77</v>
      </c>
      <c r="D23" s="53" t="s">
        <v>78</v>
      </c>
      <c r="F23" s="54">
        <f>C15/23</f>
        <v>2147.922173913044</v>
      </c>
      <c r="H23" s="49" t="s">
        <v>79</v>
      </c>
    </row>
    <row r="24" s="49" customFormat="1" ht="12.75">
      <c r="A24" s="48"/>
    </row>
    <row r="25" s="49" customFormat="1" ht="12.75">
      <c r="A25" s="48" t="s">
        <v>81</v>
      </c>
    </row>
    <row r="26" spans="1:8" s="49" customFormat="1" ht="12.75">
      <c r="A26" s="48" t="s">
        <v>80</v>
      </c>
      <c r="D26" s="53" t="s">
        <v>85</v>
      </c>
      <c r="F26" s="54">
        <f>E11/9</f>
        <v>1164.7061448455556</v>
      </c>
      <c r="H26" s="49" t="s">
        <v>79</v>
      </c>
    </row>
    <row r="27" s="49" customFormat="1" ht="12.75">
      <c r="A27" s="48" t="s">
        <v>82</v>
      </c>
    </row>
    <row r="28" spans="1:8" s="49" customFormat="1" ht="12.75">
      <c r="A28" s="48" t="s">
        <v>83</v>
      </c>
      <c r="D28" s="53" t="s">
        <v>86</v>
      </c>
      <c r="F28" s="54">
        <f>E12/3</f>
        <v>1767.5470661966665</v>
      </c>
      <c r="H28" s="49" t="s">
        <v>79</v>
      </c>
    </row>
    <row r="29" spans="1:8" s="49" customFormat="1" ht="12.75">
      <c r="A29" s="48"/>
      <c r="D29" s="53" t="s">
        <v>87</v>
      </c>
      <c r="F29" s="54">
        <f>F12/9</f>
        <v>786.6517114444445</v>
      </c>
      <c r="H29" s="49" t="s">
        <v>79</v>
      </c>
    </row>
    <row r="30" spans="1:8" s="49" customFormat="1" ht="12.75">
      <c r="A30" s="48" t="s">
        <v>84</v>
      </c>
      <c r="D30" s="53" t="s">
        <v>88</v>
      </c>
      <c r="F30" s="54">
        <f>F13/4</f>
        <v>1009.7233237499998</v>
      </c>
      <c r="H30" s="49" t="s">
        <v>79</v>
      </c>
    </row>
    <row r="31" spans="1:8" s="49" customFormat="1" ht="12.75">
      <c r="A31" s="50"/>
      <c r="H31" s="49" t="s">
        <v>19</v>
      </c>
    </row>
    <row r="32" s="48" customFormat="1" ht="12.75">
      <c r="H32" s="51"/>
    </row>
    <row r="33" s="48" customFormat="1" ht="12.75"/>
    <row r="34" s="44" customFormat="1" ht="12.75"/>
    <row r="35" s="44" customFormat="1" ht="12.75">
      <c r="A35" s="43" t="s">
        <v>55</v>
      </c>
    </row>
    <row r="36" s="44" customFormat="1" ht="12.75">
      <c r="A36" s="44" t="s">
        <v>56</v>
      </c>
    </row>
    <row r="37" ht="12.75">
      <c r="A37" s="44" t="s">
        <v>57</v>
      </c>
    </row>
    <row r="40" spans="1:6" ht="12.75">
      <c r="A40" s="44" t="s">
        <v>58</v>
      </c>
      <c r="D40" s="39" t="s">
        <v>59</v>
      </c>
      <c r="F40" s="39" t="s">
        <v>60</v>
      </c>
    </row>
    <row r="42" spans="1:6" ht="12.75">
      <c r="A42" s="40">
        <v>2001</v>
      </c>
      <c r="D42" s="39">
        <v>19.12</v>
      </c>
      <c r="E42" s="39" t="s">
        <v>61</v>
      </c>
      <c r="F42" s="39">
        <v>19.12</v>
      </c>
    </row>
    <row r="43" spans="1:6" ht="12.75">
      <c r="A43" s="40">
        <v>2002</v>
      </c>
      <c r="D43" s="39">
        <v>19.12</v>
      </c>
      <c r="E43" s="39" t="s">
        <v>61</v>
      </c>
      <c r="F43" s="39">
        <v>19.12</v>
      </c>
    </row>
    <row r="44" spans="1:6" ht="12.75">
      <c r="A44" s="40">
        <v>2003</v>
      </c>
      <c r="D44" s="39">
        <v>19.12</v>
      </c>
      <c r="E44" s="39" t="s">
        <v>62</v>
      </c>
      <c r="F44" s="39">
        <v>18.62</v>
      </c>
    </row>
    <row r="45" spans="1:6" ht="12.75">
      <c r="A45" s="40">
        <v>2004</v>
      </c>
      <c r="D45" s="39">
        <v>18.62</v>
      </c>
      <c r="F45" s="39">
        <v>18.62</v>
      </c>
    </row>
    <row r="46" ht="12.75">
      <c r="A46" s="40">
        <v>2005</v>
      </c>
    </row>
  </sheetData>
  <sheetProtection/>
  <mergeCells count="3">
    <mergeCell ref="C4:F4"/>
    <mergeCell ref="A1:H1"/>
    <mergeCell ref="A2:H2"/>
  </mergeCells>
  <printOptions/>
  <pageMargins left="0.15748031496062992" right="0.15748031496062992" top="0.2362204724409449" bottom="0.2362204724409449" header="0.5118110236220472" footer="0.5118110236220472"/>
  <pageSetup fitToHeight="1" fitToWidth="1" horizontalDpi="600" verticalDpi="600" orientation="portrait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">
      <selection activeCell="M40" sqref="M40"/>
    </sheetView>
  </sheetViews>
  <sheetFormatPr defaultColWidth="9.140625" defaultRowHeight="12.75"/>
  <cols>
    <col min="1" max="1" width="5.421875" style="4" customWidth="1"/>
    <col min="2" max="2" width="10.8515625" style="0" customWidth="1"/>
    <col min="3" max="3" width="8.28125" style="0" customWidth="1"/>
    <col min="4" max="4" width="20.140625" style="0" bestFit="1" customWidth="1"/>
    <col min="5" max="5" width="14.00390625" style="0" bestFit="1" customWidth="1"/>
    <col min="6" max="6" width="2.421875" style="0" customWidth="1"/>
    <col min="7" max="7" width="13.421875" style="1" bestFit="1" customWidth="1"/>
    <col min="8" max="8" width="11.00390625" style="1" customWidth="1"/>
    <col min="9" max="9" width="10.8515625" style="1" customWidth="1"/>
    <col min="10" max="10" width="2.8515625" style="1" customWidth="1"/>
    <col min="11" max="11" width="11.28125" style="2" customWidth="1"/>
    <col min="12" max="13" width="10.28125" style="3" bestFit="1" customWidth="1"/>
    <col min="14" max="14" width="9.8515625" style="3" customWidth="1"/>
    <col min="15" max="15" width="2.8515625" style="0" customWidth="1"/>
    <col min="16" max="16" width="11.28125" style="0" bestFit="1" customWidth="1"/>
    <col min="17" max="17" width="12.28125" style="0" bestFit="1" customWidth="1"/>
    <col min="18" max="18" width="2.00390625" style="0" customWidth="1"/>
    <col min="19" max="19" width="12.28125" style="0" bestFit="1" customWidth="1"/>
  </cols>
  <sheetData>
    <row r="1" ht="12.75">
      <c r="A1" s="17" t="s">
        <v>63</v>
      </c>
    </row>
    <row r="2" ht="12.75">
      <c r="A2" s="17" t="s">
        <v>50</v>
      </c>
    </row>
    <row r="4" spans="4:15" ht="12.75">
      <c r="D4" s="57" t="s">
        <v>34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4:15" ht="12.75"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4:14" s="27" customFormat="1" ht="12.75">
      <c r="D6" s="58" t="s">
        <v>39</v>
      </c>
      <c r="E6" s="58"/>
      <c r="G6" s="29">
        <v>2004</v>
      </c>
      <c r="H6" s="29" t="s">
        <v>44</v>
      </c>
      <c r="I6" s="6" t="s">
        <v>7</v>
      </c>
      <c r="J6" s="28"/>
      <c r="K6" s="7" t="s">
        <v>7</v>
      </c>
      <c r="L6" s="29">
        <v>2001</v>
      </c>
      <c r="M6" s="29">
        <v>2002</v>
      </c>
      <c r="N6" s="29" t="s">
        <v>38</v>
      </c>
    </row>
    <row r="7" spans="4:19" s="5" customFormat="1" ht="12.75">
      <c r="D7" s="5" t="s">
        <v>0</v>
      </c>
      <c r="E7" s="5" t="s">
        <v>1</v>
      </c>
      <c r="G7" s="6" t="s">
        <v>2</v>
      </c>
      <c r="H7" s="6" t="s">
        <v>2</v>
      </c>
      <c r="I7" s="6" t="s">
        <v>2</v>
      </c>
      <c r="J7" s="6"/>
      <c r="K7" s="7" t="s">
        <v>3</v>
      </c>
      <c r="L7" s="8" t="s">
        <v>4</v>
      </c>
      <c r="M7" s="8" t="s">
        <v>4</v>
      </c>
      <c r="N7" s="8" t="s">
        <v>4</v>
      </c>
      <c r="P7" s="5" t="s">
        <v>5</v>
      </c>
      <c r="Q7" s="5" t="s">
        <v>6</v>
      </c>
      <c r="S7" s="5" t="s">
        <v>7</v>
      </c>
    </row>
    <row r="8" spans="1:19" ht="12.75">
      <c r="A8" s="4" t="s">
        <v>27</v>
      </c>
      <c r="B8" t="s">
        <v>9</v>
      </c>
      <c r="C8" t="s">
        <v>8</v>
      </c>
      <c r="D8" s="22" t="s">
        <v>19</v>
      </c>
      <c r="E8" s="24">
        <v>0</v>
      </c>
      <c r="G8" s="23" t="s">
        <v>19</v>
      </c>
      <c r="H8" s="21"/>
      <c r="K8" s="25"/>
      <c r="L8" s="20"/>
      <c r="M8" s="20"/>
      <c r="N8" s="19"/>
      <c r="P8" s="3">
        <v>0</v>
      </c>
      <c r="Q8" s="3">
        <v>0</v>
      </c>
      <c r="S8" s="10">
        <f>P8+Q8</f>
        <v>0</v>
      </c>
    </row>
    <row r="9" spans="1:19" ht="12.75">
      <c r="A9" s="4" t="s">
        <v>11</v>
      </c>
      <c r="B9" t="s">
        <v>10</v>
      </c>
      <c r="C9" t="s">
        <v>8</v>
      </c>
      <c r="D9" s="22">
        <v>2965953.3</v>
      </c>
      <c r="E9" s="24">
        <v>21042.36</v>
      </c>
      <c r="G9" s="23">
        <v>0.0003</v>
      </c>
      <c r="H9" s="23">
        <v>0</v>
      </c>
      <c r="I9" s="21">
        <f>G9+H9</f>
        <v>0.0003</v>
      </c>
      <c r="K9" s="25"/>
      <c r="L9" s="20"/>
      <c r="M9" s="20"/>
      <c r="N9" s="19"/>
      <c r="P9" s="3">
        <f>I9*D9</f>
        <v>889.7859899999999</v>
      </c>
      <c r="Q9" s="3">
        <v>0</v>
      </c>
      <c r="S9" s="10">
        <f aca="true" t="shared" si="0" ref="S9:S15">P9+Q9</f>
        <v>889.7859899999999</v>
      </c>
    </row>
    <row r="10" spans="1:19" ht="12.75">
      <c r="A10" s="4" t="s">
        <v>28</v>
      </c>
      <c r="B10" t="s">
        <v>10</v>
      </c>
      <c r="C10" t="s">
        <v>8</v>
      </c>
      <c r="D10" s="22">
        <v>8253073.76</v>
      </c>
      <c r="E10" s="24">
        <v>105837.37</v>
      </c>
      <c r="G10" s="23">
        <v>0.0003</v>
      </c>
      <c r="H10" s="23">
        <v>0</v>
      </c>
      <c r="I10" s="21">
        <f>G10+H10</f>
        <v>0.0003</v>
      </c>
      <c r="K10" s="25"/>
      <c r="L10" s="20"/>
      <c r="M10" s="20"/>
      <c r="N10" s="19"/>
      <c r="P10" s="3">
        <f>I10*D10</f>
        <v>2475.9221279999997</v>
      </c>
      <c r="Q10" s="3">
        <v>0</v>
      </c>
      <c r="S10" s="10">
        <f t="shared" si="0"/>
        <v>2475.9221279999997</v>
      </c>
    </row>
    <row r="11" spans="1:19" ht="12.75">
      <c r="A11" s="4" t="s">
        <v>17</v>
      </c>
      <c r="B11" t="s">
        <v>35</v>
      </c>
      <c r="C11" t="s">
        <v>8</v>
      </c>
      <c r="D11" s="22">
        <v>2638443.3</v>
      </c>
      <c r="E11" s="24">
        <v>12233.12</v>
      </c>
      <c r="G11" s="23">
        <v>0.0002</v>
      </c>
      <c r="H11" s="23">
        <v>0</v>
      </c>
      <c r="I11" s="21">
        <f>G11+H11</f>
        <v>0.0002</v>
      </c>
      <c r="K11" s="25"/>
      <c r="L11" s="20"/>
      <c r="M11" s="20"/>
      <c r="N11" s="19"/>
      <c r="P11" s="3">
        <f>I11*D11</f>
        <v>527.68866</v>
      </c>
      <c r="Q11" s="3">
        <v>0</v>
      </c>
      <c r="S11" s="10">
        <f t="shared" si="0"/>
        <v>527.68866</v>
      </c>
    </row>
    <row r="12" spans="1:19" ht="12.75">
      <c r="A12" s="4" t="s">
        <v>15</v>
      </c>
      <c r="B12" t="s">
        <v>35</v>
      </c>
      <c r="C12" t="s">
        <v>8</v>
      </c>
      <c r="D12" s="22">
        <v>256406.24</v>
      </c>
      <c r="E12" s="24">
        <v>2566.69</v>
      </c>
      <c r="G12" s="23">
        <v>0.0002</v>
      </c>
      <c r="H12" s="23">
        <v>0</v>
      </c>
      <c r="I12" s="21">
        <f>G12+H12</f>
        <v>0.0002</v>
      </c>
      <c r="K12" s="25"/>
      <c r="L12" s="20"/>
      <c r="M12" s="20"/>
      <c r="N12" s="19"/>
      <c r="P12" s="3">
        <f>I12*D12</f>
        <v>51.281248</v>
      </c>
      <c r="Q12" s="3">
        <v>0</v>
      </c>
      <c r="S12" s="10">
        <f t="shared" si="0"/>
        <v>51.281248</v>
      </c>
    </row>
    <row r="13" spans="1:19" ht="12.75">
      <c r="A13" s="4" t="s">
        <v>16</v>
      </c>
      <c r="B13" t="s">
        <v>9</v>
      </c>
      <c r="C13" t="s">
        <v>8</v>
      </c>
      <c r="D13" s="22">
        <v>0</v>
      </c>
      <c r="E13" s="35">
        <v>3967.9</v>
      </c>
      <c r="G13" s="23" t="s">
        <v>19</v>
      </c>
      <c r="H13" s="21"/>
      <c r="I13" s="21"/>
      <c r="K13" s="25"/>
      <c r="L13" s="20"/>
      <c r="M13" s="20"/>
      <c r="N13" s="19"/>
      <c r="P13" s="3">
        <v>0</v>
      </c>
      <c r="Q13" s="3">
        <v>0</v>
      </c>
      <c r="S13" s="10">
        <f t="shared" si="0"/>
        <v>0</v>
      </c>
    </row>
    <row r="14" spans="1:19" ht="12.75">
      <c r="A14" s="4" t="s">
        <v>29</v>
      </c>
      <c r="B14" t="s">
        <v>9</v>
      </c>
      <c r="C14" t="s">
        <v>8</v>
      </c>
      <c r="D14" s="22">
        <v>0</v>
      </c>
      <c r="E14" s="35">
        <v>484.11</v>
      </c>
      <c r="G14" s="23" t="s">
        <v>19</v>
      </c>
      <c r="H14" s="21"/>
      <c r="I14" s="21"/>
      <c r="K14" s="25"/>
      <c r="L14" s="20"/>
      <c r="M14" s="20"/>
      <c r="N14" s="19"/>
      <c r="P14" s="3">
        <v>0</v>
      </c>
      <c r="Q14" s="3">
        <v>0</v>
      </c>
      <c r="S14" s="10">
        <f t="shared" si="0"/>
        <v>0</v>
      </c>
    </row>
    <row r="15" spans="1:19" ht="12.75">
      <c r="A15" s="4" t="s">
        <v>41</v>
      </c>
      <c r="B15" t="s">
        <v>35</v>
      </c>
      <c r="C15" t="s">
        <v>8</v>
      </c>
      <c r="D15" s="22">
        <v>78794.29</v>
      </c>
      <c r="E15" s="24">
        <v>120.27</v>
      </c>
      <c r="G15" s="23">
        <v>0.0002</v>
      </c>
      <c r="H15" s="23">
        <v>0</v>
      </c>
      <c r="I15" s="21">
        <f>G15+H15</f>
        <v>0.0002</v>
      </c>
      <c r="K15" s="25"/>
      <c r="L15" s="20"/>
      <c r="M15" s="20"/>
      <c r="N15" s="19"/>
      <c r="P15" s="3">
        <f>I15*D15</f>
        <v>15.758858</v>
      </c>
      <c r="Q15" s="3">
        <v>0</v>
      </c>
      <c r="S15" s="10">
        <f t="shared" si="0"/>
        <v>15.758858</v>
      </c>
    </row>
    <row r="16" spans="4:19" ht="12.75">
      <c r="D16" s="11">
        <f>SUM(D9:D15)</f>
        <v>14192670.889999999</v>
      </c>
      <c r="E16" s="11">
        <f>SUM(E8:E15)</f>
        <v>146251.81999999998</v>
      </c>
      <c r="H16" s="21"/>
      <c r="I16" s="21"/>
      <c r="M16" s="19"/>
      <c r="P16" s="13">
        <f>SUM(P8:P15)</f>
        <v>3960.4368839999993</v>
      </c>
      <c r="Q16" s="13">
        <f>SUM(Q8:Q15)</f>
        <v>0</v>
      </c>
      <c r="R16" s="13">
        <f>SUM(R8:R15)</f>
        <v>0</v>
      </c>
      <c r="S16" s="13">
        <f>SUM(S8:S15)</f>
        <v>3960.4368839999993</v>
      </c>
    </row>
    <row r="17" spans="4:13" ht="12.75">
      <c r="D17" s="9"/>
      <c r="E17" s="3"/>
      <c r="H17" s="21"/>
      <c r="I17" s="21"/>
      <c r="M17" s="19"/>
    </row>
    <row r="18" spans="1:19" ht="12.75">
      <c r="A18" s="4">
        <v>501</v>
      </c>
      <c r="B18" t="s">
        <v>9</v>
      </c>
      <c r="C18" t="s">
        <v>18</v>
      </c>
      <c r="D18" s="9">
        <v>15055.05</v>
      </c>
      <c r="E18" s="3" t="s">
        <v>19</v>
      </c>
      <c r="G18" s="23">
        <v>0.0171</v>
      </c>
      <c r="H18" s="23">
        <v>0</v>
      </c>
      <c r="I18" s="21">
        <f aca="true" t="shared" si="1" ref="I18:I26">G18+H18</f>
        <v>0.0171</v>
      </c>
      <c r="K18" s="20" t="s">
        <v>19</v>
      </c>
      <c r="M18" s="19"/>
      <c r="P18" s="3">
        <f aca="true" t="shared" si="2" ref="P18:P26">I18*D18</f>
        <v>257.441355</v>
      </c>
      <c r="S18" s="10">
        <f aca="true" t="shared" si="3" ref="S18:S26">P18+Q18</f>
        <v>257.441355</v>
      </c>
    </row>
    <row r="19" spans="1:19" ht="12.75">
      <c r="A19" s="4">
        <v>601</v>
      </c>
      <c r="B19" t="s">
        <v>9</v>
      </c>
      <c r="C19" t="s">
        <v>18</v>
      </c>
      <c r="D19" s="9">
        <v>2193.68</v>
      </c>
      <c r="E19" s="3"/>
      <c r="G19" s="23">
        <v>0.0171</v>
      </c>
      <c r="H19" s="23">
        <v>0</v>
      </c>
      <c r="I19" s="21">
        <f t="shared" si="1"/>
        <v>0.0171</v>
      </c>
      <c r="K19" s="20" t="s">
        <v>19</v>
      </c>
      <c r="M19" s="19"/>
      <c r="P19" s="3">
        <f t="shared" si="2"/>
        <v>37.511928</v>
      </c>
      <c r="S19" s="10">
        <f t="shared" si="3"/>
        <v>37.511928</v>
      </c>
    </row>
    <row r="20" spans="1:19" ht="12.75">
      <c r="A20" s="4" t="s">
        <v>30</v>
      </c>
      <c r="B20" t="s">
        <v>9</v>
      </c>
      <c r="C20" t="s">
        <v>18</v>
      </c>
      <c r="D20" s="9">
        <v>0</v>
      </c>
      <c r="E20" s="3"/>
      <c r="G20" s="23">
        <v>0.0171</v>
      </c>
      <c r="H20" s="23">
        <v>0</v>
      </c>
      <c r="I20" s="21">
        <f t="shared" si="1"/>
        <v>0.0171</v>
      </c>
      <c r="K20" s="20" t="s">
        <v>19</v>
      </c>
      <c r="M20" s="19"/>
      <c r="P20" s="3">
        <f t="shared" si="2"/>
        <v>0</v>
      </c>
      <c r="S20" s="10">
        <f t="shared" si="3"/>
        <v>0</v>
      </c>
    </row>
    <row r="21" spans="1:19" ht="12.75">
      <c r="A21" s="4" t="s">
        <v>12</v>
      </c>
      <c r="B21" t="s">
        <v>36</v>
      </c>
      <c r="C21" t="s">
        <v>18</v>
      </c>
      <c r="D21" s="9">
        <v>9.3</v>
      </c>
      <c r="E21" s="3"/>
      <c r="G21" s="23">
        <v>0.1352</v>
      </c>
      <c r="H21" s="23">
        <v>0</v>
      </c>
      <c r="I21" s="21">
        <f t="shared" si="1"/>
        <v>0.1352</v>
      </c>
      <c r="K21" s="20" t="s">
        <v>19</v>
      </c>
      <c r="M21" s="19"/>
      <c r="P21" s="3">
        <f t="shared" si="2"/>
        <v>1.25736</v>
      </c>
      <c r="S21" s="10">
        <f t="shared" si="3"/>
        <v>1.25736</v>
      </c>
    </row>
    <row r="22" spans="1:19" ht="12.75">
      <c r="A22" s="4" t="s">
        <v>31</v>
      </c>
      <c r="B22" t="s">
        <v>36</v>
      </c>
      <c r="C22" t="s">
        <v>18</v>
      </c>
      <c r="D22" s="9">
        <v>3.69</v>
      </c>
      <c r="E22" s="3"/>
      <c r="G22" s="23">
        <v>0.1352</v>
      </c>
      <c r="H22" s="23">
        <v>0</v>
      </c>
      <c r="I22" s="21">
        <f t="shared" si="1"/>
        <v>0.1352</v>
      </c>
      <c r="K22" s="20" t="s">
        <v>19</v>
      </c>
      <c r="M22" s="19"/>
      <c r="P22" s="3">
        <f t="shared" si="2"/>
        <v>0.49888799999999994</v>
      </c>
      <c r="S22" s="10">
        <f t="shared" si="3"/>
        <v>0.49888799999999994</v>
      </c>
    </row>
    <row r="23" spans="1:19" ht="12.75">
      <c r="A23" s="4" t="s">
        <v>13</v>
      </c>
      <c r="B23" t="s">
        <v>36</v>
      </c>
      <c r="C23" t="s">
        <v>18</v>
      </c>
      <c r="D23" s="9">
        <v>10.83</v>
      </c>
      <c r="E23" s="3"/>
      <c r="G23" s="23">
        <v>0.1352</v>
      </c>
      <c r="H23" s="23">
        <v>0</v>
      </c>
      <c r="I23" s="21">
        <f t="shared" si="1"/>
        <v>0.1352</v>
      </c>
      <c r="K23" s="20" t="s">
        <v>19</v>
      </c>
      <c r="M23" s="19"/>
      <c r="P23" s="3">
        <f t="shared" si="2"/>
        <v>1.464216</v>
      </c>
      <c r="S23" s="10">
        <f t="shared" si="3"/>
        <v>1.464216</v>
      </c>
    </row>
    <row r="24" spans="1:19" ht="12.75">
      <c r="A24" s="4" t="s">
        <v>14</v>
      </c>
      <c r="B24" t="s">
        <v>36</v>
      </c>
      <c r="C24" t="s">
        <v>18</v>
      </c>
      <c r="D24" s="9">
        <v>5.73</v>
      </c>
      <c r="E24" s="3"/>
      <c r="G24" s="23">
        <v>0.1352</v>
      </c>
      <c r="H24" s="23">
        <v>0</v>
      </c>
      <c r="I24" s="21">
        <f t="shared" si="1"/>
        <v>0.1352</v>
      </c>
      <c r="K24" s="20" t="s">
        <v>19</v>
      </c>
      <c r="M24" s="19"/>
      <c r="P24" s="3">
        <f t="shared" si="2"/>
        <v>0.7746959999999999</v>
      </c>
      <c r="S24" s="10">
        <f t="shared" si="3"/>
        <v>0.7746959999999999</v>
      </c>
    </row>
    <row r="25" spans="1:19" ht="12.75">
      <c r="A25" s="4" t="s">
        <v>23</v>
      </c>
      <c r="B25" t="s">
        <v>36</v>
      </c>
      <c r="C25" t="s">
        <v>18</v>
      </c>
      <c r="D25" s="9">
        <v>1.15</v>
      </c>
      <c r="E25" s="3"/>
      <c r="G25" s="23">
        <v>0.1352</v>
      </c>
      <c r="H25" s="23">
        <v>0</v>
      </c>
      <c r="I25" s="21">
        <f t="shared" si="1"/>
        <v>0.1352</v>
      </c>
      <c r="K25" s="20" t="s">
        <v>19</v>
      </c>
      <c r="M25" s="19"/>
      <c r="P25" s="3">
        <f t="shared" si="2"/>
        <v>0.15547999999999998</v>
      </c>
      <c r="S25" s="10">
        <f t="shared" si="3"/>
        <v>0.15547999999999998</v>
      </c>
    </row>
    <row r="26" spans="1:19" ht="12.75">
      <c r="A26" s="4" t="s">
        <v>32</v>
      </c>
      <c r="B26" t="s">
        <v>36</v>
      </c>
      <c r="C26" t="s">
        <v>18</v>
      </c>
      <c r="D26" s="9">
        <v>3.82</v>
      </c>
      <c r="E26" s="3"/>
      <c r="G26" s="23">
        <v>0.1352</v>
      </c>
      <c r="H26" s="23">
        <v>0</v>
      </c>
      <c r="I26" s="21">
        <f t="shared" si="1"/>
        <v>0.1352</v>
      </c>
      <c r="K26" s="20" t="s">
        <v>19</v>
      </c>
      <c r="M26" s="19"/>
      <c r="P26" s="3">
        <f t="shared" si="2"/>
        <v>0.5164639999999999</v>
      </c>
      <c r="S26" s="10">
        <f t="shared" si="3"/>
        <v>0.5164639999999999</v>
      </c>
    </row>
    <row r="27" spans="1:19" ht="12.75">
      <c r="A27" s="4" t="s">
        <v>19</v>
      </c>
      <c r="D27" s="11">
        <f>SUM(D18:D26)</f>
        <v>17283.25</v>
      </c>
      <c r="E27" s="12">
        <f>SUM(E18:E26)</f>
        <v>0</v>
      </c>
      <c r="H27" s="21"/>
      <c r="I27" s="21"/>
      <c r="M27" s="19"/>
      <c r="P27" s="13">
        <f>SUM(P18:P26)</f>
        <v>299.62038700000005</v>
      </c>
      <c r="Q27" s="13">
        <f>SUM(Q18:Q26)</f>
        <v>0</v>
      </c>
      <c r="R27" s="13">
        <f>SUM(R18:R26)</f>
        <v>0</v>
      </c>
      <c r="S27" s="13">
        <f>SUM(S18:S26)</f>
        <v>299.62038700000005</v>
      </c>
    </row>
    <row r="28" spans="4:13" ht="12.75">
      <c r="D28" s="14"/>
      <c r="E28" s="15"/>
      <c r="H28" s="21"/>
      <c r="I28" s="21"/>
      <c r="M28" s="19"/>
    </row>
    <row r="29" spans="1:19" ht="12.75">
      <c r="A29" s="4" t="s">
        <v>20</v>
      </c>
      <c r="B29" t="s">
        <v>21</v>
      </c>
      <c r="C29" t="s">
        <v>22</v>
      </c>
      <c r="D29" s="9"/>
      <c r="E29" s="36">
        <v>4156.15</v>
      </c>
      <c r="G29" s="23" t="s">
        <v>19</v>
      </c>
      <c r="H29" s="23" t="s">
        <v>19</v>
      </c>
      <c r="I29" s="21"/>
      <c r="K29" s="20"/>
      <c r="L29" s="20"/>
      <c r="M29" s="20"/>
      <c r="N29" s="19"/>
      <c r="P29" s="3">
        <v>0</v>
      </c>
      <c r="Q29" s="3">
        <v>0</v>
      </c>
      <c r="S29" s="10">
        <f>P29+Q29</f>
        <v>0</v>
      </c>
    </row>
    <row r="30" spans="4:13" ht="12.75">
      <c r="D30" s="9"/>
      <c r="E30" s="3"/>
      <c r="H30" s="21"/>
      <c r="I30" s="21"/>
      <c r="M30" s="19"/>
    </row>
    <row r="31" spans="1:19" ht="12.75">
      <c r="A31" s="18" t="s">
        <v>33</v>
      </c>
      <c r="B31" t="s">
        <v>24</v>
      </c>
      <c r="C31" t="s">
        <v>25</v>
      </c>
      <c r="D31" s="9">
        <v>690.03</v>
      </c>
      <c r="E31" s="3"/>
      <c r="G31" s="23">
        <v>0.1137</v>
      </c>
      <c r="H31" s="23">
        <v>0</v>
      </c>
      <c r="I31" s="21">
        <f>G31+H31</f>
        <v>0.1137</v>
      </c>
      <c r="M31" s="19"/>
      <c r="P31" s="3">
        <f>I31*D31</f>
        <v>78.45641099999999</v>
      </c>
      <c r="S31" s="10">
        <f>P31+Q31</f>
        <v>78.45641099999999</v>
      </c>
    </row>
    <row r="32" spans="1:14" ht="12.75">
      <c r="A32"/>
      <c r="G32"/>
      <c r="H32"/>
      <c r="I32" s="32"/>
      <c r="J32"/>
      <c r="K32"/>
      <c r="L32"/>
      <c r="M32"/>
      <c r="N32"/>
    </row>
    <row r="33" spans="4:8" ht="12.75">
      <c r="D33" s="9"/>
      <c r="E33" s="3"/>
      <c r="H33" s="21"/>
    </row>
    <row r="34" spans="4:19" ht="13.5" thickBot="1">
      <c r="D34" s="9"/>
      <c r="E34" s="3"/>
      <c r="G34" s="1" t="s">
        <v>26</v>
      </c>
      <c r="H34" s="21"/>
      <c r="P34" s="16">
        <f>P16+P28+P29+P31</f>
        <v>4038.8932949999994</v>
      </c>
      <c r="Q34" s="16">
        <f>Q16+Q28+Q29+Q31</f>
        <v>0</v>
      </c>
      <c r="R34" s="16">
        <f>R16+R28+R29+R31</f>
        <v>0</v>
      </c>
      <c r="S34" s="16">
        <f>S16+S28+S29+S31</f>
        <v>4038.8932949999994</v>
      </c>
    </row>
    <row r="35" spans="4:5" ht="13.5" thickTop="1">
      <c r="D35" s="9">
        <f>'2005 rates in 2006'!D16+'2005 rates in 2006'!D27+'2005 rates in 2006'!D31</f>
        <v>7154163.040000001</v>
      </c>
      <c r="E35" s="3">
        <f>'2005 rates in 2006'!E16+'2005 rates in 2006'!E27+'2005 rates in 2006'!E29</f>
        <v>74300.2</v>
      </c>
    </row>
    <row r="36" spans="2:5" ht="12.75">
      <c r="B36" t="s">
        <v>51</v>
      </c>
      <c r="D36" s="9">
        <f>D16+D27+D29+D31</f>
        <v>14210644.169999998</v>
      </c>
      <c r="E36" s="3">
        <f>E16+E27+E29+E31</f>
        <v>150407.96999999997</v>
      </c>
    </row>
    <row r="37" spans="2:5" ht="12.75">
      <c r="B37" t="s">
        <v>19</v>
      </c>
      <c r="D37" s="33">
        <v>0</v>
      </c>
      <c r="E37" s="3">
        <v>0</v>
      </c>
    </row>
    <row r="38" spans="4:5" ht="13.5" thickBot="1">
      <c r="D38" s="37">
        <f>SUM(D35:D37)</f>
        <v>21364807.21</v>
      </c>
      <c r="E38" s="47">
        <f>SUM(E35:E37)</f>
        <v>224708.16999999998</v>
      </c>
    </row>
    <row r="39" ht="13.5" thickTop="1"/>
  </sheetData>
  <sheetProtection/>
  <mergeCells count="2">
    <mergeCell ref="D4:O4"/>
    <mergeCell ref="D6:E6"/>
  </mergeCells>
  <printOptions/>
  <pageMargins left="0.25" right="0.25" top="0.25" bottom="0.25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">
      <selection activeCell="W23" sqref="W23"/>
    </sheetView>
  </sheetViews>
  <sheetFormatPr defaultColWidth="9.140625" defaultRowHeight="12.75"/>
  <cols>
    <col min="1" max="1" width="5.421875" style="4" customWidth="1"/>
    <col min="2" max="2" width="10.8515625" style="0" customWidth="1"/>
    <col min="3" max="3" width="8.28125" style="0" customWidth="1"/>
    <col min="4" max="4" width="20.140625" style="0" bestFit="1" customWidth="1"/>
    <col min="5" max="5" width="14.00390625" style="0" bestFit="1" customWidth="1"/>
    <col min="6" max="6" width="2.421875" style="0" customWidth="1"/>
    <col min="7" max="7" width="13.421875" style="1" bestFit="1" customWidth="1"/>
    <col min="8" max="8" width="11.00390625" style="1" customWidth="1"/>
    <col min="9" max="9" width="10.28125" style="1" customWidth="1"/>
    <col min="10" max="10" width="2.8515625" style="1" customWidth="1"/>
    <col min="11" max="11" width="11.28125" style="2" customWidth="1"/>
    <col min="12" max="13" width="10.28125" style="3" bestFit="1" customWidth="1"/>
    <col min="14" max="14" width="9.8515625" style="3" customWidth="1"/>
    <col min="15" max="15" width="2.8515625" style="0" customWidth="1"/>
    <col min="16" max="16" width="11.28125" style="0" bestFit="1" customWidth="1"/>
    <col min="17" max="17" width="12.28125" style="0" bestFit="1" customWidth="1"/>
    <col min="18" max="18" width="2.00390625" style="0" customWidth="1"/>
    <col min="19" max="19" width="12.28125" style="0" bestFit="1" customWidth="1"/>
  </cols>
  <sheetData>
    <row r="1" ht="12.75">
      <c r="A1" s="17" t="s">
        <v>63</v>
      </c>
    </row>
    <row r="2" ht="12.75">
      <c r="A2" s="17" t="s">
        <v>37</v>
      </c>
    </row>
    <row r="4" spans="4:15" ht="12.75">
      <c r="D4" s="57" t="s">
        <v>34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4:15" ht="12.75"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4:14" s="27" customFormat="1" ht="12.75">
      <c r="D6" s="58" t="s">
        <v>39</v>
      </c>
      <c r="E6" s="58"/>
      <c r="G6" s="29">
        <v>2001</v>
      </c>
      <c r="H6" s="29">
        <v>2002</v>
      </c>
      <c r="I6" s="6" t="s">
        <v>7</v>
      </c>
      <c r="J6" s="28"/>
      <c r="K6" s="7" t="s">
        <v>7</v>
      </c>
      <c r="L6" s="29">
        <v>2001</v>
      </c>
      <c r="M6" s="29">
        <v>2002</v>
      </c>
      <c r="N6" s="29" t="s">
        <v>38</v>
      </c>
    </row>
    <row r="7" spans="4:19" s="5" customFormat="1" ht="12.75">
      <c r="D7" s="5" t="s">
        <v>0</v>
      </c>
      <c r="E7" s="5" t="s">
        <v>1</v>
      </c>
      <c r="G7" s="6" t="s">
        <v>2</v>
      </c>
      <c r="H7" s="6" t="s">
        <v>2</v>
      </c>
      <c r="I7" s="6" t="s">
        <v>2</v>
      </c>
      <c r="J7" s="6"/>
      <c r="K7" s="7" t="s">
        <v>3</v>
      </c>
      <c r="L7" s="8" t="s">
        <v>4</v>
      </c>
      <c r="M7" s="8" t="s">
        <v>4</v>
      </c>
      <c r="N7" s="8" t="s">
        <v>4</v>
      </c>
      <c r="P7" s="5" t="s">
        <v>5</v>
      </c>
      <c r="Q7" s="5" t="s">
        <v>6</v>
      </c>
      <c r="S7" s="5" t="s">
        <v>7</v>
      </c>
    </row>
    <row r="8" spans="1:19" ht="12.75">
      <c r="A8" s="4" t="s">
        <v>27</v>
      </c>
      <c r="B8" t="s">
        <v>9</v>
      </c>
      <c r="C8" t="s">
        <v>8</v>
      </c>
      <c r="D8" s="22" t="s">
        <v>19</v>
      </c>
      <c r="E8" s="24">
        <v>176.64</v>
      </c>
      <c r="G8" s="23" t="s">
        <v>19</v>
      </c>
      <c r="H8" s="21"/>
      <c r="K8" s="25">
        <v>33.97</v>
      </c>
      <c r="L8" s="20">
        <v>0.4934</v>
      </c>
      <c r="M8" s="20">
        <v>0.7738</v>
      </c>
      <c r="N8" s="19">
        <f>L8+M8</f>
        <v>1.2672</v>
      </c>
      <c r="P8" s="3">
        <v>0</v>
      </c>
      <c r="Q8" s="3">
        <f>E8/K8*N8</f>
        <v>6.589290785987637</v>
      </c>
      <c r="S8" s="10">
        <f>P8+Q8</f>
        <v>6.589290785987637</v>
      </c>
    </row>
    <row r="9" spans="1:19" ht="12.75">
      <c r="A9" s="4" t="s">
        <v>11</v>
      </c>
      <c r="B9" t="s">
        <v>10</v>
      </c>
      <c r="C9" t="s">
        <v>8</v>
      </c>
      <c r="D9" s="22">
        <v>3731620.32</v>
      </c>
      <c r="E9" s="24">
        <v>57363.36</v>
      </c>
      <c r="G9" s="23">
        <v>0.000111</v>
      </c>
      <c r="H9" s="23">
        <v>0.000174</v>
      </c>
      <c r="I9" s="1">
        <f>G9+H9</f>
        <v>0.000285</v>
      </c>
      <c r="K9" s="25">
        <v>12.71</v>
      </c>
      <c r="L9" s="20">
        <v>0.1466</v>
      </c>
      <c r="M9" s="20">
        <v>0.2299</v>
      </c>
      <c r="N9" s="19">
        <f aca="true" t="shared" si="0" ref="N9:N14">L9+M9</f>
        <v>0.3765</v>
      </c>
      <c r="P9" s="3">
        <f>I9*D9</f>
        <v>1063.5117911999998</v>
      </c>
      <c r="Q9" s="3">
        <f aca="true" t="shared" si="1" ref="Q9:Q14">E9/K9*N9</f>
        <v>1699.237217938631</v>
      </c>
      <c r="S9" s="10">
        <f aca="true" t="shared" si="2" ref="S9:S14">P9+Q9</f>
        <v>2762.7490091386308</v>
      </c>
    </row>
    <row r="10" spans="1:19" ht="12.75">
      <c r="A10" s="4" t="s">
        <v>28</v>
      </c>
      <c r="B10" t="s">
        <v>10</v>
      </c>
      <c r="C10" t="s">
        <v>8</v>
      </c>
      <c r="D10" s="22">
        <v>7305875.26</v>
      </c>
      <c r="E10" s="24">
        <v>151602.49</v>
      </c>
      <c r="G10" s="23">
        <v>0.000111</v>
      </c>
      <c r="H10" s="23">
        <v>0.000174</v>
      </c>
      <c r="I10" s="1">
        <f>G10+H10</f>
        <v>0.000285</v>
      </c>
      <c r="K10" s="25">
        <v>12.71</v>
      </c>
      <c r="L10" s="20">
        <v>0.1466</v>
      </c>
      <c r="M10" s="20">
        <v>0.2299</v>
      </c>
      <c r="N10" s="19">
        <f t="shared" si="0"/>
        <v>0.3765</v>
      </c>
      <c r="P10" s="3">
        <f>I10*D10</f>
        <v>2082.1744491</v>
      </c>
      <c r="Q10" s="3">
        <f t="shared" si="1"/>
        <v>4490.82120259638</v>
      </c>
      <c r="S10" s="10">
        <f t="shared" si="2"/>
        <v>6572.99565169638</v>
      </c>
    </row>
    <row r="11" spans="1:19" ht="12.75">
      <c r="A11" s="4" t="s">
        <v>17</v>
      </c>
      <c r="B11" t="s">
        <v>35</v>
      </c>
      <c r="C11" t="s">
        <v>8</v>
      </c>
      <c r="D11" s="22">
        <v>4157019.95</v>
      </c>
      <c r="E11" s="24">
        <v>23588.27</v>
      </c>
      <c r="G11" s="23">
        <v>0.000128</v>
      </c>
      <c r="H11" s="23">
        <v>0.000201</v>
      </c>
      <c r="I11" s="1">
        <f>G11+H11</f>
        <v>0.000329</v>
      </c>
      <c r="K11" s="25">
        <v>13.1</v>
      </c>
      <c r="L11" s="20">
        <v>0.1661</v>
      </c>
      <c r="M11" s="20">
        <v>0.2605</v>
      </c>
      <c r="N11" s="19">
        <f t="shared" si="0"/>
        <v>0.4266</v>
      </c>
      <c r="P11" s="3">
        <f>I11*D11</f>
        <v>1367.65956355</v>
      </c>
      <c r="Q11" s="3">
        <f t="shared" si="1"/>
        <v>768.1493116030534</v>
      </c>
      <c r="S11" s="10">
        <f t="shared" si="2"/>
        <v>2135.8088751530536</v>
      </c>
    </row>
    <row r="12" spans="1:19" ht="12.75">
      <c r="A12" s="4" t="s">
        <v>15</v>
      </c>
      <c r="B12" t="s">
        <v>35</v>
      </c>
      <c r="C12" t="s">
        <v>8</v>
      </c>
      <c r="D12" s="22">
        <v>116432.7</v>
      </c>
      <c r="E12" s="24">
        <v>3623.09</v>
      </c>
      <c r="G12" s="23">
        <v>0.000128</v>
      </c>
      <c r="H12" s="23">
        <v>0.000201</v>
      </c>
      <c r="I12" s="1">
        <f>G12+H12</f>
        <v>0.000329</v>
      </c>
      <c r="K12" s="25">
        <v>13.1</v>
      </c>
      <c r="L12" s="20">
        <v>0.1661</v>
      </c>
      <c r="M12" s="20">
        <v>0.2605</v>
      </c>
      <c r="N12" s="19">
        <f t="shared" si="0"/>
        <v>0.4266</v>
      </c>
      <c r="P12" s="3">
        <f>I12*D12</f>
        <v>38.3063583</v>
      </c>
      <c r="Q12" s="3">
        <f t="shared" si="1"/>
        <v>117.98551099236643</v>
      </c>
      <c r="S12" s="10">
        <f t="shared" si="2"/>
        <v>156.2918692923664</v>
      </c>
    </row>
    <row r="13" spans="1:19" ht="12.75">
      <c r="A13" s="4" t="s">
        <v>16</v>
      </c>
      <c r="B13" t="s">
        <v>9</v>
      </c>
      <c r="C13" t="s">
        <v>8</v>
      </c>
      <c r="D13" s="22">
        <v>0</v>
      </c>
      <c r="E13" s="24">
        <v>6525.54</v>
      </c>
      <c r="G13" s="23" t="s">
        <v>19</v>
      </c>
      <c r="H13" s="21"/>
      <c r="K13" s="25">
        <v>33.97</v>
      </c>
      <c r="L13" s="20">
        <v>0.4934</v>
      </c>
      <c r="M13" s="20">
        <v>0.7738</v>
      </c>
      <c r="N13" s="19">
        <f t="shared" si="0"/>
        <v>1.2672</v>
      </c>
      <c r="P13" s="3">
        <v>0</v>
      </c>
      <c r="Q13" s="3">
        <f t="shared" si="1"/>
        <v>243.42550156020022</v>
      </c>
      <c r="S13" s="10">
        <f t="shared" si="2"/>
        <v>243.42550156020022</v>
      </c>
    </row>
    <row r="14" spans="1:19" ht="12.75">
      <c r="A14" s="4" t="s">
        <v>29</v>
      </c>
      <c r="B14" t="s">
        <v>9</v>
      </c>
      <c r="C14" t="s">
        <v>8</v>
      </c>
      <c r="D14" s="22">
        <v>0</v>
      </c>
      <c r="E14" s="24">
        <v>611.46</v>
      </c>
      <c r="G14" s="23" t="s">
        <v>19</v>
      </c>
      <c r="H14" s="21"/>
      <c r="K14" s="25">
        <v>33.97</v>
      </c>
      <c r="L14" s="20">
        <v>0.4934</v>
      </c>
      <c r="M14" s="20">
        <v>0.7738</v>
      </c>
      <c r="N14" s="19">
        <f t="shared" si="0"/>
        <v>1.2672</v>
      </c>
      <c r="P14" s="3">
        <v>0</v>
      </c>
      <c r="Q14" s="3">
        <f t="shared" si="1"/>
        <v>22.809600000000003</v>
      </c>
      <c r="S14" s="10">
        <f t="shared" si="2"/>
        <v>22.809600000000003</v>
      </c>
    </row>
    <row r="15" spans="4:19" ht="12.75">
      <c r="D15" s="11">
        <f>SUM(D8:D14)</f>
        <v>15310948.23</v>
      </c>
      <c r="E15" s="12">
        <f>SUM(E8:E14)</f>
        <v>243490.84999999998</v>
      </c>
      <c r="H15" s="21"/>
      <c r="M15" s="19"/>
      <c r="P15" s="13">
        <f>SUM(P8:P14)</f>
        <v>4551.65216215</v>
      </c>
      <c r="Q15" s="13">
        <f>SUM(Q8:Q14)</f>
        <v>7349.017635476618</v>
      </c>
      <c r="R15" s="13">
        <f>SUM(R8:R14)</f>
        <v>0</v>
      </c>
      <c r="S15" s="13">
        <f>SUM(S8:S14)</f>
        <v>11900.669797626619</v>
      </c>
    </row>
    <row r="16" spans="4:13" ht="12.75">
      <c r="D16" s="9"/>
      <c r="E16" s="3"/>
      <c r="H16" s="21"/>
      <c r="M16" s="19"/>
    </row>
    <row r="17" spans="1:19" ht="12.75">
      <c r="A17" s="4">
        <v>501</v>
      </c>
      <c r="B17" t="s">
        <v>9</v>
      </c>
      <c r="C17" t="s">
        <v>18</v>
      </c>
      <c r="D17" s="9">
        <v>21833.95</v>
      </c>
      <c r="E17" s="3" t="s">
        <v>19</v>
      </c>
      <c r="G17" s="23">
        <v>0.7417</v>
      </c>
      <c r="H17" s="23">
        <v>0.012384</v>
      </c>
      <c r="I17" s="1">
        <f>G17+H17</f>
        <v>0.754084</v>
      </c>
      <c r="K17" s="20" t="s">
        <v>19</v>
      </c>
      <c r="M17" s="19"/>
      <c r="P17" s="3">
        <f>I17*D17</f>
        <v>16464.6323518</v>
      </c>
      <c r="S17" s="10">
        <f aca="true" t="shared" si="3" ref="S17:S24">P17+Q17</f>
        <v>16464.6323518</v>
      </c>
    </row>
    <row r="18" spans="1:19" ht="12.75">
      <c r="A18" s="4">
        <v>601</v>
      </c>
      <c r="B18" t="s">
        <v>9</v>
      </c>
      <c r="C18" t="s">
        <v>18</v>
      </c>
      <c r="D18" s="9">
        <v>4812.12</v>
      </c>
      <c r="E18" s="3"/>
      <c r="G18" s="23">
        <v>0.7417</v>
      </c>
      <c r="H18" s="23">
        <v>0.012384</v>
      </c>
      <c r="I18" s="1">
        <f aca="true" t="shared" si="4" ref="I18:I24">G18+H18</f>
        <v>0.754084</v>
      </c>
      <c r="K18" s="20" t="s">
        <v>19</v>
      </c>
      <c r="M18" s="19"/>
      <c r="P18" s="3">
        <f aca="true" t="shared" si="5" ref="P18:P24">I18*D18</f>
        <v>3628.7426980799996</v>
      </c>
      <c r="S18" s="10">
        <f t="shared" si="3"/>
        <v>3628.7426980799996</v>
      </c>
    </row>
    <row r="19" spans="1:19" ht="12.75">
      <c r="A19" s="4" t="s">
        <v>30</v>
      </c>
      <c r="B19" t="s">
        <v>9</v>
      </c>
      <c r="C19" t="s">
        <v>18</v>
      </c>
      <c r="D19" s="9">
        <v>120</v>
      </c>
      <c r="E19" s="3"/>
      <c r="G19" s="23">
        <v>0.7417</v>
      </c>
      <c r="H19" s="23">
        <v>0.012384</v>
      </c>
      <c r="I19" s="1">
        <f t="shared" si="4"/>
        <v>0.754084</v>
      </c>
      <c r="K19" s="20" t="s">
        <v>19</v>
      </c>
      <c r="M19" s="19"/>
      <c r="P19" s="3">
        <f t="shared" si="5"/>
        <v>90.49007999999999</v>
      </c>
      <c r="S19" s="10">
        <f t="shared" si="3"/>
        <v>90.49007999999999</v>
      </c>
    </row>
    <row r="20" spans="1:19" ht="12.75">
      <c r="A20" s="4" t="s">
        <v>12</v>
      </c>
      <c r="B20" t="s">
        <v>36</v>
      </c>
      <c r="C20" t="s">
        <v>18</v>
      </c>
      <c r="D20" s="9">
        <v>23.04</v>
      </c>
      <c r="E20" s="3"/>
      <c r="G20" s="23">
        <v>0.119267</v>
      </c>
      <c r="H20" s="23">
        <v>0.187033</v>
      </c>
      <c r="I20" s="1">
        <f t="shared" si="4"/>
        <v>0.3063</v>
      </c>
      <c r="K20" s="20" t="s">
        <v>19</v>
      </c>
      <c r="M20" s="19"/>
      <c r="P20" s="3">
        <f t="shared" si="5"/>
        <v>7.057152</v>
      </c>
      <c r="S20" s="10">
        <f t="shared" si="3"/>
        <v>7.057152</v>
      </c>
    </row>
    <row r="21" spans="1:19" ht="12.75">
      <c r="A21" s="4" t="s">
        <v>31</v>
      </c>
      <c r="B21" t="s">
        <v>36</v>
      </c>
      <c r="C21" t="s">
        <v>18</v>
      </c>
      <c r="D21" s="9">
        <v>4.96</v>
      </c>
      <c r="E21" s="3"/>
      <c r="G21" s="23">
        <v>0.119267</v>
      </c>
      <c r="H21" s="23">
        <v>0.187033</v>
      </c>
      <c r="I21" s="1">
        <f t="shared" si="4"/>
        <v>0.3063</v>
      </c>
      <c r="K21" s="20" t="s">
        <v>19</v>
      </c>
      <c r="M21" s="19"/>
      <c r="P21" s="3">
        <f t="shared" si="5"/>
        <v>1.5192480000000002</v>
      </c>
      <c r="S21" s="10">
        <f t="shared" si="3"/>
        <v>1.5192480000000002</v>
      </c>
    </row>
    <row r="22" spans="1:19" ht="12.75">
      <c r="A22" s="4" t="s">
        <v>14</v>
      </c>
      <c r="B22" t="s">
        <v>36</v>
      </c>
      <c r="C22" t="s">
        <v>18</v>
      </c>
      <c r="D22" s="9">
        <v>20.58</v>
      </c>
      <c r="E22" s="3"/>
      <c r="G22" s="23">
        <v>0.119267</v>
      </c>
      <c r="H22" s="23">
        <v>0.187033</v>
      </c>
      <c r="I22" s="1">
        <f t="shared" si="4"/>
        <v>0.3063</v>
      </c>
      <c r="K22" s="20" t="s">
        <v>19</v>
      </c>
      <c r="M22" s="19"/>
      <c r="P22" s="3">
        <f t="shared" si="5"/>
        <v>6.303654</v>
      </c>
      <c r="S22" s="10">
        <f t="shared" si="3"/>
        <v>6.303654</v>
      </c>
    </row>
    <row r="23" spans="1:19" ht="12.75">
      <c r="A23" s="4" t="s">
        <v>23</v>
      </c>
      <c r="B23" t="s">
        <v>36</v>
      </c>
      <c r="C23" t="s">
        <v>18</v>
      </c>
      <c r="D23" s="9">
        <v>2.28</v>
      </c>
      <c r="E23" s="3"/>
      <c r="G23" s="23">
        <v>0.119267</v>
      </c>
      <c r="H23" s="23">
        <v>0.187033</v>
      </c>
      <c r="I23" s="1">
        <f t="shared" si="4"/>
        <v>0.3063</v>
      </c>
      <c r="K23" s="20" t="s">
        <v>19</v>
      </c>
      <c r="M23" s="19"/>
      <c r="P23" s="3">
        <f t="shared" si="5"/>
        <v>0.698364</v>
      </c>
      <c r="S23" s="10">
        <f t="shared" si="3"/>
        <v>0.698364</v>
      </c>
    </row>
    <row r="24" spans="1:19" ht="12.75">
      <c r="A24" s="4" t="s">
        <v>32</v>
      </c>
      <c r="B24" t="s">
        <v>36</v>
      </c>
      <c r="C24" t="s">
        <v>18</v>
      </c>
      <c r="D24" s="9">
        <v>8.7</v>
      </c>
      <c r="E24" s="3"/>
      <c r="G24" s="23">
        <v>0.119267</v>
      </c>
      <c r="H24" s="23">
        <v>0.187033</v>
      </c>
      <c r="I24" s="1">
        <f t="shared" si="4"/>
        <v>0.3063</v>
      </c>
      <c r="K24" s="20" t="s">
        <v>19</v>
      </c>
      <c r="M24" s="19"/>
      <c r="P24" s="3">
        <f t="shared" si="5"/>
        <v>2.66481</v>
      </c>
      <c r="S24" s="10">
        <f t="shared" si="3"/>
        <v>2.66481</v>
      </c>
    </row>
    <row r="25" spans="1:19" ht="12.75">
      <c r="A25" s="4" t="s">
        <v>19</v>
      </c>
      <c r="D25" s="11">
        <f>SUM(D17:D24)</f>
        <v>26825.63</v>
      </c>
      <c r="E25" s="12">
        <f>SUM(E17:E24)</f>
        <v>0</v>
      </c>
      <c r="H25" s="21"/>
      <c r="M25" s="19"/>
      <c r="P25" s="13">
        <f>SUM(P17:P24)</f>
        <v>20202.10835788</v>
      </c>
      <c r="Q25" s="13">
        <f>SUM(Q17:Q24)</f>
        <v>0</v>
      </c>
      <c r="R25" s="13">
        <f>SUM(R17:R24)</f>
        <v>0</v>
      </c>
      <c r="S25" s="13">
        <f>SUM(S17:S24)</f>
        <v>20202.10835788</v>
      </c>
    </row>
    <row r="26" spans="4:13" ht="12.75">
      <c r="D26" s="14"/>
      <c r="E26" s="15"/>
      <c r="H26" s="21"/>
      <c r="M26" s="19"/>
    </row>
    <row r="27" spans="1:19" ht="12.75">
      <c r="A27" s="4" t="s">
        <v>20</v>
      </c>
      <c r="B27" t="s">
        <v>21</v>
      </c>
      <c r="C27" t="s">
        <v>22</v>
      </c>
      <c r="D27" s="9"/>
      <c r="E27" s="3">
        <v>6223.9</v>
      </c>
      <c r="G27" s="23" t="s">
        <v>19</v>
      </c>
      <c r="H27" s="23" t="s">
        <v>19</v>
      </c>
      <c r="K27" s="20">
        <v>1.09</v>
      </c>
      <c r="L27" s="20">
        <v>0.0112</v>
      </c>
      <c r="M27" s="20">
        <v>0.0176</v>
      </c>
      <c r="N27" s="19">
        <f>L27+M27</f>
        <v>0.0288</v>
      </c>
      <c r="P27" s="3">
        <v>0</v>
      </c>
      <c r="Q27" s="3">
        <f>E27/K27*N27</f>
        <v>164.44799999999998</v>
      </c>
      <c r="S27" s="10">
        <f>P27+Q27</f>
        <v>164.44799999999998</v>
      </c>
    </row>
    <row r="28" spans="4:13" ht="12.75">
      <c r="D28" s="9"/>
      <c r="E28" s="3"/>
      <c r="H28" s="21"/>
      <c r="M28" s="19"/>
    </row>
    <row r="29" spans="1:19" ht="12.75">
      <c r="A29" s="18" t="s">
        <v>33</v>
      </c>
      <c r="B29" t="s">
        <v>24</v>
      </c>
      <c r="C29" t="s">
        <v>25</v>
      </c>
      <c r="D29" s="9">
        <v>1035.88</v>
      </c>
      <c r="E29" s="3"/>
      <c r="G29" s="23">
        <v>0.037392</v>
      </c>
      <c r="H29" s="23">
        <v>0.058638</v>
      </c>
      <c r="I29" s="1">
        <f>G29+H29</f>
        <v>0.09603</v>
      </c>
      <c r="M29" s="19"/>
      <c r="P29" s="3">
        <f>I29*D29</f>
        <v>99.47555640000002</v>
      </c>
      <c r="S29" s="10">
        <f>P29+Q29</f>
        <v>99.47555640000002</v>
      </c>
    </row>
    <row r="30" spans="1:14" ht="12.75">
      <c r="A30"/>
      <c r="G30"/>
      <c r="H30"/>
      <c r="I30"/>
      <c r="J30"/>
      <c r="K30"/>
      <c r="L30"/>
      <c r="M30"/>
      <c r="N30"/>
    </row>
    <row r="31" spans="4:8" ht="12.75">
      <c r="D31" s="9"/>
      <c r="E31" s="3"/>
      <c r="H31" s="21"/>
    </row>
    <row r="32" spans="4:19" ht="13.5" thickBot="1">
      <c r="D32" s="9"/>
      <c r="E32" s="3"/>
      <c r="G32" s="1" t="s">
        <v>26</v>
      </c>
      <c r="H32" s="21"/>
      <c r="P32" s="16">
        <f>P15+P26+P27+P29</f>
        <v>4651.127718549999</v>
      </c>
      <c r="Q32" s="16">
        <f>Q15+Q26+Q27+Q29</f>
        <v>7513.465635476618</v>
      </c>
      <c r="R32" s="16">
        <f>R15+R26+R27+R29</f>
        <v>0</v>
      </c>
      <c r="S32" s="16">
        <f>S15+S26+S27+S29</f>
        <v>12164.59335402662</v>
      </c>
    </row>
    <row r="33" spans="4:5" ht="13.5" thickTop="1">
      <c r="D33" s="9"/>
      <c r="E33" s="3"/>
    </row>
    <row r="34" spans="4:5" ht="12.75">
      <c r="D34" s="9"/>
      <c r="E34" s="3"/>
    </row>
    <row r="35" ht="12.75">
      <c r="E35" s="3"/>
    </row>
    <row r="36" ht="12.75">
      <c r="E36" s="3"/>
    </row>
  </sheetData>
  <sheetProtection/>
  <mergeCells count="2">
    <mergeCell ref="D4:O4"/>
    <mergeCell ref="D6:E6"/>
  </mergeCells>
  <printOptions/>
  <pageMargins left="0.25" right="0.25" top="0.25" bottom="0.25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5.421875" style="4" customWidth="1"/>
    <col min="2" max="2" width="10.8515625" style="0" customWidth="1"/>
    <col min="3" max="3" width="8.28125" style="0" customWidth="1"/>
    <col min="4" max="4" width="20.140625" style="0" bestFit="1" customWidth="1"/>
    <col min="5" max="5" width="14.00390625" style="0" bestFit="1" customWidth="1"/>
    <col min="6" max="6" width="2.421875" style="0" customWidth="1"/>
    <col min="7" max="7" width="13.421875" style="1" bestFit="1" customWidth="1"/>
    <col min="8" max="8" width="11.00390625" style="1" customWidth="1"/>
    <col min="9" max="9" width="10.28125" style="1" customWidth="1"/>
    <col min="10" max="10" width="2.8515625" style="1" customWidth="1"/>
    <col min="11" max="11" width="11.28125" style="2" customWidth="1"/>
    <col min="12" max="13" width="10.28125" style="3" bestFit="1" customWidth="1"/>
    <col min="14" max="14" width="9.8515625" style="3" customWidth="1"/>
    <col min="15" max="15" width="2.8515625" style="0" customWidth="1"/>
    <col min="16" max="16" width="11.28125" style="0" bestFit="1" customWidth="1"/>
    <col min="17" max="17" width="12.28125" style="0" bestFit="1" customWidth="1"/>
    <col min="18" max="18" width="2.00390625" style="0" customWidth="1"/>
    <col min="19" max="19" width="12.28125" style="0" bestFit="1" customWidth="1"/>
  </cols>
  <sheetData>
    <row r="1" ht="12.75">
      <c r="A1" s="17" t="s">
        <v>63</v>
      </c>
    </row>
    <row r="2" ht="12.75">
      <c r="A2" s="17" t="s">
        <v>40</v>
      </c>
    </row>
    <row r="4" spans="4:15" ht="12.75">
      <c r="D4" s="57" t="s">
        <v>34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4:15" ht="12.75"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4:14" s="27" customFormat="1" ht="12.75">
      <c r="D6" s="58" t="s">
        <v>39</v>
      </c>
      <c r="E6" s="58"/>
      <c r="G6" s="29">
        <v>2001</v>
      </c>
      <c r="H6" s="29">
        <v>2002</v>
      </c>
      <c r="I6" s="6" t="s">
        <v>7</v>
      </c>
      <c r="J6" s="28"/>
      <c r="K6" s="7" t="s">
        <v>7</v>
      </c>
      <c r="L6" s="29">
        <v>2001</v>
      </c>
      <c r="M6" s="29">
        <v>2002</v>
      </c>
      <c r="N6" s="29" t="s">
        <v>38</v>
      </c>
    </row>
    <row r="7" spans="4:19" s="5" customFormat="1" ht="12.75">
      <c r="D7" s="5" t="s">
        <v>0</v>
      </c>
      <c r="E7" s="5" t="s">
        <v>1</v>
      </c>
      <c r="G7" s="6" t="s">
        <v>2</v>
      </c>
      <c r="H7" s="6" t="s">
        <v>2</v>
      </c>
      <c r="I7" s="6" t="s">
        <v>2</v>
      </c>
      <c r="J7" s="6"/>
      <c r="K7" s="7" t="s">
        <v>3</v>
      </c>
      <c r="L7" s="8" t="s">
        <v>4</v>
      </c>
      <c r="M7" s="8" t="s">
        <v>4</v>
      </c>
      <c r="N7" s="8" t="s">
        <v>4</v>
      </c>
      <c r="P7" s="5" t="s">
        <v>5</v>
      </c>
      <c r="Q7" s="5" t="s">
        <v>6</v>
      </c>
      <c r="S7" s="5" t="s">
        <v>7</v>
      </c>
    </row>
    <row r="8" spans="1:19" ht="12.75">
      <c r="A8" s="4" t="s">
        <v>27</v>
      </c>
      <c r="B8" t="s">
        <v>9</v>
      </c>
      <c r="C8" t="s">
        <v>8</v>
      </c>
      <c r="D8" s="22" t="s">
        <v>19</v>
      </c>
      <c r="E8" s="24">
        <v>407.64</v>
      </c>
      <c r="G8" s="23" t="s">
        <v>19</v>
      </c>
      <c r="H8" s="21"/>
      <c r="K8" s="25">
        <v>33.97</v>
      </c>
      <c r="L8" s="20">
        <v>0.4934</v>
      </c>
      <c r="M8" s="20">
        <v>0.7738</v>
      </c>
      <c r="N8" s="19">
        <f>L8+M8</f>
        <v>1.2672</v>
      </c>
      <c r="P8" s="3">
        <v>0</v>
      </c>
      <c r="Q8" s="3">
        <f>E8/K8*N8</f>
        <v>15.206400000000002</v>
      </c>
      <c r="S8" s="10">
        <f>P8+Q8</f>
        <v>15.206400000000002</v>
      </c>
    </row>
    <row r="9" spans="1:19" ht="12.75">
      <c r="A9" s="4" t="s">
        <v>11</v>
      </c>
      <c r="B9" t="s">
        <v>10</v>
      </c>
      <c r="C9" t="s">
        <v>8</v>
      </c>
      <c r="D9" s="22">
        <v>8772727</v>
      </c>
      <c r="E9" s="24">
        <v>93129.98</v>
      </c>
      <c r="G9" s="23">
        <v>0.000111</v>
      </c>
      <c r="H9" s="23">
        <v>0.000174</v>
      </c>
      <c r="I9" s="1">
        <f>G9+H9</f>
        <v>0.000285</v>
      </c>
      <c r="K9" s="25">
        <v>12.71</v>
      </c>
      <c r="L9" s="20">
        <v>0.1466</v>
      </c>
      <c r="M9" s="20">
        <v>0.2299</v>
      </c>
      <c r="N9" s="19">
        <f aca="true" t="shared" si="0" ref="N9:N14">L9+M9</f>
        <v>0.3765</v>
      </c>
      <c r="P9" s="3">
        <f>I9*D9</f>
        <v>2500.227195</v>
      </c>
      <c r="Q9" s="3">
        <f aca="true" t="shared" si="1" ref="Q9:Q14">E9/K9*N9</f>
        <v>2758.728361132966</v>
      </c>
      <c r="S9" s="10">
        <f aca="true" t="shared" si="2" ref="S9:S14">P9+Q9</f>
        <v>5258.955556132965</v>
      </c>
    </row>
    <row r="10" spans="1:19" ht="12.75">
      <c r="A10" s="4" t="s">
        <v>28</v>
      </c>
      <c r="B10" t="s">
        <v>10</v>
      </c>
      <c r="C10" t="s">
        <v>8</v>
      </c>
      <c r="D10" s="22">
        <v>19460830</v>
      </c>
      <c r="E10" s="24">
        <v>320703.1</v>
      </c>
      <c r="G10" s="23">
        <v>0.000111</v>
      </c>
      <c r="H10" s="23">
        <v>0.000174</v>
      </c>
      <c r="I10" s="1">
        <f>G10+H10</f>
        <v>0.000285</v>
      </c>
      <c r="K10" s="25">
        <v>12.71</v>
      </c>
      <c r="L10" s="20">
        <v>0.1466</v>
      </c>
      <c r="M10" s="20">
        <v>0.2299</v>
      </c>
      <c r="N10" s="19">
        <f t="shared" si="0"/>
        <v>0.3765</v>
      </c>
      <c r="P10" s="3">
        <f>I10*D10</f>
        <v>5546.33655</v>
      </c>
      <c r="Q10" s="3">
        <f t="shared" si="1"/>
        <v>9499.977745869393</v>
      </c>
      <c r="S10" s="10">
        <f t="shared" si="2"/>
        <v>15046.314295869393</v>
      </c>
    </row>
    <row r="11" spans="1:19" ht="12.75">
      <c r="A11" s="4" t="s">
        <v>17</v>
      </c>
      <c r="B11" t="s">
        <v>35</v>
      </c>
      <c r="C11" t="s">
        <v>8</v>
      </c>
      <c r="D11" s="22">
        <v>8315491.38</v>
      </c>
      <c r="E11" s="24">
        <v>42445.31</v>
      </c>
      <c r="G11" s="23">
        <v>0.000128</v>
      </c>
      <c r="H11" s="23">
        <v>0.000201</v>
      </c>
      <c r="I11" s="1">
        <f>G11+H11</f>
        <v>0.000329</v>
      </c>
      <c r="K11" s="25">
        <v>13.1</v>
      </c>
      <c r="L11" s="20">
        <v>0.1661</v>
      </c>
      <c r="M11" s="20">
        <v>0.2605</v>
      </c>
      <c r="N11" s="19">
        <f t="shared" si="0"/>
        <v>0.4266</v>
      </c>
      <c r="P11" s="3">
        <f>I11*D11</f>
        <v>2735.7966640199998</v>
      </c>
      <c r="Q11" s="3">
        <f t="shared" si="1"/>
        <v>1382.2266599999998</v>
      </c>
      <c r="S11" s="10">
        <f t="shared" si="2"/>
        <v>4118.02332402</v>
      </c>
    </row>
    <row r="12" spans="1:19" ht="12.75">
      <c r="A12" s="4" t="s">
        <v>15</v>
      </c>
      <c r="B12" t="s">
        <v>35</v>
      </c>
      <c r="C12" t="s">
        <v>8</v>
      </c>
      <c r="D12" s="22">
        <v>395362</v>
      </c>
      <c r="E12" s="24">
        <v>7899.74</v>
      </c>
      <c r="G12" s="23">
        <v>0.000128</v>
      </c>
      <c r="H12" s="23">
        <v>0.000201</v>
      </c>
      <c r="I12" s="1">
        <f>G12+H12</f>
        <v>0.000329</v>
      </c>
      <c r="K12" s="25">
        <v>13.1</v>
      </c>
      <c r="L12" s="20">
        <v>0.1661</v>
      </c>
      <c r="M12" s="20">
        <v>0.2605</v>
      </c>
      <c r="N12" s="19">
        <f t="shared" si="0"/>
        <v>0.4266</v>
      </c>
      <c r="P12" s="3">
        <f>I12*D12</f>
        <v>130.074098</v>
      </c>
      <c r="Q12" s="3">
        <f t="shared" si="1"/>
        <v>257.2541285496183</v>
      </c>
      <c r="S12" s="10">
        <f t="shared" si="2"/>
        <v>387.3282265496183</v>
      </c>
    </row>
    <row r="13" spans="1:19" ht="12.75">
      <c r="A13" s="4" t="s">
        <v>16</v>
      </c>
      <c r="B13" t="s">
        <v>9</v>
      </c>
      <c r="C13" t="s">
        <v>8</v>
      </c>
      <c r="D13" s="22">
        <v>0</v>
      </c>
      <c r="E13" s="24">
        <v>11991.41</v>
      </c>
      <c r="G13" s="23" t="s">
        <v>19</v>
      </c>
      <c r="H13" s="21"/>
      <c r="K13" s="25">
        <v>33.97</v>
      </c>
      <c r="L13" s="20">
        <v>0.4934</v>
      </c>
      <c r="M13" s="20">
        <v>0.7738</v>
      </c>
      <c r="N13" s="19">
        <f t="shared" si="0"/>
        <v>1.2672</v>
      </c>
      <c r="P13" s="3">
        <v>0</v>
      </c>
      <c r="Q13" s="3">
        <f t="shared" si="1"/>
        <v>447.32160000000005</v>
      </c>
      <c r="S13" s="10">
        <f t="shared" si="2"/>
        <v>447.32160000000005</v>
      </c>
    </row>
    <row r="14" spans="1:19" ht="12.75">
      <c r="A14" s="4" t="s">
        <v>29</v>
      </c>
      <c r="B14" t="s">
        <v>9</v>
      </c>
      <c r="C14" t="s">
        <v>8</v>
      </c>
      <c r="D14" s="22">
        <v>0</v>
      </c>
      <c r="E14" s="24">
        <v>1222.92</v>
      </c>
      <c r="G14" s="23" t="s">
        <v>19</v>
      </c>
      <c r="H14" s="21"/>
      <c r="K14" s="25">
        <v>33.97</v>
      </c>
      <c r="L14" s="20">
        <v>0.4934</v>
      </c>
      <c r="M14" s="20">
        <v>0.7738</v>
      </c>
      <c r="N14" s="19">
        <f t="shared" si="0"/>
        <v>1.2672</v>
      </c>
      <c r="P14" s="3">
        <v>0</v>
      </c>
      <c r="Q14" s="3">
        <f t="shared" si="1"/>
        <v>45.619200000000006</v>
      </c>
      <c r="S14" s="10">
        <f t="shared" si="2"/>
        <v>45.619200000000006</v>
      </c>
    </row>
    <row r="15" spans="1:19" ht="12.75">
      <c r="A15" s="4" t="s">
        <v>41</v>
      </c>
      <c r="B15" t="s">
        <v>35</v>
      </c>
      <c r="C15" t="s">
        <v>8</v>
      </c>
      <c r="D15" s="22">
        <v>190800</v>
      </c>
      <c r="E15" s="24">
        <v>373.67</v>
      </c>
      <c r="G15" s="23">
        <v>0.000128</v>
      </c>
      <c r="H15" s="23">
        <v>0.000201</v>
      </c>
      <c r="I15" s="1">
        <f>G15+H15</f>
        <v>0.000329</v>
      </c>
      <c r="K15" s="25">
        <v>13.1</v>
      </c>
      <c r="L15" s="20">
        <v>0.1661</v>
      </c>
      <c r="M15" s="20">
        <v>0.2605</v>
      </c>
      <c r="N15" s="19">
        <f>L15+M15</f>
        <v>0.4266</v>
      </c>
      <c r="P15" s="3">
        <f>I15*D15</f>
        <v>62.773199999999996</v>
      </c>
      <c r="Q15" s="3">
        <f>E15/K15*N15</f>
        <v>12.168520763358778</v>
      </c>
      <c r="S15" s="10">
        <f>P15+Q15</f>
        <v>74.94172076335877</v>
      </c>
    </row>
    <row r="16" spans="4:19" ht="12.75">
      <c r="D16" s="11">
        <f>SUM(D9:D15)</f>
        <v>37135210.38</v>
      </c>
      <c r="E16" s="11">
        <f>SUM(E8:E15)</f>
        <v>478173.7699999999</v>
      </c>
      <c r="H16" s="21"/>
      <c r="M16" s="19"/>
      <c r="P16" s="13">
        <f>SUM(P8:P15)</f>
        <v>10975.207707019998</v>
      </c>
      <c r="Q16" s="13">
        <f>SUM(Q8:Q15)</f>
        <v>14418.502616315334</v>
      </c>
      <c r="R16" s="13">
        <f>SUM(R8:R15)</f>
        <v>0</v>
      </c>
      <c r="S16" s="13">
        <f>SUM(S8:S15)</f>
        <v>25393.710323335337</v>
      </c>
    </row>
    <row r="17" spans="4:13" ht="12.75">
      <c r="D17" s="9"/>
      <c r="E17" s="3"/>
      <c r="H17" s="21"/>
      <c r="M17" s="19"/>
    </row>
    <row r="18" spans="1:19" ht="12.75">
      <c r="A18" s="4">
        <v>501</v>
      </c>
      <c r="B18" t="s">
        <v>9</v>
      </c>
      <c r="C18" t="s">
        <v>18</v>
      </c>
      <c r="D18" s="9">
        <v>44921.78</v>
      </c>
      <c r="E18" s="3" t="s">
        <v>19</v>
      </c>
      <c r="G18" s="23">
        <v>0.7417</v>
      </c>
      <c r="H18" s="23">
        <v>0.012384</v>
      </c>
      <c r="I18" s="1">
        <f>G18+H18</f>
        <v>0.754084</v>
      </c>
      <c r="K18" s="20" t="s">
        <v>19</v>
      </c>
      <c r="M18" s="19"/>
      <c r="P18" s="3">
        <f>I18*D18</f>
        <v>33874.79554952</v>
      </c>
      <c r="S18" s="10">
        <f aca="true" t="shared" si="3" ref="S18:S25">P18+Q18</f>
        <v>33874.79554952</v>
      </c>
    </row>
    <row r="19" spans="1:19" ht="12.75">
      <c r="A19" s="4">
        <v>601</v>
      </c>
      <c r="B19" t="s">
        <v>9</v>
      </c>
      <c r="C19" t="s">
        <v>18</v>
      </c>
      <c r="D19" s="9">
        <v>7797.53</v>
      </c>
      <c r="E19" s="3"/>
      <c r="G19" s="23">
        <v>0.7417</v>
      </c>
      <c r="H19" s="23">
        <v>0.012384</v>
      </c>
      <c r="I19" s="1">
        <f aca="true" t="shared" si="4" ref="I19:I25">G19+H19</f>
        <v>0.754084</v>
      </c>
      <c r="K19" s="20" t="s">
        <v>19</v>
      </c>
      <c r="M19" s="19"/>
      <c r="P19" s="3">
        <f aca="true" t="shared" si="5" ref="P19:P25">I19*D19</f>
        <v>5879.99261252</v>
      </c>
      <c r="S19" s="10">
        <f t="shared" si="3"/>
        <v>5879.99261252</v>
      </c>
    </row>
    <row r="20" spans="1:19" ht="12.75">
      <c r="A20" s="4" t="s">
        <v>30</v>
      </c>
      <c r="B20" t="s">
        <v>9</v>
      </c>
      <c r="C20" t="s">
        <v>18</v>
      </c>
      <c r="D20" s="9">
        <v>722.4</v>
      </c>
      <c r="E20" s="3"/>
      <c r="G20" s="23">
        <v>0.7417</v>
      </c>
      <c r="H20" s="23">
        <v>0.012384</v>
      </c>
      <c r="I20" s="1">
        <f t="shared" si="4"/>
        <v>0.754084</v>
      </c>
      <c r="K20" s="20" t="s">
        <v>19</v>
      </c>
      <c r="M20" s="19"/>
      <c r="P20" s="3">
        <f t="shared" si="5"/>
        <v>544.7502816</v>
      </c>
      <c r="S20" s="10">
        <f t="shared" si="3"/>
        <v>544.7502816</v>
      </c>
    </row>
    <row r="21" spans="1:19" ht="12.75">
      <c r="A21" s="4" t="s">
        <v>12</v>
      </c>
      <c r="B21" t="s">
        <v>36</v>
      </c>
      <c r="C21" t="s">
        <v>18</v>
      </c>
      <c r="D21" s="9">
        <v>34.56</v>
      </c>
      <c r="E21" s="3"/>
      <c r="G21" s="23">
        <v>0.119267</v>
      </c>
      <c r="H21" s="23">
        <v>0.187033</v>
      </c>
      <c r="I21" s="1">
        <f t="shared" si="4"/>
        <v>0.3063</v>
      </c>
      <c r="K21" s="20" t="s">
        <v>19</v>
      </c>
      <c r="M21" s="19"/>
      <c r="P21" s="3">
        <f t="shared" si="5"/>
        <v>10.585728000000001</v>
      </c>
      <c r="S21" s="10">
        <f t="shared" si="3"/>
        <v>10.585728000000001</v>
      </c>
    </row>
    <row r="22" spans="1:19" ht="12.75">
      <c r="A22" s="4" t="s">
        <v>31</v>
      </c>
      <c r="B22" t="s">
        <v>36</v>
      </c>
      <c r="C22" t="s">
        <v>18</v>
      </c>
      <c r="D22" s="9">
        <v>8.68</v>
      </c>
      <c r="E22" s="3"/>
      <c r="G22" s="23">
        <v>0.119267</v>
      </c>
      <c r="H22" s="23">
        <v>0.187033</v>
      </c>
      <c r="I22" s="1">
        <f t="shared" si="4"/>
        <v>0.3063</v>
      </c>
      <c r="K22" s="20" t="s">
        <v>19</v>
      </c>
      <c r="M22" s="19"/>
      <c r="P22" s="3">
        <f t="shared" si="5"/>
        <v>2.658684</v>
      </c>
      <c r="S22" s="10">
        <f t="shared" si="3"/>
        <v>2.658684</v>
      </c>
    </row>
    <row r="23" spans="1:19" ht="12.75">
      <c r="A23" s="4" t="s">
        <v>14</v>
      </c>
      <c r="B23" t="s">
        <v>36</v>
      </c>
      <c r="C23" t="s">
        <v>18</v>
      </c>
      <c r="D23" s="9">
        <v>33.46</v>
      </c>
      <c r="E23" s="3"/>
      <c r="G23" s="23">
        <v>0.119267</v>
      </c>
      <c r="H23" s="23">
        <v>0.187033</v>
      </c>
      <c r="I23" s="1">
        <f t="shared" si="4"/>
        <v>0.3063</v>
      </c>
      <c r="K23" s="20" t="s">
        <v>19</v>
      </c>
      <c r="M23" s="19"/>
      <c r="P23" s="3">
        <f t="shared" si="5"/>
        <v>10.248798</v>
      </c>
      <c r="S23" s="10">
        <f t="shared" si="3"/>
        <v>10.248798</v>
      </c>
    </row>
    <row r="24" spans="1:19" ht="12.75">
      <c r="A24" s="4" t="s">
        <v>23</v>
      </c>
      <c r="B24" t="s">
        <v>36</v>
      </c>
      <c r="C24" t="s">
        <v>18</v>
      </c>
      <c r="D24" s="9">
        <v>3.42</v>
      </c>
      <c r="E24" s="3"/>
      <c r="G24" s="23">
        <v>0.119267</v>
      </c>
      <c r="H24" s="23">
        <v>0.187033</v>
      </c>
      <c r="I24" s="1">
        <f t="shared" si="4"/>
        <v>0.3063</v>
      </c>
      <c r="K24" s="20" t="s">
        <v>19</v>
      </c>
      <c r="M24" s="19"/>
      <c r="P24" s="3">
        <f t="shared" si="5"/>
        <v>1.047546</v>
      </c>
      <c r="S24" s="10">
        <f t="shared" si="3"/>
        <v>1.047546</v>
      </c>
    </row>
    <row r="25" spans="1:19" ht="12.75">
      <c r="A25" s="4" t="s">
        <v>32</v>
      </c>
      <c r="B25" t="s">
        <v>36</v>
      </c>
      <c r="C25" t="s">
        <v>18</v>
      </c>
      <c r="D25" s="9">
        <v>11.04</v>
      </c>
      <c r="E25" s="3"/>
      <c r="G25" s="23">
        <v>0.119267</v>
      </c>
      <c r="H25" s="23">
        <v>0.187033</v>
      </c>
      <c r="I25" s="1">
        <f t="shared" si="4"/>
        <v>0.3063</v>
      </c>
      <c r="K25" s="20" t="s">
        <v>19</v>
      </c>
      <c r="M25" s="19"/>
      <c r="P25" s="3">
        <f t="shared" si="5"/>
        <v>3.381552</v>
      </c>
      <c r="S25" s="10">
        <f t="shared" si="3"/>
        <v>3.381552</v>
      </c>
    </row>
    <row r="26" spans="1:19" ht="12.75">
      <c r="A26" s="4" t="s">
        <v>19</v>
      </c>
      <c r="D26" s="11">
        <f>SUM(D18:D25)</f>
        <v>53532.869999999995</v>
      </c>
      <c r="E26" s="12">
        <f>SUM(E18:E25)</f>
        <v>0</v>
      </c>
      <c r="H26" s="21"/>
      <c r="M26" s="19"/>
      <c r="P26" s="13">
        <f>SUM(P18:P25)</f>
        <v>40327.46075164</v>
      </c>
      <c r="Q26" s="13">
        <f>SUM(Q18:Q25)</f>
        <v>0</v>
      </c>
      <c r="R26" s="13">
        <f>SUM(R18:R25)</f>
        <v>0</v>
      </c>
      <c r="S26" s="13">
        <f>SUM(S18:S25)</f>
        <v>40327.46075164</v>
      </c>
    </row>
    <row r="27" spans="4:13" ht="12.75">
      <c r="D27" s="14"/>
      <c r="E27" s="15"/>
      <c r="H27" s="21"/>
      <c r="M27" s="19"/>
    </row>
    <row r="28" spans="1:19" ht="12.75">
      <c r="A28" s="4" t="s">
        <v>20</v>
      </c>
      <c r="B28" t="s">
        <v>21</v>
      </c>
      <c r="C28" t="s">
        <v>22</v>
      </c>
      <c r="D28" s="9"/>
      <c r="E28" s="3">
        <v>10653.66</v>
      </c>
      <c r="G28" s="23" t="s">
        <v>19</v>
      </c>
      <c r="H28" s="23" t="s">
        <v>19</v>
      </c>
      <c r="K28" s="20">
        <v>1.09</v>
      </c>
      <c r="L28" s="20">
        <v>0.0112</v>
      </c>
      <c r="M28" s="20">
        <v>0.0176</v>
      </c>
      <c r="N28" s="19">
        <f>L28+M28</f>
        <v>0.0288</v>
      </c>
      <c r="P28" s="3">
        <v>0</v>
      </c>
      <c r="Q28" s="3">
        <f>E28/K28*N28</f>
        <v>281.4912</v>
      </c>
      <c r="S28" s="10">
        <f>P28+Q28</f>
        <v>281.4912</v>
      </c>
    </row>
    <row r="29" spans="4:13" ht="12.75">
      <c r="D29" s="9"/>
      <c r="E29" s="3"/>
      <c r="H29" s="21"/>
      <c r="M29" s="19"/>
    </row>
    <row r="30" spans="1:19" ht="12.75">
      <c r="A30" s="18" t="s">
        <v>33</v>
      </c>
      <c r="B30" t="s">
        <v>24</v>
      </c>
      <c r="C30" t="s">
        <v>25</v>
      </c>
      <c r="D30" s="9">
        <v>1772.36</v>
      </c>
      <c r="E30" s="3"/>
      <c r="G30" s="23">
        <v>0.037392</v>
      </c>
      <c r="H30" s="23">
        <v>0.058638</v>
      </c>
      <c r="I30" s="1">
        <f>G30+H30</f>
        <v>0.09603</v>
      </c>
      <c r="M30" s="19"/>
      <c r="P30" s="3">
        <f>I30*D30</f>
        <v>170.1997308</v>
      </c>
      <c r="S30" s="10">
        <f>P30+Q30</f>
        <v>170.1997308</v>
      </c>
    </row>
    <row r="31" spans="1:14" ht="12.75">
      <c r="A31"/>
      <c r="G31"/>
      <c r="H31"/>
      <c r="I31"/>
      <c r="J31"/>
      <c r="K31"/>
      <c r="L31"/>
      <c r="M31"/>
      <c r="N31"/>
    </row>
    <row r="32" spans="4:8" ht="12.75">
      <c r="D32" s="9"/>
      <c r="E32" s="3"/>
      <c r="H32" s="21"/>
    </row>
    <row r="33" spans="4:19" ht="13.5" thickBot="1">
      <c r="D33" s="9"/>
      <c r="E33" s="3"/>
      <c r="G33" s="1" t="s">
        <v>26</v>
      </c>
      <c r="H33" s="21"/>
      <c r="P33" s="16">
        <f>P16+P27+P28+P30</f>
        <v>11145.407437819998</v>
      </c>
      <c r="Q33" s="16">
        <f>Q16+Q27+Q28+Q30</f>
        <v>14699.993816315335</v>
      </c>
      <c r="R33" s="16">
        <f>R16+R27+R28+R30</f>
        <v>0</v>
      </c>
      <c r="S33" s="16">
        <f>S16+S27+S28+S30</f>
        <v>25845.401254135337</v>
      </c>
    </row>
    <row r="34" spans="4:5" ht="13.5" thickTop="1">
      <c r="D34" s="9"/>
      <c r="E34" s="3"/>
    </row>
    <row r="35" spans="4:5" ht="12.75">
      <c r="D35" s="9"/>
      <c r="E35" s="3"/>
    </row>
    <row r="36" ht="12.75">
      <c r="E36" s="3"/>
    </row>
    <row r="37" ht="12.75">
      <c r="E37" s="3"/>
    </row>
  </sheetData>
  <sheetProtection/>
  <mergeCells count="2">
    <mergeCell ref="D4:O4"/>
    <mergeCell ref="D6:E6"/>
  </mergeCells>
  <printOptions/>
  <pageMargins left="0.25" right="0.25" top="0.25" bottom="0.25" header="0.5" footer="0.5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PageLayoutView="0" workbookViewId="0" topLeftCell="A1">
      <selection activeCell="R39" sqref="R39"/>
    </sheetView>
  </sheetViews>
  <sheetFormatPr defaultColWidth="9.140625" defaultRowHeight="12.75"/>
  <cols>
    <col min="1" max="1" width="5.421875" style="4" customWidth="1"/>
    <col min="2" max="2" width="10.8515625" style="0" customWidth="1"/>
    <col min="3" max="3" width="8.28125" style="0" customWidth="1"/>
    <col min="4" max="4" width="20.140625" style="0" bestFit="1" customWidth="1"/>
    <col min="5" max="5" width="14.00390625" style="39" bestFit="1" customWidth="1"/>
    <col min="6" max="6" width="2.421875" style="0" customWidth="1"/>
    <col min="7" max="7" width="13.421875" style="1" bestFit="1" customWidth="1"/>
    <col min="8" max="8" width="11.00390625" style="1" customWidth="1"/>
    <col min="9" max="9" width="10.28125" style="1" customWidth="1"/>
    <col min="10" max="10" width="2.8515625" style="1" customWidth="1"/>
    <col min="11" max="11" width="11.28125" style="2" customWidth="1"/>
    <col min="12" max="13" width="10.28125" style="3" bestFit="1" customWidth="1"/>
    <col min="14" max="14" width="9.8515625" style="3" customWidth="1"/>
    <col min="15" max="15" width="2.8515625" style="0" customWidth="1"/>
    <col min="16" max="16" width="11.28125" style="0" bestFit="1" customWidth="1"/>
    <col min="17" max="17" width="12.28125" style="0" bestFit="1" customWidth="1"/>
    <col min="18" max="18" width="2.00390625" style="0" customWidth="1"/>
    <col min="19" max="19" width="12.28125" style="0" bestFit="1" customWidth="1"/>
  </cols>
  <sheetData>
    <row r="1" ht="12.75">
      <c r="A1" s="17" t="s">
        <v>63</v>
      </c>
    </row>
    <row r="2" ht="12.75">
      <c r="A2" s="17" t="s">
        <v>42</v>
      </c>
    </row>
    <row r="4" spans="4:15" ht="12.75">
      <c r="D4" s="57" t="s">
        <v>34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4:15" ht="12.75">
      <c r="D5" s="26"/>
      <c r="E5" s="59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4:14" s="27" customFormat="1" ht="12.75">
      <c r="D6" s="58" t="s">
        <v>39</v>
      </c>
      <c r="E6" s="58"/>
      <c r="G6" s="29">
        <v>2001</v>
      </c>
      <c r="H6" s="29">
        <v>2002</v>
      </c>
      <c r="I6" s="6" t="s">
        <v>7</v>
      </c>
      <c r="J6" s="28"/>
      <c r="K6" s="7" t="s">
        <v>7</v>
      </c>
      <c r="L6" s="29">
        <v>2001</v>
      </c>
      <c r="M6" s="29">
        <v>2002</v>
      </c>
      <c r="N6" s="29" t="s">
        <v>38</v>
      </c>
    </row>
    <row r="7" spans="4:19" s="5" customFormat="1" ht="12.75">
      <c r="D7" s="5" t="s">
        <v>0</v>
      </c>
      <c r="E7" s="41" t="s">
        <v>1</v>
      </c>
      <c r="G7" s="6" t="s">
        <v>2</v>
      </c>
      <c r="H7" s="6" t="s">
        <v>2</v>
      </c>
      <c r="I7" s="6" t="s">
        <v>2</v>
      </c>
      <c r="J7" s="6"/>
      <c r="K7" s="7" t="s">
        <v>3</v>
      </c>
      <c r="L7" s="8" t="s">
        <v>4</v>
      </c>
      <c r="M7" s="8" t="s">
        <v>4</v>
      </c>
      <c r="N7" s="8" t="s">
        <v>4</v>
      </c>
      <c r="P7" s="5" t="s">
        <v>5</v>
      </c>
      <c r="Q7" s="5" t="s">
        <v>6</v>
      </c>
      <c r="S7" s="5" t="s">
        <v>7</v>
      </c>
    </row>
    <row r="8" spans="1:19" ht="12.75">
      <c r="A8" s="4" t="s">
        <v>27</v>
      </c>
      <c r="B8" t="s">
        <v>9</v>
      </c>
      <c r="C8" t="s">
        <v>8</v>
      </c>
      <c r="D8" s="22" t="s">
        <v>19</v>
      </c>
      <c r="E8" s="35">
        <f>577.49/12*3</f>
        <v>144.3725</v>
      </c>
      <c r="G8" s="23" t="s">
        <v>19</v>
      </c>
      <c r="H8" s="21"/>
      <c r="K8" s="25">
        <v>33.97</v>
      </c>
      <c r="L8" s="20">
        <v>0.4934</v>
      </c>
      <c r="M8" s="20">
        <v>0.7738</v>
      </c>
      <c r="N8" s="19">
        <f>L8+M8</f>
        <v>1.2672</v>
      </c>
      <c r="P8" s="3">
        <v>0</v>
      </c>
      <c r="Q8" s="3">
        <f>E8/K8*N8</f>
        <v>5.3856</v>
      </c>
      <c r="S8" s="10">
        <f>P8+Q8</f>
        <v>5.3856</v>
      </c>
    </row>
    <row r="9" spans="1:19" ht="12.75">
      <c r="A9" s="4" t="s">
        <v>11</v>
      </c>
      <c r="B9" t="s">
        <v>10</v>
      </c>
      <c r="C9" t="s">
        <v>8</v>
      </c>
      <c r="D9" s="22">
        <v>3636023.86</v>
      </c>
      <c r="E9" s="35">
        <v>27111.17</v>
      </c>
      <c r="G9" s="23">
        <v>0.000111</v>
      </c>
      <c r="H9" s="23">
        <v>0.000174</v>
      </c>
      <c r="I9" s="1">
        <f>G9+H9</f>
        <v>0.000285</v>
      </c>
      <c r="K9" s="25">
        <v>12.71</v>
      </c>
      <c r="L9" s="20">
        <v>0.1466</v>
      </c>
      <c r="M9" s="20">
        <v>0.2299</v>
      </c>
      <c r="N9" s="19">
        <f aca="true" t="shared" si="0" ref="N9:N15">L9+M9</f>
        <v>0.3765</v>
      </c>
      <c r="P9" s="3">
        <f>I9*D9</f>
        <v>1036.2668001</v>
      </c>
      <c r="Q9" s="3">
        <f aca="true" t="shared" si="1" ref="Q9:Q15">E9/K9*N9</f>
        <v>803.0964205350116</v>
      </c>
      <c r="S9" s="10">
        <f aca="true" t="shared" si="2" ref="S9:S15">P9+Q9</f>
        <v>1839.3632206350117</v>
      </c>
    </row>
    <row r="10" spans="1:19" ht="12.75">
      <c r="A10" s="4" t="s">
        <v>28</v>
      </c>
      <c r="B10" t="s">
        <v>10</v>
      </c>
      <c r="C10" t="s">
        <v>8</v>
      </c>
      <c r="D10" s="22">
        <v>11346599.27</v>
      </c>
      <c r="E10" s="35">
        <v>143992.36</v>
      </c>
      <c r="G10" s="23">
        <v>0.000111</v>
      </c>
      <c r="H10" s="23">
        <v>0.000174</v>
      </c>
      <c r="I10" s="1">
        <f>G10+H10</f>
        <v>0.000285</v>
      </c>
      <c r="K10" s="25">
        <v>12.71</v>
      </c>
      <c r="L10" s="20">
        <v>0.1466</v>
      </c>
      <c r="M10" s="20">
        <v>0.2299</v>
      </c>
      <c r="N10" s="19">
        <f t="shared" si="0"/>
        <v>0.3765</v>
      </c>
      <c r="P10" s="3">
        <f>I10*D10</f>
        <v>3233.7807919499996</v>
      </c>
      <c r="Q10" s="3">
        <f t="shared" si="1"/>
        <v>4265.39130920535</v>
      </c>
      <c r="S10" s="10">
        <f t="shared" si="2"/>
        <v>7499.172101155349</v>
      </c>
    </row>
    <row r="11" spans="1:19" ht="12.75">
      <c r="A11" s="4" t="s">
        <v>17</v>
      </c>
      <c r="B11" t="s">
        <v>35</v>
      </c>
      <c r="C11" t="s">
        <v>8</v>
      </c>
      <c r="D11" s="22">
        <v>3226356.8</v>
      </c>
      <c r="E11" s="35">
        <v>15123.47</v>
      </c>
      <c r="G11" s="23">
        <v>0.000128</v>
      </c>
      <c r="H11" s="23">
        <v>0.000201</v>
      </c>
      <c r="I11" s="1">
        <f>G11+H11</f>
        <v>0.000329</v>
      </c>
      <c r="K11" s="25">
        <v>13.1</v>
      </c>
      <c r="L11" s="20">
        <v>0.1661</v>
      </c>
      <c r="M11" s="20">
        <v>0.2605</v>
      </c>
      <c r="N11" s="19">
        <f t="shared" si="0"/>
        <v>0.4266</v>
      </c>
      <c r="P11" s="3">
        <f>I11*D11</f>
        <v>1061.4713871999998</v>
      </c>
      <c r="Q11" s="3">
        <f t="shared" si="1"/>
        <v>492.49406885496177</v>
      </c>
      <c r="S11" s="10">
        <f t="shared" si="2"/>
        <v>1553.9654560549616</v>
      </c>
    </row>
    <row r="12" spans="1:19" ht="12.75">
      <c r="A12" s="4" t="s">
        <v>15</v>
      </c>
      <c r="B12" t="s">
        <v>35</v>
      </c>
      <c r="C12" t="s">
        <v>8</v>
      </c>
      <c r="D12" s="22">
        <v>280226.75</v>
      </c>
      <c r="E12" s="35">
        <v>3646.55</v>
      </c>
      <c r="G12" s="23">
        <v>0.000128</v>
      </c>
      <c r="H12" s="23">
        <v>0.000201</v>
      </c>
      <c r="I12" s="1">
        <f>G12+H12</f>
        <v>0.000329</v>
      </c>
      <c r="K12" s="25">
        <v>13.1</v>
      </c>
      <c r="L12" s="20">
        <v>0.1661</v>
      </c>
      <c r="M12" s="20">
        <v>0.2605</v>
      </c>
      <c r="N12" s="19">
        <f t="shared" si="0"/>
        <v>0.4266</v>
      </c>
      <c r="P12" s="3">
        <f>I12*D12</f>
        <v>92.19460074999999</v>
      </c>
      <c r="Q12" s="3">
        <f t="shared" si="1"/>
        <v>118.74948320610689</v>
      </c>
      <c r="S12" s="10">
        <f t="shared" si="2"/>
        <v>210.94408395610688</v>
      </c>
    </row>
    <row r="13" spans="1:19" ht="12.75">
      <c r="A13" s="4" t="s">
        <v>16</v>
      </c>
      <c r="B13" t="s">
        <v>9</v>
      </c>
      <c r="C13" t="s">
        <v>8</v>
      </c>
      <c r="D13" s="22">
        <v>0</v>
      </c>
      <c r="E13" s="35">
        <f>12433.02/12*3</f>
        <v>3108.255</v>
      </c>
      <c r="G13" s="23" t="s">
        <v>19</v>
      </c>
      <c r="H13" s="21"/>
      <c r="K13" s="25">
        <v>33.97</v>
      </c>
      <c r="L13" s="20">
        <v>0.4934</v>
      </c>
      <c r="M13" s="20">
        <v>0.7738</v>
      </c>
      <c r="N13" s="19">
        <f t="shared" si="0"/>
        <v>1.2672</v>
      </c>
      <c r="P13" s="3">
        <v>0</v>
      </c>
      <c r="Q13" s="3">
        <f t="shared" si="1"/>
        <v>115.9488</v>
      </c>
      <c r="S13" s="10">
        <f t="shared" si="2"/>
        <v>115.9488</v>
      </c>
    </row>
    <row r="14" spans="1:19" ht="12.75">
      <c r="A14" s="4" t="s">
        <v>29</v>
      </c>
      <c r="B14" t="s">
        <v>9</v>
      </c>
      <c r="C14" t="s">
        <v>8</v>
      </c>
      <c r="D14" s="22">
        <v>0</v>
      </c>
      <c r="E14" s="35">
        <f>1222.92/12*3</f>
        <v>305.73</v>
      </c>
      <c r="G14" s="23" t="s">
        <v>19</v>
      </c>
      <c r="H14" s="21"/>
      <c r="K14" s="25">
        <v>33.97</v>
      </c>
      <c r="L14" s="20">
        <v>0.4934</v>
      </c>
      <c r="M14" s="20">
        <v>0.7738</v>
      </c>
      <c r="N14" s="19">
        <f t="shared" si="0"/>
        <v>1.2672</v>
      </c>
      <c r="P14" s="3">
        <v>0</v>
      </c>
      <c r="Q14" s="3">
        <f t="shared" si="1"/>
        <v>11.404800000000002</v>
      </c>
      <c r="S14" s="10">
        <f t="shared" si="2"/>
        <v>11.404800000000002</v>
      </c>
    </row>
    <row r="15" spans="1:19" ht="12.75">
      <c r="A15" s="4" t="s">
        <v>41</v>
      </c>
      <c r="B15" t="s">
        <v>35</v>
      </c>
      <c r="C15" t="s">
        <v>8</v>
      </c>
      <c r="D15" s="22">
        <f>25188.97+46560</f>
        <v>71748.97</v>
      </c>
      <c r="E15" s="35">
        <f>52.09+101.91</f>
        <v>154</v>
      </c>
      <c r="G15" s="23">
        <v>0.000128</v>
      </c>
      <c r="H15" s="23">
        <v>0.000201</v>
      </c>
      <c r="I15" s="1">
        <f>G15+H15</f>
        <v>0.000329</v>
      </c>
      <c r="K15" s="25">
        <v>13.1</v>
      </c>
      <c r="L15" s="20">
        <v>0.1661</v>
      </c>
      <c r="M15" s="20">
        <v>0.2605</v>
      </c>
      <c r="N15" s="19">
        <f t="shared" si="0"/>
        <v>0.4266</v>
      </c>
      <c r="P15" s="3">
        <f>I15*D15</f>
        <v>23.60541113</v>
      </c>
      <c r="Q15" s="3">
        <f t="shared" si="1"/>
        <v>5.014992366412213</v>
      </c>
      <c r="S15" s="10">
        <f t="shared" si="2"/>
        <v>28.620403496412212</v>
      </c>
    </row>
    <row r="16" spans="4:19" ht="12.75">
      <c r="D16" s="11">
        <f>SUM(D9:D15)</f>
        <v>18560955.65</v>
      </c>
      <c r="E16" s="60">
        <f>SUM(E8:E15)</f>
        <v>193585.9075</v>
      </c>
      <c r="H16" s="21"/>
      <c r="M16" s="19"/>
      <c r="P16" s="13">
        <f>SUM(P8:P15)</f>
        <v>5447.318991129999</v>
      </c>
      <c r="Q16" s="13">
        <f>SUM(Q8:Q15)</f>
        <v>5817.485474167842</v>
      </c>
      <c r="R16" s="13">
        <f>SUM(R8:R15)</f>
        <v>0</v>
      </c>
      <c r="S16" s="13">
        <f>SUM(S8:S15)</f>
        <v>11264.804465297842</v>
      </c>
    </row>
    <row r="17" spans="4:13" ht="12.75">
      <c r="D17" s="9"/>
      <c r="E17" s="36"/>
      <c r="H17" s="21"/>
      <c r="M17" s="19"/>
    </row>
    <row r="18" spans="1:19" ht="12.75">
      <c r="A18" s="4">
        <v>501</v>
      </c>
      <c r="B18" t="s">
        <v>9</v>
      </c>
      <c r="C18" t="s">
        <v>18</v>
      </c>
      <c r="D18" s="9">
        <v>18220.05</v>
      </c>
      <c r="E18" s="36" t="s">
        <v>19</v>
      </c>
      <c r="G18" s="23">
        <v>0.7417</v>
      </c>
      <c r="H18" s="23">
        <v>0.012384</v>
      </c>
      <c r="I18" s="1">
        <f>G18+H18</f>
        <v>0.754084</v>
      </c>
      <c r="K18" s="20" t="s">
        <v>19</v>
      </c>
      <c r="M18" s="19"/>
      <c r="P18" s="3">
        <f>I18*D18</f>
        <v>13739.448184199999</v>
      </c>
      <c r="S18" s="10">
        <f aca="true" t="shared" si="3" ref="S18:S25">P18+Q18</f>
        <v>13739.448184199999</v>
      </c>
    </row>
    <row r="19" spans="1:19" ht="12.75">
      <c r="A19" s="4">
        <v>601</v>
      </c>
      <c r="B19" t="s">
        <v>9</v>
      </c>
      <c r="C19" t="s">
        <v>18</v>
      </c>
      <c r="D19" s="9">
        <v>2019.84</v>
      </c>
      <c r="E19" s="36"/>
      <c r="G19" s="23">
        <v>0.7417</v>
      </c>
      <c r="H19" s="23">
        <v>0.012384</v>
      </c>
      <c r="I19" s="1">
        <f aca="true" t="shared" si="4" ref="I19:I25">G19+H19</f>
        <v>0.754084</v>
      </c>
      <c r="K19" s="20" t="s">
        <v>19</v>
      </c>
      <c r="M19" s="19"/>
      <c r="P19" s="3">
        <f aca="true" t="shared" si="5" ref="P19:P25">I19*D19</f>
        <v>1523.1290265599998</v>
      </c>
      <c r="S19" s="10">
        <f t="shared" si="3"/>
        <v>1523.1290265599998</v>
      </c>
    </row>
    <row r="20" spans="1:19" ht="12.75">
      <c r="A20" s="4" t="s">
        <v>30</v>
      </c>
      <c r="B20" t="s">
        <v>9</v>
      </c>
      <c r="C20" t="s">
        <v>18</v>
      </c>
      <c r="D20">
        <v>264.83</v>
      </c>
      <c r="E20" s="36"/>
      <c r="G20" s="23">
        <v>0.7417</v>
      </c>
      <c r="H20" s="23">
        <v>0.012384</v>
      </c>
      <c r="I20" s="1">
        <f t="shared" si="4"/>
        <v>0.754084</v>
      </c>
      <c r="K20" s="20" t="s">
        <v>19</v>
      </c>
      <c r="M20" s="19"/>
      <c r="P20" s="3">
        <f t="shared" si="5"/>
        <v>199.70406572</v>
      </c>
      <c r="S20" s="10">
        <f t="shared" si="3"/>
        <v>199.70406572</v>
      </c>
    </row>
    <row r="21" spans="1:19" ht="12.75">
      <c r="A21" s="4" t="s">
        <v>12</v>
      </c>
      <c r="B21" t="s">
        <v>36</v>
      </c>
      <c r="C21" t="s">
        <v>18</v>
      </c>
      <c r="D21">
        <v>13.36</v>
      </c>
      <c r="E21" s="36"/>
      <c r="G21" s="23">
        <v>0.119267</v>
      </c>
      <c r="H21" s="23">
        <v>0.187033</v>
      </c>
      <c r="I21" s="1">
        <f t="shared" si="4"/>
        <v>0.3063</v>
      </c>
      <c r="K21" s="20" t="s">
        <v>19</v>
      </c>
      <c r="M21" s="19"/>
      <c r="P21" s="3">
        <f t="shared" si="5"/>
        <v>4.092168</v>
      </c>
      <c r="S21" s="10">
        <f t="shared" si="3"/>
        <v>4.092168</v>
      </c>
    </row>
    <row r="22" spans="1:19" ht="12.75">
      <c r="A22" s="4" t="s">
        <v>31</v>
      </c>
      <c r="B22" t="s">
        <v>36</v>
      </c>
      <c r="C22" t="s">
        <v>18</v>
      </c>
      <c r="D22">
        <f>2.03+2.48</f>
        <v>4.51</v>
      </c>
      <c r="E22" s="36"/>
      <c r="G22" s="23">
        <v>0.119267</v>
      </c>
      <c r="H22" s="23">
        <v>0.187033</v>
      </c>
      <c r="I22" s="1">
        <f t="shared" si="4"/>
        <v>0.3063</v>
      </c>
      <c r="K22" s="20" t="s">
        <v>19</v>
      </c>
      <c r="M22" s="19"/>
      <c r="P22" s="3">
        <f t="shared" si="5"/>
        <v>1.381413</v>
      </c>
      <c r="S22" s="10">
        <f t="shared" si="3"/>
        <v>1.381413</v>
      </c>
    </row>
    <row r="23" spans="1:19" ht="12.75">
      <c r="A23" s="4" t="s">
        <v>14</v>
      </c>
      <c r="B23" t="s">
        <v>36</v>
      </c>
      <c r="C23" t="s">
        <v>18</v>
      </c>
      <c r="D23">
        <v>12.26</v>
      </c>
      <c r="E23" s="36"/>
      <c r="G23" s="23">
        <v>0.119267</v>
      </c>
      <c r="H23" s="23">
        <v>0.187033</v>
      </c>
      <c r="I23" s="1">
        <f t="shared" si="4"/>
        <v>0.3063</v>
      </c>
      <c r="K23" s="20" t="s">
        <v>19</v>
      </c>
      <c r="M23" s="19"/>
      <c r="P23" s="3">
        <f t="shared" si="5"/>
        <v>3.7552380000000003</v>
      </c>
      <c r="S23" s="10">
        <f t="shared" si="3"/>
        <v>3.7552380000000003</v>
      </c>
    </row>
    <row r="24" spans="1:19" ht="12.75">
      <c r="A24" s="4" t="s">
        <v>23</v>
      </c>
      <c r="B24" t="s">
        <v>36</v>
      </c>
      <c r="C24" t="s">
        <v>18</v>
      </c>
      <c r="D24">
        <v>1.29</v>
      </c>
      <c r="E24" s="36"/>
      <c r="G24" s="23">
        <v>0.119267</v>
      </c>
      <c r="H24" s="23">
        <v>0.187033</v>
      </c>
      <c r="I24" s="1">
        <f t="shared" si="4"/>
        <v>0.3063</v>
      </c>
      <c r="K24" s="20" t="s">
        <v>19</v>
      </c>
      <c r="M24" s="19"/>
      <c r="P24" s="3">
        <f t="shared" si="5"/>
        <v>0.395127</v>
      </c>
      <c r="S24" s="10">
        <f t="shared" si="3"/>
        <v>0.395127</v>
      </c>
    </row>
    <row r="25" spans="1:19" ht="12.75">
      <c r="A25" s="4" t="s">
        <v>32</v>
      </c>
      <c r="B25" t="s">
        <v>36</v>
      </c>
      <c r="C25" t="s">
        <v>18</v>
      </c>
      <c r="D25">
        <v>4.6</v>
      </c>
      <c r="E25" s="36"/>
      <c r="G25" s="23">
        <v>0.119267</v>
      </c>
      <c r="H25" s="23">
        <v>0.187033</v>
      </c>
      <c r="I25" s="1">
        <f t="shared" si="4"/>
        <v>0.3063</v>
      </c>
      <c r="K25" s="20" t="s">
        <v>19</v>
      </c>
      <c r="M25" s="19"/>
      <c r="P25" s="3">
        <f t="shared" si="5"/>
        <v>1.40898</v>
      </c>
      <c r="S25" s="10">
        <f t="shared" si="3"/>
        <v>1.40898</v>
      </c>
    </row>
    <row r="26" spans="1:19" ht="12.75">
      <c r="A26" s="4" t="s">
        <v>19</v>
      </c>
      <c r="D26" s="11">
        <f>SUM(D18:D25)</f>
        <v>20540.739999999998</v>
      </c>
      <c r="E26" s="61">
        <f>SUM(E18:E25)</f>
        <v>0</v>
      </c>
      <c r="H26" s="21"/>
      <c r="M26" s="19"/>
      <c r="P26" s="13">
        <f>SUM(P18:P25)</f>
        <v>15473.314202479996</v>
      </c>
      <c r="Q26" s="13">
        <f>SUM(Q18:Q25)</f>
        <v>0</v>
      </c>
      <c r="R26" s="13">
        <f>SUM(R18:R25)</f>
        <v>0</v>
      </c>
      <c r="S26" s="13">
        <f>SUM(S18:S25)</f>
        <v>15473.314202479996</v>
      </c>
    </row>
    <row r="27" spans="4:13" ht="12.75">
      <c r="D27" s="14"/>
      <c r="E27" s="62"/>
      <c r="H27" s="21"/>
      <c r="M27" s="19"/>
    </row>
    <row r="28" spans="1:19" ht="12.75">
      <c r="A28" s="4" t="s">
        <v>20</v>
      </c>
      <c r="B28" t="s">
        <v>21</v>
      </c>
      <c r="C28" t="s">
        <v>22</v>
      </c>
      <c r="D28" s="9"/>
      <c r="E28" s="36">
        <f>10697.26/12*3</f>
        <v>2674.315</v>
      </c>
      <c r="G28" s="23" t="s">
        <v>19</v>
      </c>
      <c r="H28" s="23" t="s">
        <v>19</v>
      </c>
      <c r="K28" s="20">
        <v>1.09</v>
      </c>
      <c r="L28" s="20">
        <v>0.0112</v>
      </c>
      <c r="M28" s="20">
        <v>0.0176</v>
      </c>
      <c r="N28" s="19">
        <f>L28+M28</f>
        <v>0.0288</v>
      </c>
      <c r="P28" s="3">
        <v>0</v>
      </c>
      <c r="Q28" s="3">
        <f>E28/K28*N28</f>
        <v>70.6608</v>
      </c>
      <c r="S28" s="10">
        <f>P28+Q28</f>
        <v>70.6608</v>
      </c>
    </row>
    <row r="29" spans="4:13" ht="12.75">
      <c r="D29" s="9"/>
      <c r="E29" s="36"/>
      <c r="H29" s="21"/>
      <c r="M29" s="19"/>
    </row>
    <row r="30" spans="1:19" ht="12.75">
      <c r="A30" s="18" t="s">
        <v>33</v>
      </c>
      <c r="B30" t="s">
        <v>24</v>
      </c>
      <c r="C30" t="s">
        <v>25</v>
      </c>
      <c r="D30" s="9">
        <v>591.03</v>
      </c>
      <c r="E30" s="36"/>
      <c r="G30" s="23">
        <v>0.037392</v>
      </c>
      <c r="H30" s="23">
        <v>0.058638</v>
      </c>
      <c r="I30" s="1">
        <f>G30+H30</f>
        <v>0.09603</v>
      </c>
      <c r="M30" s="19"/>
      <c r="P30" s="3">
        <f>I30*D30</f>
        <v>56.7566109</v>
      </c>
      <c r="S30" s="10">
        <f>P30+Q30</f>
        <v>56.7566109</v>
      </c>
    </row>
    <row r="31" spans="1:14" ht="12.75">
      <c r="A31"/>
      <c r="G31"/>
      <c r="H31"/>
      <c r="I31"/>
      <c r="J31"/>
      <c r="K31"/>
      <c r="L31"/>
      <c r="M31"/>
      <c r="N31"/>
    </row>
    <row r="32" spans="4:8" ht="12.75">
      <c r="D32" s="9"/>
      <c r="E32" s="36"/>
      <c r="H32" s="21"/>
    </row>
    <row r="33" spans="4:19" ht="13.5" thickBot="1">
      <c r="D33" s="9"/>
      <c r="E33" s="36"/>
      <c r="G33" s="1" t="s">
        <v>26</v>
      </c>
      <c r="H33" s="21"/>
      <c r="P33" s="16">
        <f>P16+P27+P28+P30</f>
        <v>5504.075602029999</v>
      </c>
      <c r="Q33" s="16">
        <f>Q16+Q27+Q28+Q30</f>
        <v>5888.1462741678415</v>
      </c>
      <c r="R33" s="16">
        <f>R16+R27+R28+R30</f>
        <v>0</v>
      </c>
      <c r="S33" s="16">
        <f>S16+S27+S28+S30</f>
        <v>11392.221876197842</v>
      </c>
    </row>
    <row r="34" spans="4:5" ht="13.5" thickTop="1">
      <c r="D34" s="9"/>
      <c r="E34" s="36"/>
    </row>
    <row r="35" spans="4:5" ht="12.75">
      <c r="D35" s="9"/>
      <c r="E35" s="36"/>
    </row>
    <row r="36" ht="12.75">
      <c r="E36" s="36"/>
    </row>
    <row r="37" ht="12.75">
      <c r="E37" s="36"/>
    </row>
  </sheetData>
  <sheetProtection/>
  <mergeCells count="2">
    <mergeCell ref="D4:O4"/>
    <mergeCell ref="D6:E6"/>
  </mergeCells>
  <printOptions/>
  <pageMargins left="0.25" right="0.25" top="0.25" bottom="0.25" header="0.5" footer="0.5"/>
  <pageSetup fitToHeight="1" fitToWidth="1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5.421875" style="4" customWidth="1"/>
    <col min="2" max="2" width="10.8515625" style="0" customWidth="1"/>
    <col min="3" max="3" width="8.28125" style="0" customWidth="1"/>
    <col min="4" max="4" width="20.140625" style="0" bestFit="1" customWidth="1"/>
    <col min="5" max="5" width="14.00390625" style="0" bestFit="1" customWidth="1"/>
    <col min="6" max="6" width="2.421875" style="0" customWidth="1"/>
    <col min="7" max="7" width="13.421875" style="1" bestFit="1" customWidth="1"/>
    <col min="8" max="8" width="11.00390625" style="1" customWidth="1"/>
    <col min="9" max="9" width="10.8515625" style="1" customWidth="1"/>
    <col min="10" max="10" width="2.8515625" style="1" customWidth="1"/>
    <col min="11" max="11" width="11.28125" style="2" customWidth="1"/>
    <col min="12" max="13" width="10.28125" style="3" bestFit="1" customWidth="1"/>
    <col min="14" max="14" width="9.8515625" style="3" customWidth="1"/>
    <col min="15" max="15" width="2.8515625" style="0" customWidth="1"/>
    <col min="16" max="16" width="11.28125" style="0" bestFit="1" customWidth="1"/>
    <col min="17" max="17" width="12.28125" style="0" bestFit="1" customWidth="1"/>
    <col min="18" max="18" width="2.00390625" style="0" customWidth="1"/>
    <col min="19" max="19" width="12.28125" style="0" bestFit="1" customWidth="1"/>
  </cols>
  <sheetData>
    <row r="1" ht="12.75">
      <c r="A1" s="17" t="s">
        <v>63</v>
      </c>
    </row>
    <row r="2" ht="12.75">
      <c r="A2" s="17" t="s">
        <v>43</v>
      </c>
    </row>
    <row r="4" spans="4:15" ht="12.75">
      <c r="D4" s="57" t="s">
        <v>64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4:15" ht="12.75"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4:14" s="27" customFormat="1" ht="12.75">
      <c r="D6" s="58" t="s">
        <v>39</v>
      </c>
      <c r="E6" s="58"/>
      <c r="G6" s="29">
        <v>2004</v>
      </c>
      <c r="H6" s="29" t="s">
        <v>44</v>
      </c>
      <c r="I6" s="6" t="s">
        <v>7</v>
      </c>
      <c r="J6" s="28"/>
      <c r="K6" s="7" t="s">
        <v>7</v>
      </c>
      <c r="L6" s="29">
        <v>2001</v>
      </c>
      <c r="M6" s="29">
        <v>2002</v>
      </c>
      <c r="N6" s="29" t="s">
        <v>38</v>
      </c>
    </row>
    <row r="7" spans="4:19" s="5" customFormat="1" ht="12.75">
      <c r="D7" s="5" t="s">
        <v>0</v>
      </c>
      <c r="E7" s="5" t="s">
        <v>1</v>
      </c>
      <c r="G7" s="6" t="s">
        <v>2</v>
      </c>
      <c r="H7" s="6" t="s">
        <v>2</v>
      </c>
      <c r="I7" s="6" t="s">
        <v>2</v>
      </c>
      <c r="J7" s="6"/>
      <c r="K7" s="7" t="s">
        <v>3</v>
      </c>
      <c r="L7" s="8" t="s">
        <v>4</v>
      </c>
      <c r="M7" s="8" t="s">
        <v>4</v>
      </c>
      <c r="N7" s="8" t="s">
        <v>4</v>
      </c>
      <c r="P7" s="5" t="s">
        <v>5</v>
      </c>
      <c r="Q7" s="5" t="s">
        <v>6</v>
      </c>
      <c r="S7" s="5" t="s">
        <v>7</v>
      </c>
    </row>
    <row r="8" spans="1:19" ht="12.75">
      <c r="A8" s="4" t="s">
        <v>27</v>
      </c>
      <c r="B8" t="s">
        <v>9</v>
      </c>
      <c r="C8" t="s">
        <v>8</v>
      </c>
      <c r="D8" s="22" t="s">
        <v>19</v>
      </c>
      <c r="E8" s="24">
        <f>577.49/12*9</f>
        <v>433.1175</v>
      </c>
      <c r="G8" s="23" t="s">
        <v>19</v>
      </c>
      <c r="H8" s="21"/>
      <c r="K8" s="25"/>
      <c r="L8" s="20"/>
      <c r="M8" s="20"/>
      <c r="N8" s="19"/>
      <c r="P8" s="3">
        <v>0</v>
      </c>
      <c r="Q8" s="3">
        <v>0</v>
      </c>
      <c r="S8" s="10">
        <f>P8+Q8</f>
        <v>0</v>
      </c>
    </row>
    <row r="9" spans="1:19" ht="12.75">
      <c r="A9" s="4" t="s">
        <v>11</v>
      </c>
      <c r="B9" t="s">
        <v>10</v>
      </c>
      <c r="C9" t="s">
        <v>8</v>
      </c>
      <c r="D9" s="22">
        <v>3271271.14</v>
      </c>
      <c r="E9" s="24">
        <v>44795.77</v>
      </c>
      <c r="G9" s="23">
        <v>0.000454</v>
      </c>
      <c r="H9" s="23">
        <v>0</v>
      </c>
      <c r="I9" s="21">
        <f>G9+H9</f>
        <v>0.000454</v>
      </c>
      <c r="K9" s="25"/>
      <c r="L9" s="20"/>
      <c r="M9" s="20"/>
      <c r="N9" s="19"/>
      <c r="P9" s="3">
        <f>I9*D9</f>
        <v>1485.15709756</v>
      </c>
      <c r="Q9" s="3">
        <v>0</v>
      </c>
      <c r="S9" s="10">
        <f aca="true" t="shared" si="0" ref="S9:S15">P9+Q9</f>
        <v>1485.15709756</v>
      </c>
    </row>
    <row r="10" spans="1:19" ht="12.75">
      <c r="A10" s="4" t="s">
        <v>28</v>
      </c>
      <c r="B10" t="s">
        <v>10</v>
      </c>
      <c r="C10" t="s">
        <v>8</v>
      </c>
      <c r="D10" s="22">
        <v>9602891.49</v>
      </c>
      <c r="E10" s="24">
        <v>196212.98</v>
      </c>
      <c r="G10" s="23">
        <v>0.000454</v>
      </c>
      <c r="H10" s="23">
        <v>0</v>
      </c>
      <c r="I10" s="21">
        <f>G10+H10</f>
        <v>0.000454</v>
      </c>
      <c r="K10" s="25"/>
      <c r="L10" s="20"/>
      <c r="M10" s="20"/>
      <c r="N10" s="19"/>
      <c r="P10" s="3">
        <f>I10*D10</f>
        <v>4359.71273646</v>
      </c>
      <c r="Q10" s="3">
        <v>0</v>
      </c>
      <c r="S10" s="10">
        <f t="shared" si="0"/>
        <v>4359.71273646</v>
      </c>
    </row>
    <row r="11" spans="1:19" ht="12.75">
      <c r="A11" s="4" t="s">
        <v>17</v>
      </c>
      <c r="B11" t="s">
        <v>35</v>
      </c>
      <c r="C11" t="s">
        <v>8</v>
      </c>
      <c r="D11" s="22">
        <v>4196115.38</v>
      </c>
      <c r="E11" s="24">
        <v>24965.49</v>
      </c>
      <c r="G11" s="23">
        <v>0.000319</v>
      </c>
      <c r="H11" s="23">
        <v>0</v>
      </c>
      <c r="I11" s="21">
        <f>G11+H11</f>
        <v>0.000319</v>
      </c>
      <c r="K11" s="25"/>
      <c r="L11" s="20"/>
      <c r="M11" s="20"/>
      <c r="N11" s="19"/>
      <c r="P11" s="3">
        <f>I11*D11</f>
        <v>1338.56080622</v>
      </c>
      <c r="Q11" s="3">
        <v>0</v>
      </c>
      <c r="S11" s="10">
        <f t="shared" si="0"/>
        <v>1338.56080622</v>
      </c>
    </row>
    <row r="12" spans="1:19" ht="12.75">
      <c r="A12" s="4" t="s">
        <v>15</v>
      </c>
      <c r="B12" t="s">
        <v>35</v>
      </c>
      <c r="C12" t="s">
        <v>8</v>
      </c>
      <c r="D12" s="22">
        <v>281190.25</v>
      </c>
      <c r="E12" s="24">
        <v>5339.04</v>
      </c>
      <c r="G12" s="23">
        <v>0.000319</v>
      </c>
      <c r="H12" s="23">
        <v>0</v>
      </c>
      <c r="I12" s="21">
        <f>G12+H12</f>
        <v>0.000319</v>
      </c>
      <c r="K12" s="25"/>
      <c r="L12" s="20"/>
      <c r="M12" s="20"/>
      <c r="N12" s="19"/>
      <c r="P12" s="3">
        <f>I12*D12</f>
        <v>89.69968975</v>
      </c>
      <c r="Q12" s="3">
        <v>0</v>
      </c>
      <c r="S12" s="10">
        <f t="shared" si="0"/>
        <v>89.69968975</v>
      </c>
    </row>
    <row r="13" spans="1:19" ht="12.75">
      <c r="A13" s="4" t="s">
        <v>16</v>
      </c>
      <c r="B13" t="s">
        <v>9</v>
      </c>
      <c r="C13" t="s">
        <v>8</v>
      </c>
      <c r="D13" s="22">
        <v>0</v>
      </c>
      <c r="E13" s="30">
        <f>12433.02/12*9</f>
        <v>9324.765</v>
      </c>
      <c r="G13" s="23" t="s">
        <v>19</v>
      </c>
      <c r="H13" s="21"/>
      <c r="I13" s="21"/>
      <c r="K13" s="25"/>
      <c r="L13" s="20"/>
      <c r="M13" s="20"/>
      <c r="N13" s="19"/>
      <c r="P13" s="3">
        <v>0</v>
      </c>
      <c r="Q13" s="3">
        <v>0</v>
      </c>
      <c r="S13" s="10">
        <f t="shared" si="0"/>
        <v>0</v>
      </c>
    </row>
    <row r="14" spans="1:19" ht="12.75">
      <c r="A14" s="4" t="s">
        <v>29</v>
      </c>
      <c r="B14" t="s">
        <v>9</v>
      </c>
      <c r="C14" t="s">
        <v>8</v>
      </c>
      <c r="D14" s="22">
        <v>0</v>
      </c>
      <c r="E14" s="30">
        <f>1222.92/12*9</f>
        <v>917.19</v>
      </c>
      <c r="G14" s="23" t="s">
        <v>19</v>
      </c>
      <c r="H14" s="21"/>
      <c r="I14" s="21"/>
      <c r="K14" s="25"/>
      <c r="L14" s="20"/>
      <c r="M14" s="20"/>
      <c r="N14" s="19"/>
      <c r="P14" s="3">
        <v>0</v>
      </c>
      <c r="Q14" s="3">
        <v>0</v>
      </c>
      <c r="S14" s="10">
        <f t="shared" si="0"/>
        <v>0</v>
      </c>
    </row>
    <row r="15" spans="1:19" ht="12.75">
      <c r="A15" s="4" t="s">
        <v>41</v>
      </c>
      <c r="B15" t="s">
        <v>35</v>
      </c>
      <c r="C15" t="s">
        <v>8</v>
      </c>
      <c r="D15" s="22">
        <v>148491.03</v>
      </c>
      <c r="E15" s="24">
        <v>252.51</v>
      </c>
      <c r="G15" s="23">
        <v>0.000319</v>
      </c>
      <c r="H15" s="23">
        <v>0</v>
      </c>
      <c r="I15" s="21">
        <f>G15+H15</f>
        <v>0.000319</v>
      </c>
      <c r="K15" s="25"/>
      <c r="L15" s="20"/>
      <c r="M15" s="20"/>
      <c r="N15" s="19"/>
      <c r="P15" s="3">
        <f>I15*D15</f>
        <v>47.36863857</v>
      </c>
      <c r="Q15" s="3">
        <v>0</v>
      </c>
      <c r="S15" s="10">
        <f t="shared" si="0"/>
        <v>47.36863857</v>
      </c>
    </row>
    <row r="16" spans="4:19" ht="12.75">
      <c r="D16" s="11">
        <f>SUM(D9:D15)</f>
        <v>17499959.290000003</v>
      </c>
      <c r="E16" s="11">
        <f>SUM(E8:E15)</f>
        <v>282240.8625</v>
      </c>
      <c r="H16" s="21"/>
      <c r="I16" s="21"/>
      <c r="M16" s="19"/>
      <c r="P16" s="13">
        <f>SUM(P8:P15)</f>
        <v>7320.49896856</v>
      </c>
      <c r="Q16" s="13">
        <f>SUM(Q8:Q15)</f>
        <v>0</v>
      </c>
      <c r="R16" s="13">
        <f>SUM(R8:R15)</f>
        <v>0</v>
      </c>
      <c r="S16" s="13">
        <f>SUM(S8:S15)</f>
        <v>7320.49896856</v>
      </c>
    </row>
    <row r="17" spans="4:13" ht="12.75">
      <c r="D17" s="9"/>
      <c r="E17" s="3"/>
      <c r="H17" s="21"/>
      <c r="I17" s="21"/>
      <c r="M17" s="19"/>
    </row>
    <row r="18" spans="1:19" ht="12.75">
      <c r="A18" s="4">
        <v>501</v>
      </c>
      <c r="B18" t="s">
        <v>9</v>
      </c>
      <c r="C18" t="s">
        <v>18</v>
      </c>
      <c r="D18" s="9">
        <v>23111.37</v>
      </c>
      <c r="E18" s="3" t="s">
        <v>19</v>
      </c>
      <c r="G18" s="23">
        <v>0.020658</v>
      </c>
      <c r="H18" s="23">
        <v>0</v>
      </c>
      <c r="I18" s="21">
        <f aca="true" t="shared" si="1" ref="I18:I25">G18+H18</f>
        <v>0.020658</v>
      </c>
      <c r="K18" s="20" t="s">
        <v>19</v>
      </c>
      <c r="M18" s="19"/>
      <c r="P18" s="3">
        <f aca="true" t="shared" si="2" ref="P18:P25">I18*D18</f>
        <v>477.43468146</v>
      </c>
      <c r="S18" s="10">
        <f aca="true" t="shared" si="3" ref="S18:S25">P18+Q18</f>
        <v>477.43468146</v>
      </c>
    </row>
    <row r="19" spans="1:19" ht="12.75">
      <c r="A19" s="4">
        <v>601</v>
      </c>
      <c r="B19" t="s">
        <v>9</v>
      </c>
      <c r="C19" t="s">
        <v>18</v>
      </c>
      <c r="D19" s="9">
        <v>5260.14</v>
      </c>
      <c r="E19" s="3"/>
      <c r="G19" s="23">
        <v>0.020658</v>
      </c>
      <c r="H19" s="23">
        <v>0</v>
      </c>
      <c r="I19" s="21">
        <f t="shared" si="1"/>
        <v>0.020658</v>
      </c>
      <c r="K19" s="20" t="s">
        <v>19</v>
      </c>
      <c r="M19" s="19"/>
      <c r="P19" s="3">
        <f t="shared" si="2"/>
        <v>108.66397212</v>
      </c>
      <c r="S19" s="10">
        <f t="shared" si="3"/>
        <v>108.66397212</v>
      </c>
    </row>
    <row r="20" spans="1:19" ht="12.75">
      <c r="A20" s="4" t="s">
        <v>30</v>
      </c>
      <c r="B20" t="s">
        <v>9</v>
      </c>
      <c r="C20" t="s">
        <v>18</v>
      </c>
      <c r="D20" s="9">
        <v>645.57</v>
      </c>
      <c r="E20" s="3"/>
      <c r="G20" s="23">
        <v>0.020658</v>
      </c>
      <c r="H20" s="23">
        <v>0</v>
      </c>
      <c r="I20" s="21">
        <f t="shared" si="1"/>
        <v>0.020658</v>
      </c>
      <c r="K20" s="20" t="s">
        <v>19</v>
      </c>
      <c r="M20" s="19"/>
      <c r="P20" s="3">
        <f t="shared" si="2"/>
        <v>13.33618506</v>
      </c>
      <c r="S20" s="10">
        <f t="shared" si="3"/>
        <v>13.33618506</v>
      </c>
    </row>
    <row r="21" spans="1:19" ht="12.75">
      <c r="A21" s="4" t="s">
        <v>12</v>
      </c>
      <c r="B21" t="s">
        <v>36</v>
      </c>
      <c r="C21" t="s">
        <v>18</v>
      </c>
      <c r="D21" s="9">
        <v>89.02</v>
      </c>
      <c r="E21" s="3"/>
      <c r="G21" s="23">
        <v>0.193248</v>
      </c>
      <c r="H21" s="23">
        <v>0</v>
      </c>
      <c r="I21" s="21">
        <f t="shared" si="1"/>
        <v>0.193248</v>
      </c>
      <c r="K21" s="20" t="s">
        <v>19</v>
      </c>
      <c r="M21" s="19"/>
      <c r="P21" s="3">
        <f t="shared" si="2"/>
        <v>17.20293696</v>
      </c>
      <c r="S21" s="10">
        <f t="shared" si="3"/>
        <v>17.20293696</v>
      </c>
    </row>
    <row r="22" spans="1:19" ht="12.75">
      <c r="A22" s="4" t="s">
        <v>31</v>
      </c>
      <c r="B22" t="s">
        <v>36</v>
      </c>
      <c r="C22" t="s">
        <v>18</v>
      </c>
      <c r="D22" s="9">
        <v>6.65</v>
      </c>
      <c r="E22" s="3"/>
      <c r="G22" s="23">
        <v>0.193248</v>
      </c>
      <c r="H22" s="23">
        <v>0</v>
      </c>
      <c r="I22" s="21">
        <f t="shared" si="1"/>
        <v>0.193248</v>
      </c>
      <c r="K22" s="20" t="s">
        <v>19</v>
      </c>
      <c r="M22" s="19"/>
      <c r="P22" s="3">
        <f t="shared" si="2"/>
        <v>1.2850992</v>
      </c>
      <c r="S22" s="10">
        <f t="shared" si="3"/>
        <v>1.2850992</v>
      </c>
    </row>
    <row r="23" spans="1:19" ht="12.75">
      <c r="A23" s="4" t="s">
        <v>14</v>
      </c>
      <c r="B23" t="s">
        <v>36</v>
      </c>
      <c r="C23" t="s">
        <v>18</v>
      </c>
      <c r="D23" s="9">
        <v>15.46</v>
      </c>
      <c r="E23" s="3"/>
      <c r="G23" s="23">
        <v>0.193248</v>
      </c>
      <c r="H23" s="23">
        <v>0</v>
      </c>
      <c r="I23" s="21">
        <f t="shared" si="1"/>
        <v>0.193248</v>
      </c>
      <c r="K23" s="20" t="s">
        <v>19</v>
      </c>
      <c r="M23" s="19"/>
      <c r="P23" s="3">
        <f t="shared" si="2"/>
        <v>2.98761408</v>
      </c>
      <c r="S23" s="10">
        <f t="shared" si="3"/>
        <v>2.98761408</v>
      </c>
    </row>
    <row r="24" spans="1:19" ht="12.75">
      <c r="A24" s="4" t="s">
        <v>23</v>
      </c>
      <c r="B24" t="s">
        <v>36</v>
      </c>
      <c r="C24" t="s">
        <v>18</v>
      </c>
      <c r="D24" s="9">
        <v>2.13</v>
      </c>
      <c r="E24" s="3"/>
      <c r="G24" s="23">
        <v>0.193248</v>
      </c>
      <c r="H24" s="23">
        <v>0</v>
      </c>
      <c r="I24" s="21">
        <f t="shared" si="1"/>
        <v>0.193248</v>
      </c>
      <c r="K24" s="20" t="s">
        <v>19</v>
      </c>
      <c r="M24" s="19"/>
      <c r="P24" s="3">
        <f t="shared" si="2"/>
        <v>0.41161823999999997</v>
      </c>
      <c r="S24" s="10">
        <f t="shared" si="3"/>
        <v>0.41161823999999997</v>
      </c>
    </row>
    <row r="25" spans="1:19" ht="12.75">
      <c r="A25" s="4" t="s">
        <v>32</v>
      </c>
      <c r="B25" t="s">
        <v>36</v>
      </c>
      <c r="C25" t="s">
        <v>18</v>
      </c>
      <c r="D25" s="9">
        <v>6.44</v>
      </c>
      <c r="E25" s="3"/>
      <c r="G25" s="23">
        <v>0.193248</v>
      </c>
      <c r="H25" s="23">
        <v>0</v>
      </c>
      <c r="I25" s="21">
        <f t="shared" si="1"/>
        <v>0.193248</v>
      </c>
      <c r="K25" s="20" t="s">
        <v>19</v>
      </c>
      <c r="M25" s="19"/>
      <c r="P25" s="3">
        <f t="shared" si="2"/>
        <v>1.24451712</v>
      </c>
      <c r="S25" s="10">
        <f t="shared" si="3"/>
        <v>1.24451712</v>
      </c>
    </row>
    <row r="26" spans="1:19" ht="12.75">
      <c r="A26" s="4" t="s">
        <v>19</v>
      </c>
      <c r="D26" s="11">
        <f>SUM(D18:D25)</f>
        <v>29136.78</v>
      </c>
      <c r="E26" s="12">
        <f>SUM(E18:E25)</f>
        <v>0</v>
      </c>
      <c r="H26" s="21"/>
      <c r="I26" s="21"/>
      <c r="M26" s="19"/>
      <c r="P26" s="13">
        <f>SUM(P18:P25)</f>
        <v>622.56662424</v>
      </c>
      <c r="Q26" s="13">
        <f>SUM(Q18:Q25)</f>
        <v>0</v>
      </c>
      <c r="R26" s="13">
        <f>SUM(R18:R25)</f>
        <v>0</v>
      </c>
      <c r="S26" s="13">
        <f>SUM(S18:S25)</f>
        <v>622.56662424</v>
      </c>
    </row>
    <row r="27" spans="4:13" ht="12.75">
      <c r="D27" s="14"/>
      <c r="E27" s="15"/>
      <c r="H27" s="21"/>
      <c r="I27" s="21"/>
      <c r="M27" s="19"/>
    </row>
    <row r="28" spans="1:19" ht="12.75">
      <c r="A28" s="4" t="s">
        <v>20</v>
      </c>
      <c r="B28" t="s">
        <v>21</v>
      </c>
      <c r="C28" t="s">
        <v>22</v>
      </c>
      <c r="D28" s="9"/>
      <c r="E28" s="31">
        <f>10697.26/12*9</f>
        <v>8022.945000000001</v>
      </c>
      <c r="G28" s="23" t="s">
        <v>19</v>
      </c>
      <c r="H28" s="23" t="s">
        <v>19</v>
      </c>
      <c r="I28" s="21"/>
      <c r="K28" s="20"/>
      <c r="L28" s="20"/>
      <c r="M28" s="20"/>
      <c r="N28" s="19"/>
      <c r="P28" s="3">
        <v>0</v>
      </c>
      <c r="Q28" s="3">
        <v>0</v>
      </c>
      <c r="S28" s="10">
        <f>P28+Q28</f>
        <v>0</v>
      </c>
    </row>
    <row r="29" spans="4:13" ht="12.75">
      <c r="D29" s="9"/>
      <c r="E29" s="3"/>
      <c r="H29" s="21"/>
      <c r="I29" s="21"/>
      <c r="M29" s="19"/>
    </row>
    <row r="30" spans="1:19" ht="12.75">
      <c r="A30" s="18" t="s">
        <v>33</v>
      </c>
      <c r="B30" t="s">
        <v>24</v>
      </c>
      <c r="C30" t="s">
        <v>25</v>
      </c>
      <c r="D30" s="9">
        <v>1206.18</v>
      </c>
      <c r="E30" s="3"/>
      <c r="G30" s="23">
        <v>0.171537</v>
      </c>
      <c r="H30" s="23">
        <v>0</v>
      </c>
      <c r="I30" s="21">
        <f>G30+H30</f>
        <v>0.171537</v>
      </c>
      <c r="M30" s="19"/>
      <c r="P30" s="3">
        <f>I30*D30</f>
        <v>206.90449866</v>
      </c>
      <c r="S30" s="10">
        <f>P30+Q30</f>
        <v>206.90449866</v>
      </c>
    </row>
    <row r="31" spans="1:14" ht="12.75">
      <c r="A31"/>
      <c r="G31"/>
      <c r="H31"/>
      <c r="I31" s="32"/>
      <c r="J31"/>
      <c r="K31"/>
      <c r="L31"/>
      <c r="M31"/>
      <c r="N31"/>
    </row>
    <row r="32" spans="4:8" ht="12.75">
      <c r="D32" s="9"/>
      <c r="E32" s="3"/>
      <c r="H32" s="21"/>
    </row>
    <row r="33" spans="4:19" ht="13.5" thickBot="1">
      <c r="D33" s="9"/>
      <c r="E33" s="3"/>
      <c r="G33" s="1" t="s">
        <v>26</v>
      </c>
      <c r="H33" s="21"/>
      <c r="P33" s="16">
        <f>P16+P27+P28+P30</f>
        <v>7527.4034672200005</v>
      </c>
      <c r="Q33" s="16">
        <f>Q16+Q27+Q28+Q30</f>
        <v>0</v>
      </c>
      <c r="R33" s="16">
        <f>R16+R27+R28+R30</f>
        <v>0</v>
      </c>
      <c r="S33" s="16">
        <f>S16+S27+S28+S30</f>
        <v>7527.4034672200005</v>
      </c>
    </row>
    <row r="34" spans="4:5" ht="13.5" thickTop="1">
      <c r="D34" s="9"/>
      <c r="E34" s="3"/>
    </row>
    <row r="35" spans="2:5" ht="12.75">
      <c r="B35" t="s">
        <v>45</v>
      </c>
      <c r="D35" s="9">
        <f>'2004 to 20040401'!D16+'2004 to 20040401'!D26+'2004 to 20040401'!D30</f>
        <v>18582087.419999998</v>
      </c>
      <c r="E35" s="9">
        <f>'2004 to 20040401'!E16+'2004 to 20040401'!E26+'2004 to 20040401'!E30</f>
        <v>193585.9075</v>
      </c>
    </row>
    <row r="36" spans="2:5" ht="12.75">
      <c r="B36" t="s">
        <v>46</v>
      </c>
      <c r="D36" s="33">
        <f>D16+D26+D30</f>
        <v>17530302.250000004</v>
      </c>
      <c r="E36" s="33">
        <f>E16+E26+E30</f>
        <v>282240.8625</v>
      </c>
    </row>
    <row r="37" spans="4:5" ht="13.5" thickBot="1">
      <c r="D37" s="34">
        <f>SUM(D35:D36)</f>
        <v>36112389.67</v>
      </c>
      <c r="E37" s="34">
        <f>SUM(E35:E36)</f>
        <v>475826.77</v>
      </c>
    </row>
    <row r="38" ht="13.5" thickTop="1"/>
  </sheetData>
  <sheetProtection/>
  <mergeCells count="2">
    <mergeCell ref="D4:O4"/>
    <mergeCell ref="D6:E6"/>
  </mergeCells>
  <printOptions/>
  <pageMargins left="0.25" right="0.25" top="0.25" bottom="0.25" header="0.5" footer="0.5"/>
  <pageSetup fitToHeight="1" fitToWidth="1"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5.421875" style="4" customWidth="1"/>
    <col min="2" max="2" width="10.8515625" style="0" customWidth="1"/>
    <col min="3" max="3" width="8.28125" style="0" customWidth="1"/>
    <col min="4" max="4" width="20.140625" style="0" bestFit="1" customWidth="1"/>
    <col min="5" max="5" width="14.00390625" style="0" bestFit="1" customWidth="1"/>
    <col min="6" max="6" width="2.421875" style="0" customWidth="1"/>
    <col min="7" max="7" width="13.421875" style="1" bestFit="1" customWidth="1"/>
    <col min="8" max="8" width="11.00390625" style="1" customWidth="1"/>
    <col min="9" max="9" width="10.8515625" style="1" customWidth="1"/>
    <col min="10" max="10" width="2.8515625" style="1" customWidth="1"/>
    <col min="11" max="11" width="11.28125" style="2" customWidth="1"/>
    <col min="12" max="13" width="10.28125" style="3" bestFit="1" customWidth="1"/>
    <col min="14" max="14" width="9.8515625" style="3" customWidth="1"/>
    <col min="15" max="15" width="2.8515625" style="0" customWidth="1"/>
    <col min="16" max="16" width="11.28125" style="0" bestFit="1" customWidth="1"/>
    <col min="17" max="17" width="12.28125" style="0" bestFit="1" customWidth="1"/>
    <col min="18" max="18" width="2.00390625" style="0" customWidth="1"/>
    <col min="19" max="19" width="12.28125" style="0" bestFit="1" customWidth="1"/>
  </cols>
  <sheetData>
    <row r="1" ht="12.75">
      <c r="A1" s="17" t="s">
        <v>63</v>
      </c>
    </row>
    <row r="2" ht="12.75">
      <c r="A2" s="17" t="s">
        <v>54</v>
      </c>
    </row>
    <row r="3" ht="12.75">
      <c r="A3" s="17" t="s">
        <v>67</v>
      </c>
    </row>
    <row r="4" spans="4:15" ht="12.75">
      <c r="D4" s="57" t="s">
        <v>34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4:15" ht="12.75"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4:14" s="27" customFormat="1" ht="12.75">
      <c r="D6" s="58" t="s">
        <v>39</v>
      </c>
      <c r="E6" s="58"/>
      <c r="G6" s="29">
        <v>2004</v>
      </c>
      <c r="H6" s="29" t="s">
        <v>44</v>
      </c>
      <c r="I6" s="6" t="s">
        <v>7</v>
      </c>
      <c r="J6" s="28"/>
      <c r="K6" s="7" t="s">
        <v>7</v>
      </c>
      <c r="L6" s="29">
        <v>2001</v>
      </c>
      <c r="M6" s="29">
        <v>2002</v>
      </c>
      <c r="N6" s="29" t="s">
        <v>38</v>
      </c>
    </row>
    <row r="7" spans="4:19" s="5" customFormat="1" ht="12.75">
      <c r="D7" s="5" t="s">
        <v>0</v>
      </c>
      <c r="E7" s="5" t="s">
        <v>1</v>
      </c>
      <c r="G7" s="6" t="s">
        <v>2</v>
      </c>
      <c r="H7" s="6" t="s">
        <v>2</v>
      </c>
      <c r="I7" s="6" t="s">
        <v>2</v>
      </c>
      <c r="J7" s="6"/>
      <c r="K7" s="7" t="s">
        <v>3</v>
      </c>
      <c r="L7" s="8" t="s">
        <v>4</v>
      </c>
      <c r="M7" s="8" t="s">
        <v>4</v>
      </c>
      <c r="N7" s="8" t="s">
        <v>4</v>
      </c>
      <c r="P7" s="5" t="s">
        <v>5</v>
      </c>
      <c r="Q7" s="5" t="s">
        <v>6</v>
      </c>
      <c r="S7" s="5" t="s">
        <v>7</v>
      </c>
    </row>
    <row r="8" spans="1:19" ht="12.75">
      <c r="A8" s="4" t="s">
        <v>27</v>
      </c>
      <c r="B8" t="s">
        <v>9</v>
      </c>
      <c r="C8" t="s">
        <v>8</v>
      </c>
      <c r="D8" s="22" t="s">
        <v>19</v>
      </c>
      <c r="E8" s="24">
        <f>106.44</f>
        <v>106.44</v>
      </c>
      <c r="G8" s="23" t="s">
        <v>19</v>
      </c>
      <c r="H8" s="21"/>
      <c r="K8" s="25"/>
      <c r="L8" s="20"/>
      <c r="M8" s="20"/>
      <c r="N8" s="19"/>
      <c r="P8" s="3">
        <v>0</v>
      </c>
      <c r="Q8" s="3">
        <v>0</v>
      </c>
      <c r="S8" s="10">
        <f>P8+Q8</f>
        <v>0</v>
      </c>
    </row>
    <row r="9" spans="1:19" ht="12.75">
      <c r="A9" s="4" t="s">
        <v>11</v>
      </c>
      <c r="B9" t="s">
        <v>10</v>
      </c>
      <c r="C9" t="s">
        <v>8</v>
      </c>
      <c r="D9" s="22">
        <f>1072261.6</f>
        <v>1072261.6</v>
      </c>
      <c r="E9" s="24">
        <f>9289.13</f>
        <v>9289.13</v>
      </c>
      <c r="G9" s="23">
        <v>0.000454</v>
      </c>
      <c r="H9" s="23">
        <v>0</v>
      </c>
      <c r="I9" s="21">
        <f>G9+H9</f>
        <v>0.000454</v>
      </c>
      <c r="K9" s="25"/>
      <c r="L9" s="20"/>
      <c r="M9" s="20"/>
      <c r="N9" s="19"/>
      <c r="P9" s="3">
        <f>I9*D9</f>
        <v>486.8067664</v>
      </c>
      <c r="Q9" s="3">
        <v>0</v>
      </c>
      <c r="S9" s="10">
        <f aca="true" t="shared" si="0" ref="S9:S15">P9+Q9</f>
        <v>486.8067664</v>
      </c>
    </row>
    <row r="10" spans="1:19" ht="12.75">
      <c r="A10" s="4" t="s">
        <v>28</v>
      </c>
      <c r="B10" t="s">
        <v>10</v>
      </c>
      <c r="C10" t="s">
        <v>8</v>
      </c>
      <c r="D10" s="22">
        <f>4538675.17</f>
        <v>4538675.17</v>
      </c>
      <c r="E10" s="24">
        <f>58925.93</f>
        <v>58925.93</v>
      </c>
      <c r="G10" s="23">
        <v>0.000454</v>
      </c>
      <c r="H10" s="23">
        <v>0</v>
      </c>
      <c r="I10" s="21">
        <f>G10+H10</f>
        <v>0.000454</v>
      </c>
      <c r="K10" s="25"/>
      <c r="L10" s="20"/>
      <c r="M10" s="20"/>
      <c r="N10" s="19"/>
      <c r="P10" s="3">
        <f>I10*D10</f>
        <v>2060.55852718</v>
      </c>
      <c r="Q10" s="3">
        <v>0</v>
      </c>
      <c r="S10" s="10">
        <f t="shared" si="0"/>
        <v>2060.55852718</v>
      </c>
    </row>
    <row r="11" spans="1:19" ht="12.75">
      <c r="A11" s="4" t="s">
        <v>17</v>
      </c>
      <c r="B11" t="s">
        <v>35</v>
      </c>
      <c r="C11" t="s">
        <v>8</v>
      </c>
      <c r="D11" s="22">
        <f>1058708.96</f>
        <v>1058708.96</v>
      </c>
      <c r="E11" s="24">
        <f>5231.3+10564.76</f>
        <v>15796.060000000001</v>
      </c>
      <c r="G11" s="23">
        <v>0.000319</v>
      </c>
      <c r="H11" s="23">
        <v>0</v>
      </c>
      <c r="I11" s="21">
        <f>G11+H11</f>
        <v>0.000319</v>
      </c>
      <c r="K11" s="25"/>
      <c r="L11" s="20"/>
      <c r="M11" s="20"/>
      <c r="N11" s="19"/>
      <c r="P11" s="3">
        <f>I11*D11</f>
        <v>337.72815823999997</v>
      </c>
      <c r="Q11" s="3">
        <v>0</v>
      </c>
      <c r="S11" s="10">
        <f t="shared" si="0"/>
        <v>337.72815823999997</v>
      </c>
    </row>
    <row r="12" spans="1:19" ht="12.75">
      <c r="A12" s="4" t="s">
        <v>15</v>
      </c>
      <c r="B12" t="s">
        <v>35</v>
      </c>
      <c r="C12" t="s">
        <v>8</v>
      </c>
      <c r="D12" s="22">
        <f>100888.14</f>
        <v>100888.14</v>
      </c>
      <c r="E12" s="24">
        <f>1368.55</f>
        <v>1368.55</v>
      </c>
      <c r="G12" s="23">
        <v>0.000319</v>
      </c>
      <c r="H12" s="23">
        <v>0</v>
      </c>
      <c r="I12" s="21">
        <f>G12+H12</f>
        <v>0.000319</v>
      </c>
      <c r="K12" s="25"/>
      <c r="L12" s="20"/>
      <c r="M12" s="20"/>
      <c r="N12" s="19"/>
      <c r="P12" s="3">
        <f>I12*D12</f>
        <v>32.18331666</v>
      </c>
      <c r="Q12" s="3">
        <v>0</v>
      </c>
      <c r="S12" s="10">
        <f t="shared" si="0"/>
        <v>32.18331666</v>
      </c>
    </row>
    <row r="13" spans="1:19" ht="12.75">
      <c r="A13" s="4" t="s">
        <v>16</v>
      </c>
      <c r="B13" t="s">
        <v>9</v>
      </c>
      <c r="C13" t="s">
        <v>8</v>
      </c>
      <c r="D13" s="22">
        <v>0</v>
      </c>
      <c r="E13" s="35">
        <f>1609.06</f>
        <v>1609.06</v>
      </c>
      <c r="G13" s="23" t="s">
        <v>19</v>
      </c>
      <c r="H13" s="21"/>
      <c r="I13" s="21"/>
      <c r="K13" s="25"/>
      <c r="L13" s="20"/>
      <c r="M13" s="20"/>
      <c r="N13" s="19"/>
      <c r="P13" s="3">
        <v>0</v>
      </c>
      <c r="Q13" s="3">
        <v>0</v>
      </c>
      <c r="S13" s="10">
        <f t="shared" si="0"/>
        <v>0</v>
      </c>
    </row>
    <row r="14" spans="1:19" ht="12.75">
      <c r="A14" s="4" t="s">
        <v>29</v>
      </c>
      <c r="B14" t="s">
        <v>9</v>
      </c>
      <c r="C14" t="s">
        <v>8</v>
      </c>
      <c r="D14" s="22">
        <v>0</v>
      </c>
      <c r="E14" s="35">
        <f>101.91</f>
        <v>101.91</v>
      </c>
      <c r="G14" s="23" t="s">
        <v>19</v>
      </c>
      <c r="H14" s="21"/>
      <c r="I14" s="21"/>
      <c r="K14" s="25"/>
      <c r="L14" s="20"/>
      <c r="M14" s="20"/>
      <c r="N14" s="19"/>
      <c r="P14" s="3">
        <v>0</v>
      </c>
      <c r="Q14" s="3">
        <v>0</v>
      </c>
      <c r="S14" s="10">
        <f t="shared" si="0"/>
        <v>0</v>
      </c>
    </row>
    <row r="15" spans="1:19" ht="12.75">
      <c r="A15" s="4" t="s">
        <v>41</v>
      </c>
      <c r="B15" t="s">
        <v>35</v>
      </c>
      <c r="C15" t="s">
        <v>8</v>
      </c>
      <c r="D15" s="22">
        <f>25920</f>
        <v>25920</v>
      </c>
      <c r="E15" s="24">
        <f>53.22</f>
        <v>53.22</v>
      </c>
      <c r="G15" s="23">
        <v>0.000319</v>
      </c>
      <c r="H15" s="23">
        <v>0</v>
      </c>
      <c r="I15" s="21">
        <f>G15+H15</f>
        <v>0.000319</v>
      </c>
      <c r="K15" s="25"/>
      <c r="L15" s="20"/>
      <c r="M15" s="20"/>
      <c r="N15" s="19"/>
      <c r="P15" s="3">
        <f>I15*D15</f>
        <v>8.26848</v>
      </c>
      <c r="Q15" s="3">
        <v>0</v>
      </c>
      <c r="S15" s="10">
        <f t="shared" si="0"/>
        <v>8.26848</v>
      </c>
    </row>
    <row r="16" spans="4:19" ht="12.75">
      <c r="D16" s="11">
        <f>SUM(D9:D15)</f>
        <v>6796453.869999999</v>
      </c>
      <c r="E16" s="11">
        <f>SUM(E8:E15)</f>
        <v>87250.3</v>
      </c>
      <c r="H16" s="21"/>
      <c r="I16" s="21"/>
      <c r="M16" s="19"/>
      <c r="P16" s="13">
        <f>SUM(P8:P15)</f>
        <v>2925.5452484800003</v>
      </c>
      <c r="Q16" s="13">
        <f>SUM(Q8:Q15)</f>
        <v>0</v>
      </c>
      <c r="R16" s="13">
        <f>SUM(R8:R15)</f>
        <v>0</v>
      </c>
      <c r="S16" s="13">
        <f>SUM(S8:S15)</f>
        <v>2925.5452484800003</v>
      </c>
    </row>
    <row r="17" spans="4:13" ht="12.75">
      <c r="D17" s="9"/>
      <c r="E17" s="3"/>
      <c r="H17" s="21"/>
      <c r="I17" s="21"/>
      <c r="M17" s="19"/>
    </row>
    <row r="18" spans="1:19" ht="12.75">
      <c r="A18" s="4">
        <v>501</v>
      </c>
      <c r="B18" t="s">
        <v>9</v>
      </c>
      <c r="C18" t="s">
        <v>18</v>
      </c>
      <c r="D18" s="9">
        <f>5644.17</f>
        <v>5644.17</v>
      </c>
      <c r="E18" s="3" t="s">
        <v>19</v>
      </c>
      <c r="G18" s="23">
        <v>0.020658</v>
      </c>
      <c r="H18" s="23">
        <v>0</v>
      </c>
      <c r="I18" s="21">
        <f aca="true" t="shared" si="1" ref="I18:I26">G18+H18</f>
        <v>0.020658</v>
      </c>
      <c r="K18" s="20" t="s">
        <v>19</v>
      </c>
      <c r="M18" s="19"/>
      <c r="P18" s="3">
        <f aca="true" t="shared" si="2" ref="P18:P26">I18*D18</f>
        <v>116.59726386</v>
      </c>
      <c r="S18" s="10">
        <f aca="true" t="shared" si="3" ref="S18:S26">P18+Q18</f>
        <v>116.59726386</v>
      </c>
    </row>
    <row r="19" spans="1:19" ht="12.75">
      <c r="A19" s="4">
        <v>601</v>
      </c>
      <c r="B19" t="s">
        <v>9</v>
      </c>
      <c r="C19" t="s">
        <v>18</v>
      </c>
      <c r="D19" s="9">
        <f>508.61</f>
        <v>508.61</v>
      </c>
      <c r="E19" s="3"/>
      <c r="G19" s="23">
        <v>0.020658</v>
      </c>
      <c r="H19" s="23">
        <v>0</v>
      </c>
      <c r="I19" s="21">
        <f t="shared" si="1"/>
        <v>0.020658</v>
      </c>
      <c r="K19" s="20" t="s">
        <v>19</v>
      </c>
      <c r="M19" s="19"/>
      <c r="P19" s="3">
        <f t="shared" si="2"/>
        <v>10.50686538</v>
      </c>
      <c r="S19" s="10">
        <f t="shared" si="3"/>
        <v>10.50686538</v>
      </c>
    </row>
    <row r="20" spans="1:19" ht="12.75">
      <c r="A20" s="4" t="s">
        <v>30</v>
      </c>
      <c r="B20" t="s">
        <v>9</v>
      </c>
      <c r="C20" t="s">
        <v>18</v>
      </c>
      <c r="D20" s="9">
        <f>163.2</f>
        <v>163.2</v>
      </c>
      <c r="E20" s="3"/>
      <c r="G20" s="23">
        <v>0.020658</v>
      </c>
      <c r="H20" s="23">
        <v>0</v>
      </c>
      <c r="I20" s="21">
        <f t="shared" si="1"/>
        <v>0.020658</v>
      </c>
      <c r="K20" s="20" t="s">
        <v>19</v>
      </c>
      <c r="M20" s="19"/>
      <c r="P20" s="3">
        <f t="shared" si="2"/>
        <v>3.3713855999999995</v>
      </c>
      <c r="S20" s="10">
        <f t="shared" si="3"/>
        <v>3.3713855999999995</v>
      </c>
    </row>
    <row r="21" spans="1:19" ht="12.75">
      <c r="A21" s="4" t="s">
        <v>12</v>
      </c>
      <c r="B21" t="s">
        <v>36</v>
      </c>
      <c r="C21" t="s">
        <v>18</v>
      </c>
      <c r="D21" s="9">
        <f>-67.23</f>
        <v>-67.23</v>
      </c>
      <c r="E21" s="3"/>
      <c r="G21" s="23">
        <v>0.193248</v>
      </c>
      <c r="H21" s="23">
        <v>0</v>
      </c>
      <c r="I21" s="21">
        <f t="shared" si="1"/>
        <v>0.193248</v>
      </c>
      <c r="K21" s="20" t="s">
        <v>19</v>
      </c>
      <c r="M21" s="19"/>
      <c r="P21" s="3">
        <f t="shared" si="2"/>
        <v>-12.992063040000001</v>
      </c>
      <c r="S21" s="10">
        <f t="shared" si="3"/>
        <v>-12.992063040000001</v>
      </c>
    </row>
    <row r="22" spans="1:19" ht="12.75">
      <c r="A22" s="4" t="s">
        <v>31</v>
      </c>
      <c r="B22" t="s">
        <v>36</v>
      </c>
      <c r="C22" t="s">
        <v>18</v>
      </c>
      <c r="D22" s="9">
        <f>1.64</f>
        <v>1.64</v>
      </c>
      <c r="E22" s="3"/>
      <c r="G22" s="23">
        <v>0.193248</v>
      </c>
      <c r="H22" s="23">
        <v>0</v>
      </c>
      <c r="I22" s="21">
        <f t="shared" si="1"/>
        <v>0.193248</v>
      </c>
      <c r="K22" s="20" t="s">
        <v>19</v>
      </c>
      <c r="M22" s="19"/>
      <c r="P22" s="3">
        <f t="shared" si="2"/>
        <v>0.31692672</v>
      </c>
      <c r="S22" s="10">
        <f t="shared" si="3"/>
        <v>0.31692672</v>
      </c>
    </row>
    <row r="23" spans="1:19" ht="12.75">
      <c r="A23" s="4" t="s">
        <v>13</v>
      </c>
      <c r="B23" t="s">
        <v>36</v>
      </c>
      <c r="C23" t="s">
        <v>18</v>
      </c>
      <c r="D23" s="9">
        <f>7</f>
        <v>7</v>
      </c>
      <c r="E23" s="3"/>
      <c r="G23" s="23">
        <v>0.193248</v>
      </c>
      <c r="H23" s="23">
        <v>0</v>
      </c>
      <c r="I23" s="21">
        <f t="shared" si="1"/>
        <v>0.193248</v>
      </c>
      <c r="K23" s="20" t="s">
        <v>19</v>
      </c>
      <c r="M23" s="19"/>
      <c r="P23" s="3">
        <f t="shared" si="2"/>
        <v>1.352736</v>
      </c>
      <c r="S23" s="10">
        <f>P23+Q23</f>
        <v>1.352736</v>
      </c>
    </row>
    <row r="24" spans="1:19" ht="12.75">
      <c r="A24" s="4" t="s">
        <v>14</v>
      </c>
      <c r="B24" t="s">
        <v>36</v>
      </c>
      <c r="C24" t="s">
        <v>18</v>
      </c>
      <c r="D24" s="9">
        <f>5.28</f>
        <v>5.28</v>
      </c>
      <c r="E24" s="3"/>
      <c r="G24" s="23">
        <v>0.193248</v>
      </c>
      <c r="H24" s="23">
        <v>0</v>
      </c>
      <c r="I24" s="21">
        <f t="shared" si="1"/>
        <v>0.193248</v>
      </c>
      <c r="K24" s="20" t="s">
        <v>19</v>
      </c>
      <c r="M24" s="19"/>
      <c r="P24" s="3">
        <f t="shared" si="2"/>
        <v>1.0203494400000002</v>
      </c>
      <c r="S24" s="10">
        <f t="shared" si="3"/>
        <v>1.0203494400000002</v>
      </c>
    </row>
    <row r="25" spans="1:19" ht="12.75">
      <c r="A25" s="4" t="s">
        <v>23</v>
      </c>
      <c r="B25" t="s">
        <v>36</v>
      </c>
      <c r="C25" t="s">
        <v>18</v>
      </c>
      <c r="D25" s="9">
        <f>0.4</f>
        <v>0.4</v>
      </c>
      <c r="E25" s="3"/>
      <c r="G25" s="23">
        <v>0.193248</v>
      </c>
      <c r="H25" s="23">
        <v>0</v>
      </c>
      <c r="I25" s="21">
        <f t="shared" si="1"/>
        <v>0.193248</v>
      </c>
      <c r="K25" s="20" t="s">
        <v>19</v>
      </c>
      <c r="M25" s="19"/>
      <c r="P25" s="3">
        <f t="shared" si="2"/>
        <v>0.07729920000000001</v>
      </c>
      <c r="S25" s="10">
        <f t="shared" si="3"/>
        <v>0.07729920000000001</v>
      </c>
    </row>
    <row r="26" spans="1:19" ht="12.75">
      <c r="A26" s="4" t="s">
        <v>32</v>
      </c>
      <c r="B26" t="s">
        <v>36</v>
      </c>
      <c r="C26" t="s">
        <v>18</v>
      </c>
      <c r="D26" s="9">
        <f>1.79</f>
        <v>1.79</v>
      </c>
      <c r="E26" s="3"/>
      <c r="G26" s="23">
        <v>0.193248</v>
      </c>
      <c r="H26" s="23">
        <v>0</v>
      </c>
      <c r="I26" s="21">
        <f t="shared" si="1"/>
        <v>0.193248</v>
      </c>
      <c r="K26" s="20" t="s">
        <v>19</v>
      </c>
      <c r="M26" s="19"/>
      <c r="P26" s="3">
        <f t="shared" si="2"/>
        <v>0.34591392</v>
      </c>
      <c r="S26" s="10">
        <f t="shared" si="3"/>
        <v>0.34591392</v>
      </c>
    </row>
    <row r="27" spans="1:19" ht="12.75">
      <c r="A27" s="4" t="s">
        <v>19</v>
      </c>
      <c r="D27" s="11">
        <f>SUM(D18:D26)</f>
        <v>6264.86</v>
      </c>
      <c r="E27" s="12">
        <f>SUM(E18:E26)</f>
        <v>0</v>
      </c>
      <c r="H27" s="21"/>
      <c r="I27" s="21"/>
      <c r="M27" s="19"/>
      <c r="P27" s="13">
        <f>SUM(P18:P26)</f>
        <v>120.59667707999998</v>
      </c>
      <c r="Q27" s="13">
        <f>SUM(Q18:Q26)</f>
        <v>0</v>
      </c>
      <c r="R27" s="13">
        <f>SUM(R18:R26)</f>
        <v>0</v>
      </c>
      <c r="S27" s="13">
        <f>SUM(S18:S26)</f>
        <v>120.59667707999998</v>
      </c>
    </row>
    <row r="28" spans="4:13" ht="12.75">
      <c r="D28" s="14"/>
      <c r="E28" s="15"/>
      <c r="H28" s="21"/>
      <c r="I28" s="21"/>
      <c r="M28" s="19"/>
    </row>
    <row r="29" spans="1:19" ht="12.75">
      <c r="A29" s="4" t="s">
        <v>20</v>
      </c>
      <c r="B29" t="s">
        <v>21</v>
      </c>
      <c r="C29" t="s">
        <v>22</v>
      </c>
      <c r="D29" s="9"/>
      <c r="E29" s="36">
        <f>897.07</f>
        <v>897.07</v>
      </c>
      <c r="G29" s="23" t="s">
        <v>19</v>
      </c>
      <c r="H29" s="23" t="s">
        <v>19</v>
      </c>
      <c r="I29" s="21"/>
      <c r="K29" s="20"/>
      <c r="L29" s="20"/>
      <c r="M29" s="20"/>
      <c r="N29" s="19"/>
      <c r="P29" s="3">
        <v>0</v>
      </c>
      <c r="Q29" s="3">
        <v>0</v>
      </c>
      <c r="S29" s="10">
        <f>P29+Q29</f>
        <v>0</v>
      </c>
    </row>
    <row r="30" spans="4:13" ht="12.75">
      <c r="D30" s="9"/>
      <c r="E30" s="3"/>
      <c r="H30" s="21"/>
      <c r="I30" s="21"/>
      <c r="M30" s="19"/>
    </row>
    <row r="31" spans="1:19" ht="12.75">
      <c r="A31" s="18" t="s">
        <v>33</v>
      </c>
      <c r="B31" t="s">
        <v>24</v>
      </c>
      <c r="C31" t="s">
        <v>25</v>
      </c>
      <c r="D31" s="9">
        <f>171.43</f>
        <v>171.43</v>
      </c>
      <c r="E31" s="3"/>
      <c r="G31" s="23">
        <v>0.171537</v>
      </c>
      <c r="H31" s="23">
        <v>0</v>
      </c>
      <c r="I31" s="21">
        <f>G31+H31</f>
        <v>0.171537</v>
      </c>
      <c r="M31" s="19"/>
      <c r="P31" s="3">
        <f>I31*D31</f>
        <v>29.40658791</v>
      </c>
      <c r="S31" s="10">
        <f>P31+Q31</f>
        <v>29.40658791</v>
      </c>
    </row>
    <row r="32" spans="1:14" ht="12.75">
      <c r="A32"/>
      <c r="G32"/>
      <c r="H32"/>
      <c r="I32" s="32"/>
      <c r="J32"/>
      <c r="K32"/>
      <c r="L32"/>
      <c r="M32"/>
      <c r="N32"/>
    </row>
    <row r="33" spans="4:8" ht="12.75">
      <c r="D33" s="9"/>
      <c r="E33" s="3"/>
      <c r="H33" s="21"/>
    </row>
    <row r="34" spans="4:19" ht="13.5" thickBot="1">
      <c r="D34" s="9"/>
      <c r="E34" s="3"/>
      <c r="G34" s="1" t="s">
        <v>26</v>
      </c>
      <c r="H34" s="21"/>
      <c r="P34" s="16">
        <f>P16+P28+P29+P31</f>
        <v>2954.95183639</v>
      </c>
      <c r="Q34" s="16">
        <f>Q16+Q28+Q29+Q31</f>
        <v>0</v>
      </c>
      <c r="R34" s="16">
        <f>R16+R28+R29+R31</f>
        <v>0</v>
      </c>
      <c r="S34" s="16">
        <f>S16+S28+S29+S31</f>
        <v>2954.95183639</v>
      </c>
    </row>
    <row r="35" spans="1:14" ht="13.5" thickTop="1">
      <c r="A35"/>
      <c r="G35"/>
      <c r="H35"/>
      <c r="I35"/>
      <c r="J35"/>
      <c r="K35"/>
      <c r="L35"/>
      <c r="M35"/>
      <c r="N35"/>
    </row>
    <row r="36" spans="1:14" ht="12.75">
      <c r="A36"/>
      <c r="G36"/>
      <c r="H36"/>
      <c r="I36"/>
      <c r="J36"/>
      <c r="K36"/>
      <c r="L36"/>
      <c r="M36"/>
      <c r="N36"/>
    </row>
    <row r="37" spans="1:14" ht="12.75">
      <c r="A37"/>
      <c r="G37"/>
      <c r="H37"/>
      <c r="I37"/>
      <c r="J37"/>
      <c r="K37"/>
      <c r="L37"/>
      <c r="M37"/>
      <c r="N37"/>
    </row>
    <row r="38" spans="1:14" ht="12.75">
      <c r="A38"/>
      <c r="G38"/>
      <c r="H38"/>
      <c r="I38"/>
      <c r="J38"/>
      <c r="K38"/>
      <c r="L38"/>
      <c r="M38"/>
      <c r="N38"/>
    </row>
    <row r="39" spans="1:14" ht="12.75">
      <c r="A39"/>
      <c r="G39"/>
      <c r="H39"/>
      <c r="I39"/>
      <c r="J39"/>
      <c r="K39"/>
      <c r="L39"/>
      <c r="M39"/>
      <c r="N39"/>
    </row>
  </sheetData>
  <sheetProtection/>
  <mergeCells count="2">
    <mergeCell ref="D4:O4"/>
    <mergeCell ref="D6:E6"/>
  </mergeCells>
  <printOptions/>
  <pageMargins left="0.25" right="0.25" top="0.25" bottom="0.25" header="0.5" footer="0.5"/>
  <pageSetup fitToHeight="1" fitToWidth="1"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5.421875" style="4" customWidth="1"/>
    <col min="2" max="2" width="10.8515625" style="0" customWidth="1"/>
    <col min="3" max="3" width="8.28125" style="0" customWidth="1"/>
    <col min="4" max="4" width="20.140625" style="0" bestFit="1" customWidth="1"/>
    <col min="5" max="5" width="14.00390625" style="0" bestFit="1" customWidth="1"/>
    <col min="6" max="6" width="2.421875" style="0" customWidth="1"/>
    <col min="7" max="7" width="13.421875" style="1" bestFit="1" customWidth="1"/>
    <col min="8" max="8" width="11.00390625" style="1" customWidth="1"/>
    <col min="9" max="9" width="10.8515625" style="1" customWidth="1"/>
    <col min="10" max="10" width="2.8515625" style="1" customWidth="1"/>
    <col min="11" max="11" width="11.28125" style="2" customWidth="1"/>
    <col min="12" max="13" width="10.28125" style="3" bestFit="1" customWidth="1"/>
    <col min="14" max="14" width="9.8515625" style="3" customWidth="1"/>
    <col min="15" max="15" width="2.8515625" style="0" customWidth="1"/>
    <col min="16" max="16" width="11.28125" style="0" bestFit="1" customWidth="1"/>
    <col min="17" max="17" width="12.28125" style="0" bestFit="1" customWidth="1"/>
    <col min="18" max="18" width="2.00390625" style="0" customWidth="1"/>
    <col min="19" max="19" width="12.28125" style="0" bestFit="1" customWidth="1"/>
  </cols>
  <sheetData>
    <row r="1" ht="12.75">
      <c r="A1" s="17" t="s">
        <v>63</v>
      </c>
    </row>
    <row r="2" ht="12.75">
      <c r="A2" s="17" t="s">
        <v>68</v>
      </c>
    </row>
    <row r="4" spans="4:15" ht="12.75">
      <c r="D4" s="57" t="s">
        <v>34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4:15" ht="12.75"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4:14" s="27" customFormat="1" ht="12.75">
      <c r="D6" s="58" t="s">
        <v>39</v>
      </c>
      <c r="E6" s="58"/>
      <c r="G6" s="29">
        <v>2004</v>
      </c>
      <c r="H6" s="29" t="s">
        <v>44</v>
      </c>
      <c r="I6" s="6" t="s">
        <v>7</v>
      </c>
      <c r="J6" s="28"/>
      <c r="K6" s="7" t="s">
        <v>7</v>
      </c>
      <c r="L6" s="29">
        <v>2001</v>
      </c>
      <c r="M6" s="29">
        <v>2002</v>
      </c>
      <c r="N6" s="29" t="s">
        <v>38</v>
      </c>
    </row>
    <row r="7" spans="4:19" s="5" customFormat="1" ht="12.75">
      <c r="D7" s="5" t="s">
        <v>0</v>
      </c>
      <c r="E7" s="5" t="s">
        <v>1</v>
      </c>
      <c r="G7" s="6" t="s">
        <v>2</v>
      </c>
      <c r="H7" s="6" t="s">
        <v>2</v>
      </c>
      <c r="I7" s="6" t="s">
        <v>2</v>
      </c>
      <c r="J7" s="6"/>
      <c r="K7" s="7" t="s">
        <v>3</v>
      </c>
      <c r="L7" s="8" t="s">
        <v>4</v>
      </c>
      <c r="M7" s="8" t="s">
        <v>4</v>
      </c>
      <c r="N7" s="8" t="s">
        <v>4</v>
      </c>
      <c r="P7" s="5" t="s">
        <v>5</v>
      </c>
      <c r="Q7" s="5" t="s">
        <v>6</v>
      </c>
      <c r="S7" s="5" t="s">
        <v>7</v>
      </c>
    </row>
    <row r="8" spans="1:19" ht="12.75">
      <c r="A8" s="4" t="s">
        <v>27</v>
      </c>
      <c r="B8" t="s">
        <v>9</v>
      </c>
      <c r="C8" t="s">
        <v>8</v>
      </c>
      <c r="D8" s="22" t="s">
        <v>19</v>
      </c>
      <c r="E8" s="24">
        <f>212.88</f>
        <v>212.88</v>
      </c>
      <c r="G8" s="23" t="s">
        <v>19</v>
      </c>
      <c r="H8" s="21"/>
      <c r="K8" s="25"/>
      <c r="L8" s="20"/>
      <c r="M8" s="20"/>
      <c r="N8" s="19"/>
      <c r="P8" s="3">
        <v>0</v>
      </c>
      <c r="Q8" s="3">
        <v>0</v>
      </c>
      <c r="S8" s="10">
        <f>P8+Q8</f>
        <v>0</v>
      </c>
    </row>
    <row r="9" spans="1:19" ht="12.75">
      <c r="A9" s="4" t="s">
        <v>11</v>
      </c>
      <c r="B9" t="s">
        <v>10</v>
      </c>
      <c r="C9" t="s">
        <v>8</v>
      </c>
      <c r="D9" s="22">
        <f>2738405.09</f>
        <v>2738405.09</v>
      </c>
      <c r="E9" s="24">
        <f>19021.71</f>
        <v>19021.71</v>
      </c>
      <c r="G9" s="23">
        <v>0.000454</v>
      </c>
      <c r="H9" s="23">
        <v>0</v>
      </c>
      <c r="I9" s="21">
        <f>G9+H9</f>
        <v>0.000454</v>
      </c>
      <c r="K9" s="25"/>
      <c r="L9" s="20"/>
      <c r="M9" s="20"/>
      <c r="N9" s="19"/>
      <c r="P9" s="3">
        <f>I9*D9</f>
        <v>1243.2359108599999</v>
      </c>
      <c r="Q9" s="3">
        <v>0</v>
      </c>
      <c r="S9" s="10">
        <f aca="true" t="shared" si="0" ref="S9:S15">P9+Q9</f>
        <v>1243.2359108599999</v>
      </c>
    </row>
    <row r="10" spans="1:19" ht="12.75">
      <c r="A10" s="4" t="s">
        <v>28</v>
      </c>
      <c r="B10" t="s">
        <v>10</v>
      </c>
      <c r="C10" t="s">
        <v>8</v>
      </c>
      <c r="D10" s="22">
        <f>7015908.28</f>
        <v>7015908.28</v>
      </c>
      <c r="E10" s="24">
        <f>87087.75</f>
        <v>87087.75</v>
      </c>
      <c r="G10" s="23">
        <v>0.000454</v>
      </c>
      <c r="H10" s="23">
        <v>0</v>
      </c>
      <c r="I10" s="21">
        <f>G10+H10</f>
        <v>0.000454</v>
      </c>
      <c r="K10" s="25"/>
      <c r="L10" s="20"/>
      <c r="M10" s="20"/>
      <c r="N10" s="19"/>
      <c r="P10" s="3">
        <f>I10*D10</f>
        <v>3185.22235912</v>
      </c>
      <c r="Q10" s="3">
        <v>0</v>
      </c>
      <c r="S10" s="10">
        <f t="shared" si="0"/>
        <v>3185.22235912</v>
      </c>
    </row>
    <row r="11" spans="1:19" ht="12.75">
      <c r="A11" s="4" t="s">
        <v>17</v>
      </c>
      <c r="B11" t="s">
        <v>35</v>
      </c>
      <c r="C11" t="s">
        <v>8</v>
      </c>
      <c r="D11" s="22">
        <f>2202851.02</f>
        <v>2202851.02</v>
      </c>
      <c r="E11" s="24">
        <f>10564.76</f>
        <v>10564.76</v>
      </c>
      <c r="G11" s="23">
        <v>0.000319</v>
      </c>
      <c r="H11" s="23">
        <v>0</v>
      </c>
      <c r="I11" s="21">
        <f>G11+H11</f>
        <v>0.000319</v>
      </c>
      <c r="K11" s="25"/>
      <c r="L11" s="20"/>
      <c r="M11" s="20"/>
      <c r="N11" s="19"/>
      <c r="P11" s="3">
        <f>I11*D11</f>
        <v>702.70947538</v>
      </c>
      <c r="Q11" s="3">
        <v>0</v>
      </c>
      <c r="S11" s="10">
        <f t="shared" si="0"/>
        <v>702.70947538</v>
      </c>
    </row>
    <row r="12" spans="1:19" ht="12.75">
      <c r="A12" s="4" t="s">
        <v>15</v>
      </c>
      <c r="B12" t="s">
        <v>35</v>
      </c>
      <c r="C12" t="s">
        <v>8</v>
      </c>
      <c r="D12" s="22">
        <f>207169.47</f>
        <v>207169.47</v>
      </c>
      <c r="E12" s="24">
        <f>2162.44</f>
        <v>2162.44</v>
      </c>
      <c r="G12" s="23">
        <v>0.000319</v>
      </c>
      <c r="H12" s="23">
        <v>0</v>
      </c>
      <c r="I12" s="21">
        <f>G12+H12</f>
        <v>0.000319</v>
      </c>
      <c r="K12" s="25"/>
      <c r="L12" s="20"/>
      <c r="M12" s="20"/>
      <c r="N12" s="19"/>
      <c r="P12" s="3">
        <f>I12*D12</f>
        <v>66.08706093</v>
      </c>
      <c r="Q12" s="3">
        <v>0</v>
      </c>
      <c r="S12" s="10">
        <f t="shared" si="0"/>
        <v>66.08706093</v>
      </c>
    </row>
    <row r="13" spans="1:19" ht="12.75">
      <c r="A13" s="4" t="s">
        <v>16</v>
      </c>
      <c r="B13" t="s">
        <v>9</v>
      </c>
      <c r="C13" t="s">
        <v>8</v>
      </c>
      <c r="D13" s="22">
        <v>0</v>
      </c>
      <c r="E13" s="35">
        <f>3293.98</f>
        <v>3293.98</v>
      </c>
      <c r="G13" s="23" t="s">
        <v>19</v>
      </c>
      <c r="H13" s="21"/>
      <c r="I13" s="21"/>
      <c r="K13" s="25"/>
      <c r="L13" s="20"/>
      <c r="M13" s="20"/>
      <c r="N13" s="19"/>
      <c r="P13" s="3">
        <v>0</v>
      </c>
      <c r="Q13" s="3">
        <v>0</v>
      </c>
      <c r="S13" s="10">
        <f t="shared" si="0"/>
        <v>0</v>
      </c>
    </row>
    <row r="14" spans="1:19" ht="12.75">
      <c r="A14" s="4" t="s">
        <v>29</v>
      </c>
      <c r="B14" t="s">
        <v>9</v>
      </c>
      <c r="C14" t="s">
        <v>8</v>
      </c>
      <c r="D14" s="22">
        <v>0</v>
      </c>
      <c r="E14" s="35">
        <f>309.12</f>
        <v>309.12</v>
      </c>
      <c r="G14" s="23" t="s">
        <v>19</v>
      </c>
      <c r="H14" s="21"/>
      <c r="I14" s="21"/>
      <c r="K14" s="25"/>
      <c r="L14" s="20"/>
      <c r="M14" s="20"/>
      <c r="N14" s="19"/>
      <c r="P14" s="3">
        <v>0</v>
      </c>
      <c r="Q14" s="3">
        <v>0</v>
      </c>
      <c r="S14" s="10">
        <f t="shared" si="0"/>
        <v>0</v>
      </c>
    </row>
    <row r="15" spans="1:19" ht="12.75">
      <c r="A15" s="4" t="s">
        <v>41</v>
      </c>
      <c r="B15" t="s">
        <v>35</v>
      </c>
      <c r="C15" t="s">
        <v>8</v>
      </c>
      <c r="D15" s="22">
        <f>53819.26</f>
        <v>53819.26</v>
      </c>
      <c r="E15" s="24">
        <f>106.44</f>
        <v>106.44</v>
      </c>
      <c r="G15" s="23">
        <v>0.000319</v>
      </c>
      <c r="H15" s="23">
        <v>0</v>
      </c>
      <c r="I15" s="21">
        <f>G15+H15</f>
        <v>0.000319</v>
      </c>
      <c r="K15" s="25"/>
      <c r="L15" s="20"/>
      <c r="M15" s="20"/>
      <c r="N15" s="19"/>
      <c r="P15" s="3">
        <f>I15*D15</f>
        <v>17.16834394</v>
      </c>
      <c r="Q15" s="3">
        <v>0</v>
      </c>
      <c r="S15" s="10">
        <f t="shared" si="0"/>
        <v>17.16834394</v>
      </c>
    </row>
    <row r="16" spans="4:19" ht="12.75">
      <c r="D16" s="11">
        <f>SUM(D9:D15)</f>
        <v>12218153.120000001</v>
      </c>
      <c r="E16" s="11">
        <f>SUM(E8:E15)</f>
        <v>122759.07999999999</v>
      </c>
      <c r="H16" s="21"/>
      <c r="I16" s="21"/>
      <c r="M16" s="19"/>
      <c r="P16" s="13">
        <f>SUM(P8:P15)</f>
        <v>5214.42315023</v>
      </c>
      <c r="Q16" s="13">
        <f>SUM(Q8:Q15)</f>
        <v>0</v>
      </c>
      <c r="R16" s="13">
        <f>SUM(R8:R15)</f>
        <v>0</v>
      </c>
      <c r="S16" s="13">
        <f>SUM(S8:S15)</f>
        <v>5214.42315023</v>
      </c>
    </row>
    <row r="17" spans="4:13" ht="12.75">
      <c r="D17" s="9"/>
      <c r="E17" s="3"/>
      <c r="H17" s="21"/>
      <c r="I17" s="21"/>
      <c r="M17" s="19"/>
    </row>
    <row r="18" spans="1:19" ht="12.75">
      <c r="A18" s="4">
        <v>501</v>
      </c>
      <c r="B18" t="s">
        <v>9</v>
      </c>
      <c r="C18" t="s">
        <v>18</v>
      </c>
      <c r="D18" s="9">
        <f>12214.23</f>
        <v>12214.23</v>
      </c>
      <c r="E18" s="3" t="s">
        <v>19</v>
      </c>
      <c r="G18" s="23">
        <v>0.020658</v>
      </c>
      <c r="H18" s="23">
        <v>0</v>
      </c>
      <c r="I18" s="21">
        <f aca="true" t="shared" si="1" ref="I18:I26">G18+H18</f>
        <v>0.020658</v>
      </c>
      <c r="K18" s="20" t="s">
        <v>19</v>
      </c>
      <c r="M18" s="19"/>
      <c r="P18" s="3">
        <f aca="true" t="shared" si="2" ref="P18:P26">I18*D18</f>
        <v>252.32156333999998</v>
      </c>
      <c r="S18" s="10">
        <f aca="true" t="shared" si="3" ref="S18:S26">P18+Q18</f>
        <v>252.32156333999998</v>
      </c>
    </row>
    <row r="19" spans="1:19" ht="12.75">
      <c r="A19" s="4">
        <v>601</v>
      </c>
      <c r="B19" t="s">
        <v>9</v>
      </c>
      <c r="C19" t="s">
        <v>18</v>
      </c>
      <c r="D19" s="9">
        <f>1527.03</f>
        <v>1527.03</v>
      </c>
      <c r="E19" s="3"/>
      <c r="G19" s="23">
        <v>0.020658</v>
      </c>
      <c r="H19" s="23">
        <v>0</v>
      </c>
      <c r="I19" s="21">
        <f t="shared" si="1"/>
        <v>0.020658</v>
      </c>
      <c r="K19" s="20" t="s">
        <v>19</v>
      </c>
      <c r="M19" s="19"/>
      <c r="P19" s="3">
        <f t="shared" si="2"/>
        <v>31.545385739999997</v>
      </c>
      <c r="S19" s="10">
        <f t="shared" si="3"/>
        <v>31.545385739999997</v>
      </c>
    </row>
    <row r="20" spans="1:19" ht="12.75">
      <c r="A20" s="4" t="s">
        <v>30</v>
      </c>
      <c r="B20" t="s">
        <v>9</v>
      </c>
      <c r="C20" t="s">
        <v>18</v>
      </c>
      <c r="D20">
        <f>357.87</f>
        <v>357.87</v>
      </c>
      <c r="E20" s="3"/>
      <c r="G20" s="23">
        <v>0.020658</v>
      </c>
      <c r="H20" s="23">
        <v>0</v>
      </c>
      <c r="I20" s="21">
        <f t="shared" si="1"/>
        <v>0.020658</v>
      </c>
      <c r="K20" s="20" t="s">
        <v>19</v>
      </c>
      <c r="M20" s="19"/>
      <c r="P20" s="3">
        <f t="shared" si="2"/>
        <v>7.3928784599999995</v>
      </c>
      <c r="S20" s="10">
        <f t="shared" si="3"/>
        <v>7.3928784599999995</v>
      </c>
    </row>
    <row r="21" spans="1:19" ht="12.75">
      <c r="A21" s="4" t="s">
        <v>12</v>
      </c>
      <c r="B21" t="s">
        <v>36</v>
      </c>
      <c r="C21" t="s">
        <v>18</v>
      </c>
      <c r="D21">
        <f>7.19</f>
        <v>7.19</v>
      </c>
      <c r="E21" s="3"/>
      <c r="G21" s="23">
        <v>0.193248</v>
      </c>
      <c r="H21" s="23">
        <v>0</v>
      </c>
      <c r="I21" s="21">
        <f t="shared" si="1"/>
        <v>0.193248</v>
      </c>
      <c r="K21" s="20" t="s">
        <v>19</v>
      </c>
      <c r="M21" s="19"/>
      <c r="P21" s="3">
        <f t="shared" si="2"/>
        <v>1.3894531200000002</v>
      </c>
      <c r="S21" s="10">
        <f t="shared" si="3"/>
        <v>1.3894531200000002</v>
      </c>
    </row>
    <row r="22" spans="1:19" ht="12.75">
      <c r="A22" s="4" t="s">
        <v>31</v>
      </c>
      <c r="B22" t="s">
        <v>36</v>
      </c>
      <c r="C22" t="s">
        <v>18</v>
      </c>
      <c r="D22">
        <f>2.86</f>
        <v>2.86</v>
      </c>
      <c r="E22" s="3"/>
      <c r="G22" s="23">
        <v>0.193248</v>
      </c>
      <c r="H22" s="23">
        <v>0</v>
      </c>
      <c r="I22" s="21">
        <f t="shared" si="1"/>
        <v>0.193248</v>
      </c>
      <c r="K22" s="20" t="s">
        <v>19</v>
      </c>
      <c r="M22" s="19"/>
      <c r="P22" s="3">
        <f t="shared" si="2"/>
        <v>0.55268928</v>
      </c>
      <c r="S22" s="10">
        <f t="shared" si="3"/>
        <v>0.55268928</v>
      </c>
    </row>
    <row r="23" spans="1:19" ht="12.75">
      <c r="A23" s="4" t="s">
        <v>13</v>
      </c>
      <c r="B23" t="s">
        <v>36</v>
      </c>
      <c r="C23" t="s">
        <v>18</v>
      </c>
      <c r="D23">
        <f>8.61</f>
        <v>8.61</v>
      </c>
      <c r="E23" s="3"/>
      <c r="G23" s="23">
        <v>0.193248</v>
      </c>
      <c r="H23" s="23">
        <v>0</v>
      </c>
      <c r="I23" s="21">
        <f t="shared" si="1"/>
        <v>0.193248</v>
      </c>
      <c r="K23" s="20" t="s">
        <v>19</v>
      </c>
      <c r="M23" s="19"/>
      <c r="P23" s="3">
        <f t="shared" si="2"/>
        <v>1.66386528</v>
      </c>
      <c r="S23" s="10">
        <f>P23+Q23</f>
        <v>1.66386528</v>
      </c>
    </row>
    <row r="24" spans="1:19" ht="12.75">
      <c r="A24" s="4" t="s">
        <v>14</v>
      </c>
      <c r="B24" t="s">
        <v>36</v>
      </c>
      <c r="C24" t="s">
        <v>18</v>
      </c>
      <c r="D24">
        <f>7.06</f>
        <v>7.06</v>
      </c>
      <c r="E24" s="3"/>
      <c r="G24" s="23">
        <v>0.193248</v>
      </c>
      <c r="H24" s="23">
        <v>0</v>
      </c>
      <c r="I24" s="21">
        <f t="shared" si="1"/>
        <v>0.193248</v>
      </c>
      <c r="K24" s="20" t="s">
        <v>19</v>
      </c>
      <c r="M24" s="19"/>
      <c r="P24" s="3">
        <f t="shared" si="2"/>
        <v>1.36433088</v>
      </c>
      <c r="S24" s="10">
        <f t="shared" si="3"/>
        <v>1.36433088</v>
      </c>
    </row>
    <row r="25" spans="1:19" ht="12.75">
      <c r="A25" s="4" t="s">
        <v>23</v>
      </c>
      <c r="B25" t="s">
        <v>36</v>
      </c>
      <c r="C25" t="s">
        <v>18</v>
      </c>
      <c r="D25">
        <f>0.88</f>
        <v>0.88</v>
      </c>
      <c r="E25" s="3"/>
      <c r="G25" s="23">
        <v>0.193248</v>
      </c>
      <c r="H25" s="23">
        <v>0</v>
      </c>
      <c r="I25" s="21">
        <f t="shared" si="1"/>
        <v>0.193248</v>
      </c>
      <c r="K25" s="20" t="s">
        <v>19</v>
      </c>
      <c r="M25" s="19"/>
      <c r="P25" s="3">
        <f t="shared" si="2"/>
        <v>0.17005824</v>
      </c>
      <c r="S25" s="10">
        <f t="shared" si="3"/>
        <v>0.17005824</v>
      </c>
    </row>
    <row r="26" spans="1:19" ht="12.75">
      <c r="A26" s="4" t="s">
        <v>32</v>
      </c>
      <c r="B26" t="s">
        <v>36</v>
      </c>
      <c r="C26" t="s">
        <v>18</v>
      </c>
      <c r="D26">
        <f>2.82</f>
        <v>2.82</v>
      </c>
      <c r="E26" s="3"/>
      <c r="G26" s="23">
        <v>0.193248</v>
      </c>
      <c r="H26" s="23">
        <v>0</v>
      </c>
      <c r="I26" s="21">
        <f t="shared" si="1"/>
        <v>0.193248</v>
      </c>
      <c r="K26" s="20" t="s">
        <v>19</v>
      </c>
      <c r="M26" s="19"/>
      <c r="P26" s="3">
        <f t="shared" si="2"/>
        <v>0.54495936</v>
      </c>
      <c r="S26" s="10">
        <f t="shared" si="3"/>
        <v>0.54495936</v>
      </c>
    </row>
    <row r="27" spans="1:19" ht="12.75">
      <c r="A27" s="4" t="s">
        <v>19</v>
      </c>
      <c r="D27" s="11">
        <f>SUM(D18:D26)</f>
        <v>14128.550000000001</v>
      </c>
      <c r="E27" s="12">
        <f>SUM(E18:E26)</f>
        <v>0</v>
      </c>
      <c r="H27" s="21"/>
      <c r="I27" s="21"/>
      <c r="M27" s="19"/>
      <c r="P27" s="13">
        <f>SUM(P18:P26)</f>
        <v>296.9451837</v>
      </c>
      <c r="Q27" s="13">
        <f>SUM(Q18:Q26)</f>
        <v>0</v>
      </c>
      <c r="R27" s="13">
        <f>SUM(R18:R26)</f>
        <v>0</v>
      </c>
      <c r="S27" s="13">
        <f>SUM(S18:S26)</f>
        <v>296.9451837</v>
      </c>
    </row>
    <row r="28" spans="4:13" ht="12.75">
      <c r="D28" s="14"/>
      <c r="E28" s="15"/>
      <c r="H28" s="21"/>
      <c r="I28" s="21"/>
      <c r="M28" s="19"/>
    </row>
    <row r="29" spans="1:19" ht="12.75">
      <c r="A29" s="4" t="s">
        <v>20</v>
      </c>
      <c r="B29" t="s">
        <v>21</v>
      </c>
      <c r="C29" t="s">
        <v>22</v>
      </c>
      <c r="D29" s="9"/>
      <c r="E29" s="36">
        <f>1794.14</f>
        <v>1794.14</v>
      </c>
      <c r="G29" s="23" t="s">
        <v>19</v>
      </c>
      <c r="H29" s="23" t="s">
        <v>19</v>
      </c>
      <c r="I29" s="21"/>
      <c r="K29" s="20"/>
      <c r="L29" s="20"/>
      <c r="M29" s="20"/>
      <c r="N29" s="19"/>
      <c r="P29" s="3">
        <v>0</v>
      </c>
      <c r="Q29" s="3">
        <v>0</v>
      </c>
      <c r="S29" s="10">
        <f>P29+Q29</f>
        <v>0</v>
      </c>
    </row>
    <row r="30" spans="4:13" ht="12.75">
      <c r="D30" s="9"/>
      <c r="E30" s="3"/>
      <c r="H30" s="21"/>
      <c r="I30" s="21"/>
      <c r="M30" s="19"/>
    </row>
    <row r="31" spans="1:19" ht="12.75">
      <c r="A31" s="18" t="s">
        <v>33</v>
      </c>
      <c r="B31" t="s">
        <v>24</v>
      </c>
      <c r="C31" t="s">
        <v>25</v>
      </c>
      <c r="D31" s="9">
        <f>514.28</f>
        <v>514.28</v>
      </c>
      <c r="E31" s="3"/>
      <c r="G31" s="23">
        <v>0.171537</v>
      </c>
      <c r="H31" s="23">
        <v>0</v>
      </c>
      <c r="I31" s="21">
        <f>G31+H31</f>
        <v>0.171537</v>
      </c>
      <c r="M31" s="19"/>
      <c r="P31" s="3">
        <f>I31*D31</f>
        <v>88.21804836</v>
      </c>
      <c r="S31" s="10">
        <f>P31+Q31</f>
        <v>88.21804836</v>
      </c>
    </row>
    <row r="32" spans="1:14" ht="12.75">
      <c r="A32"/>
      <c r="G32"/>
      <c r="H32"/>
      <c r="I32" s="32"/>
      <c r="J32"/>
      <c r="K32"/>
      <c r="L32"/>
      <c r="M32"/>
      <c r="N32"/>
    </row>
    <row r="33" spans="4:8" ht="12.75">
      <c r="D33" s="9"/>
      <c r="E33" s="3"/>
      <c r="H33" s="21"/>
    </row>
    <row r="34" spans="4:19" ht="13.5" thickBot="1">
      <c r="D34" s="9"/>
      <c r="E34" s="3"/>
      <c r="G34" s="1" t="s">
        <v>26</v>
      </c>
      <c r="H34" s="21"/>
      <c r="P34" s="16">
        <f>P16+P28+P29+P31</f>
        <v>5302.6411985899995</v>
      </c>
      <c r="Q34" s="16">
        <f>Q16+Q28+Q29+Q31</f>
        <v>0</v>
      </c>
      <c r="R34" s="16">
        <f>R16+R28+R29+R31</f>
        <v>0</v>
      </c>
      <c r="S34" s="16">
        <f>S16+S28+S29+S31</f>
        <v>5302.6411985899995</v>
      </c>
    </row>
    <row r="35" spans="1:14" ht="13.5" thickTop="1">
      <c r="A35"/>
      <c r="G35"/>
      <c r="H35"/>
      <c r="I35"/>
      <c r="J35"/>
      <c r="K35"/>
      <c r="L35"/>
      <c r="M35"/>
      <c r="N35"/>
    </row>
    <row r="36" spans="1:14" ht="12.75">
      <c r="A36"/>
      <c r="G36"/>
      <c r="H36"/>
      <c r="I36"/>
      <c r="J36"/>
      <c r="K36"/>
      <c r="L36"/>
      <c r="M36"/>
      <c r="N36"/>
    </row>
    <row r="37" spans="1:14" ht="12.75">
      <c r="A37"/>
      <c r="G37"/>
      <c r="H37"/>
      <c r="I37"/>
      <c r="J37"/>
      <c r="K37"/>
      <c r="L37"/>
      <c r="M37"/>
      <c r="N37"/>
    </row>
    <row r="38" spans="1:14" ht="12.75">
      <c r="A38"/>
      <c r="G38"/>
      <c r="H38"/>
      <c r="I38"/>
      <c r="J38"/>
      <c r="K38"/>
      <c r="L38"/>
      <c r="M38"/>
      <c r="N38"/>
    </row>
    <row r="39" spans="1:14" ht="12.75">
      <c r="A39"/>
      <c r="G39"/>
      <c r="H39"/>
      <c r="I39"/>
      <c r="J39"/>
      <c r="K39"/>
      <c r="L39"/>
      <c r="M39"/>
      <c r="N39"/>
    </row>
  </sheetData>
  <sheetProtection/>
  <mergeCells count="2">
    <mergeCell ref="D4:O4"/>
    <mergeCell ref="D6:E6"/>
  </mergeCells>
  <printOptions/>
  <pageMargins left="0.25" right="0.25" top="0.25" bottom="0.25" header="0.25" footer="0.5"/>
  <pageSetup fitToHeight="1" fitToWidth="1"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5.421875" style="4" customWidth="1"/>
    <col min="2" max="2" width="10.8515625" style="0" customWidth="1"/>
    <col min="3" max="3" width="8.28125" style="0" customWidth="1"/>
    <col min="4" max="4" width="20.140625" style="0" bestFit="1" customWidth="1"/>
    <col min="5" max="5" width="14.00390625" style="0" bestFit="1" customWidth="1"/>
    <col min="6" max="6" width="2.421875" style="0" customWidth="1"/>
    <col min="7" max="7" width="13.421875" style="1" bestFit="1" customWidth="1"/>
    <col min="8" max="8" width="11.00390625" style="1" customWidth="1"/>
    <col min="9" max="9" width="10.8515625" style="1" customWidth="1"/>
    <col min="10" max="10" width="2.8515625" style="1" customWidth="1"/>
    <col min="11" max="11" width="11.28125" style="2" customWidth="1"/>
    <col min="12" max="13" width="10.28125" style="3" bestFit="1" customWidth="1"/>
    <col min="14" max="14" width="9.8515625" style="3" customWidth="1"/>
    <col min="15" max="15" width="2.8515625" style="0" customWidth="1"/>
    <col min="16" max="16" width="11.421875" style="0" bestFit="1" customWidth="1"/>
    <col min="17" max="17" width="12.28125" style="0" bestFit="1" customWidth="1"/>
    <col min="18" max="18" width="2.00390625" style="0" customWidth="1"/>
    <col min="19" max="19" width="12.28125" style="0" bestFit="1" customWidth="1"/>
  </cols>
  <sheetData>
    <row r="1" ht="12.75">
      <c r="A1" s="17" t="s">
        <v>63</v>
      </c>
    </row>
    <row r="2" ht="12.75">
      <c r="A2" s="17" t="s">
        <v>47</v>
      </c>
    </row>
    <row r="4" spans="4:15" ht="12.75">
      <c r="D4" s="57" t="s">
        <v>66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4:15" ht="12.75"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4:14" s="27" customFormat="1" ht="12.75">
      <c r="D6" s="58" t="s">
        <v>39</v>
      </c>
      <c r="E6" s="58"/>
      <c r="G6" s="29">
        <v>2004</v>
      </c>
      <c r="H6" s="29" t="s">
        <v>44</v>
      </c>
      <c r="I6" s="6" t="s">
        <v>7</v>
      </c>
      <c r="J6" s="28"/>
      <c r="K6" s="7" t="s">
        <v>7</v>
      </c>
      <c r="L6" s="29">
        <v>2001</v>
      </c>
      <c r="M6" s="29">
        <v>2002</v>
      </c>
      <c r="N6" s="29" t="s">
        <v>38</v>
      </c>
    </row>
    <row r="7" spans="4:19" s="5" customFormat="1" ht="12.75">
      <c r="D7" s="5" t="s">
        <v>0</v>
      </c>
      <c r="E7" s="5" t="s">
        <v>1</v>
      </c>
      <c r="G7" s="6" t="s">
        <v>2</v>
      </c>
      <c r="H7" s="6" t="s">
        <v>2</v>
      </c>
      <c r="I7" s="6" t="s">
        <v>2</v>
      </c>
      <c r="J7" s="6"/>
      <c r="K7" s="7" t="s">
        <v>3</v>
      </c>
      <c r="L7" s="8" t="s">
        <v>4</v>
      </c>
      <c r="M7" s="8" t="s">
        <v>4</v>
      </c>
      <c r="N7" s="8" t="s">
        <v>4</v>
      </c>
      <c r="P7" s="5" t="s">
        <v>5</v>
      </c>
      <c r="Q7" s="5" t="s">
        <v>6</v>
      </c>
      <c r="S7" s="5" t="s">
        <v>7</v>
      </c>
    </row>
    <row r="8" spans="1:19" ht="12.75">
      <c r="A8" s="4" t="s">
        <v>27</v>
      </c>
      <c r="B8" t="s">
        <v>9</v>
      </c>
      <c r="C8" t="s">
        <v>8</v>
      </c>
      <c r="D8" s="22" t="s">
        <v>19</v>
      </c>
      <c r="E8" s="24">
        <v>80.86</v>
      </c>
      <c r="G8" s="23" t="s">
        <v>19</v>
      </c>
      <c r="H8" s="21"/>
      <c r="K8" s="25"/>
      <c r="L8" s="20"/>
      <c r="M8" s="20"/>
      <c r="N8" s="19"/>
      <c r="P8" s="3">
        <v>0</v>
      </c>
      <c r="Q8" s="3">
        <v>0</v>
      </c>
      <c r="S8" s="10">
        <f>P8+Q8</f>
        <v>0</v>
      </c>
    </row>
    <row r="9" spans="1:19" ht="12.75">
      <c r="A9" s="4" t="s">
        <v>11</v>
      </c>
      <c r="B9" t="s">
        <v>10</v>
      </c>
      <c r="C9" t="s">
        <v>8</v>
      </c>
      <c r="D9" s="22">
        <f>2929233.63+253035.71</f>
        <v>3182269.34</v>
      </c>
      <c r="E9" s="24">
        <f>38435.83+2866.5</f>
        <v>41302.33</v>
      </c>
      <c r="G9" s="23">
        <v>0.0003</v>
      </c>
      <c r="H9" s="23">
        <v>0</v>
      </c>
      <c r="I9" s="21">
        <f>G9+H9</f>
        <v>0.0003</v>
      </c>
      <c r="K9" s="25"/>
      <c r="L9" s="20"/>
      <c r="M9" s="20"/>
      <c r="N9" s="19"/>
      <c r="P9" s="3">
        <f>I9*D9</f>
        <v>954.6808019999999</v>
      </c>
      <c r="Q9" s="3">
        <v>0</v>
      </c>
      <c r="S9" s="10">
        <f aca="true" t="shared" si="0" ref="S9:S15">P9+Q9</f>
        <v>954.6808019999999</v>
      </c>
    </row>
    <row r="10" spans="1:19" ht="12.75">
      <c r="A10" s="4" t="s">
        <v>28</v>
      </c>
      <c r="B10" t="s">
        <v>10</v>
      </c>
      <c r="C10" t="s">
        <v>8</v>
      </c>
      <c r="D10" s="22">
        <f>9604324.4+324755.64</f>
        <v>9929080.040000001</v>
      </c>
      <c r="E10" s="24">
        <f>175358.81+5695.57</f>
        <v>181054.38</v>
      </c>
      <c r="G10" s="23">
        <v>0.0003</v>
      </c>
      <c r="H10" s="23">
        <v>0</v>
      </c>
      <c r="I10" s="21">
        <f>G10+H10</f>
        <v>0.0003</v>
      </c>
      <c r="K10" s="25"/>
      <c r="L10" s="20"/>
      <c r="M10" s="20"/>
      <c r="N10" s="19"/>
      <c r="P10" s="3">
        <f>I10*D10</f>
        <v>2978.724012</v>
      </c>
      <c r="Q10" s="3">
        <v>0</v>
      </c>
      <c r="S10" s="10">
        <f t="shared" si="0"/>
        <v>2978.724012</v>
      </c>
    </row>
    <row r="11" spans="1:19" ht="12.75">
      <c r="A11" s="4" t="s">
        <v>17</v>
      </c>
      <c r="B11" t="s">
        <v>35</v>
      </c>
      <c r="C11" t="s">
        <v>8</v>
      </c>
      <c r="D11" s="22">
        <f>4074088.12+261619.31</f>
        <v>4335707.43</v>
      </c>
      <c r="E11" s="24">
        <f>21750.91+1435.69</f>
        <v>23186.6</v>
      </c>
      <c r="G11" s="23">
        <v>0.0002</v>
      </c>
      <c r="H11" s="23">
        <v>0</v>
      </c>
      <c r="I11" s="21">
        <f>G11+H11</f>
        <v>0.0002</v>
      </c>
      <c r="K11" s="25"/>
      <c r="L11" s="20"/>
      <c r="M11" s="20"/>
      <c r="N11" s="19"/>
      <c r="P11" s="3">
        <f>I11*D11</f>
        <v>867.141486</v>
      </c>
      <c r="Q11" s="3">
        <v>0</v>
      </c>
      <c r="S11" s="10">
        <f t="shared" si="0"/>
        <v>867.141486</v>
      </c>
    </row>
    <row r="12" spans="1:19" ht="12.75">
      <c r="A12" s="4" t="s">
        <v>15</v>
      </c>
      <c r="B12" t="s">
        <v>35</v>
      </c>
      <c r="C12" t="s">
        <v>8</v>
      </c>
      <c r="D12" s="22">
        <f>302677.27+16534.12</f>
        <v>319211.39</v>
      </c>
      <c r="E12" s="24">
        <f>4460.23+211.07</f>
        <v>4671.299999999999</v>
      </c>
      <c r="G12" s="23">
        <v>0.0002</v>
      </c>
      <c r="H12" s="23">
        <v>0</v>
      </c>
      <c r="I12" s="21">
        <f>G12+H12</f>
        <v>0.0002</v>
      </c>
      <c r="K12" s="25"/>
      <c r="L12" s="20"/>
      <c r="M12" s="20"/>
      <c r="N12" s="19"/>
      <c r="P12" s="3">
        <f>I12*D12</f>
        <v>63.84227800000001</v>
      </c>
      <c r="Q12" s="3">
        <v>0</v>
      </c>
      <c r="S12" s="10">
        <f t="shared" si="0"/>
        <v>63.84227800000001</v>
      </c>
    </row>
    <row r="13" spans="1:19" ht="12.75">
      <c r="A13" s="4" t="s">
        <v>16</v>
      </c>
      <c r="B13" t="s">
        <v>9</v>
      </c>
      <c r="C13" t="s">
        <v>8</v>
      </c>
      <c r="D13" s="22">
        <v>0</v>
      </c>
      <c r="E13" s="35">
        <f>6936.17+466.95</f>
        <v>7403.12</v>
      </c>
      <c r="G13" s="23" t="s">
        <v>19</v>
      </c>
      <c r="H13" s="21"/>
      <c r="I13" s="21"/>
      <c r="K13" s="25"/>
      <c r="L13" s="20"/>
      <c r="M13" s="20"/>
      <c r="N13" s="19"/>
      <c r="P13" s="3">
        <v>0</v>
      </c>
      <c r="Q13" s="3">
        <v>0</v>
      </c>
      <c r="S13" s="10">
        <f t="shared" si="0"/>
        <v>0</v>
      </c>
    </row>
    <row r="14" spans="1:19" ht="12.75">
      <c r="A14" s="4" t="s">
        <v>29</v>
      </c>
      <c r="B14" t="s">
        <v>9</v>
      </c>
      <c r="C14" t="s">
        <v>8</v>
      </c>
      <c r="D14" s="22">
        <v>0</v>
      </c>
      <c r="E14" s="35">
        <f>759.01+105.11</f>
        <v>864.12</v>
      </c>
      <c r="G14" s="23" t="s">
        <v>19</v>
      </c>
      <c r="H14" s="21"/>
      <c r="I14" s="21"/>
      <c r="K14" s="25"/>
      <c r="L14" s="20"/>
      <c r="M14" s="20"/>
      <c r="N14" s="19"/>
      <c r="P14" s="3">
        <v>0</v>
      </c>
      <c r="Q14" s="3">
        <v>0</v>
      </c>
      <c r="S14" s="10">
        <f t="shared" si="0"/>
        <v>0</v>
      </c>
    </row>
    <row r="15" spans="1:19" ht="12.75">
      <c r="A15" s="4" t="s">
        <v>41</v>
      </c>
      <c r="B15" t="s">
        <v>35</v>
      </c>
      <c r="C15" t="s">
        <v>8</v>
      </c>
      <c r="D15" s="22">
        <f>148964.74+9216</f>
        <v>158180.74</v>
      </c>
      <c r="E15" s="24">
        <f>213.25+14.15</f>
        <v>227.4</v>
      </c>
      <c r="G15" s="23">
        <v>0.0002</v>
      </c>
      <c r="H15" s="23">
        <v>0</v>
      </c>
      <c r="I15" s="21">
        <f>G15+H15</f>
        <v>0.0002</v>
      </c>
      <c r="K15" s="25"/>
      <c r="L15" s="20"/>
      <c r="M15" s="20"/>
      <c r="N15" s="19"/>
      <c r="P15" s="3">
        <f>I15*D15</f>
        <v>31.636148</v>
      </c>
      <c r="Q15" s="3">
        <v>0</v>
      </c>
      <c r="S15" s="10">
        <f t="shared" si="0"/>
        <v>31.636148</v>
      </c>
    </row>
    <row r="16" spans="4:19" ht="12.75">
      <c r="D16" s="11">
        <f>SUM(D9:D15)</f>
        <v>17924448.94</v>
      </c>
      <c r="E16" s="11">
        <f>SUM(E8:E15)</f>
        <v>258790.11</v>
      </c>
      <c r="H16" s="21"/>
      <c r="I16" s="21"/>
      <c r="M16" s="19"/>
      <c r="P16" s="13">
        <f>SUM(P8:P15)</f>
        <v>4896.024726</v>
      </c>
      <c r="Q16" s="13">
        <f>SUM(Q8:Q15)</f>
        <v>0</v>
      </c>
      <c r="R16" s="13">
        <f>SUM(R8:R15)</f>
        <v>0</v>
      </c>
      <c r="S16" s="13">
        <f>SUM(S8:S15)</f>
        <v>4896.024726</v>
      </c>
    </row>
    <row r="17" spans="4:13" ht="12.75">
      <c r="D17" s="9"/>
      <c r="E17" s="3"/>
      <c r="H17" s="21"/>
      <c r="I17" s="21"/>
      <c r="M17" s="19"/>
    </row>
    <row r="18" spans="1:19" ht="12.75">
      <c r="A18" s="4">
        <v>501</v>
      </c>
      <c r="B18" t="s">
        <v>9</v>
      </c>
      <c r="C18" t="s">
        <v>18</v>
      </c>
      <c r="D18" s="9">
        <f>25420.56+1414.12</f>
        <v>26834.68</v>
      </c>
      <c r="E18" s="3" t="s">
        <v>19</v>
      </c>
      <c r="G18" s="23">
        <v>0.0171</v>
      </c>
      <c r="H18" s="23">
        <v>0</v>
      </c>
      <c r="I18" s="21">
        <f aca="true" t="shared" si="1" ref="I18:I26">G18+H18</f>
        <v>0.0171</v>
      </c>
      <c r="K18" s="20" t="s">
        <v>19</v>
      </c>
      <c r="M18" s="19"/>
      <c r="P18" s="3">
        <f aca="true" t="shared" si="2" ref="P18:P26">I18*D18</f>
        <v>458.87302800000003</v>
      </c>
      <c r="S18" s="10">
        <f aca="true" t="shared" si="3" ref="S18:S26">P18+Q18</f>
        <v>458.87302800000003</v>
      </c>
    </row>
    <row r="19" spans="1:19" ht="12.75">
      <c r="A19" s="4">
        <v>601</v>
      </c>
      <c r="B19" t="s">
        <v>9</v>
      </c>
      <c r="C19" t="s">
        <v>18</v>
      </c>
      <c r="D19" s="9">
        <f>5630.91+522.83</f>
        <v>6153.74</v>
      </c>
      <c r="E19" s="3"/>
      <c r="G19" s="23">
        <v>0.0171</v>
      </c>
      <c r="H19" s="23">
        <v>0</v>
      </c>
      <c r="I19" s="21">
        <f t="shared" si="1"/>
        <v>0.0171</v>
      </c>
      <c r="K19" s="20" t="s">
        <v>19</v>
      </c>
      <c r="M19" s="19"/>
      <c r="P19" s="3">
        <f t="shared" si="2"/>
        <v>105.228954</v>
      </c>
      <c r="S19" s="10">
        <f t="shared" si="3"/>
        <v>105.228954</v>
      </c>
    </row>
    <row r="20" spans="1:19" ht="12.75">
      <c r="A20" s="4" t="s">
        <v>30</v>
      </c>
      <c r="B20" t="s">
        <v>9</v>
      </c>
      <c r="C20" t="s">
        <v>18</v>
      </c>
      <c r="D20">
        <f>107.73</f>
        <v>107.73</v>
      </c>
      <c r="E20" s="3"/>
      <c r="G20" s="23">
        <v>0.0171</v>
      </c>
      <c r="H20" s="23">
        <v>0</v>
      </c>
      <c r="I20" s="21">
        <f t="shared" si="1"/>
        <v>0.0171</v>
      </c>
      <c r="K20" s="20" t="s">
        <v>19</v>
      </c>
      <c r="M20" s="19"/>
      <c r="P20" s="3">
        <f t="shared" si="2"/>
        <v>1.8421830000000001</v>
      </c>
      <c r="S20" s="10">
        <f t="shared" si="3"/>
        <v>1.8421830000000001</v>
      </c>
    </row>
    <row r="21" spans="1:19" ht="12.75">
      <c r="A21" s="4" t="s">
        <v>12</v>
      </c>
      <c r="B21" t="s">
        <v>36</v>
      </c>
      <c r="C21" t="s">
        <v>18</v>
      </c>
      <c r="D21">
        <f>16.04+0.81</f>
        <v>16.849999999999998</v>
      </c>
      <c r="E21" s="3"/>
      <c r="G21" s="23">
        <v>0.1352</v>
      </c>
      <c r="H21" s="23">
        <v>0</v>
      </c>
      <c r="I21" s="21">
        <f t="shared" si="1"/>
        <v>0.1352</v>
      </c>
      <c r="K21" s="20" t="s">
        <v>19</v>
      </c>
      <c r="M21" s="19"/>
      <c r="P21" s="3">
        <f t="shared" si="2"/>
        <v>2.2781199999999995</v>
      </c>
      <c r="S21" s="10">
        <f t="shared" si="3"/>
        <v>2.2781199999999995</v>
      </c>
    </row>
    <row r="22" spans="1:19" ht="12.75">
      <c r="A22" s="4" t="s">
        <v>31</v>
      </c>
      <c r="B22" t="s">
        <v>36</v>
      </c>
      <c r="C22" t="s">
        <v>18</v>
      </c>
      <c r="D22">
        <f>6.36+0.31</f>
        <v>6.67</v>
      </c>
      <c r="E22" s="3"/>
      <c r="G22" s="23">
        <v>0.1352</v>
      </c>
      <c r="H22" s="23">
        <v>0</v>
      </c>
      <c r="I22" s="21">
        <f t="shared" si="1"/>
        <v>0.1352</v>
      </c>
      <c r="K22" s="20" t="s">
        <v>19</v>
      </c>
      <c r="M22" s="19"/>
      <c r="P22" s="3">
        <f t="shared" si="2"/>
        <v>0.9017839999999999</v>
      </c>
      <c r="S22" s="10">
        <f t="shared" si="3"/>
        <v>0.9017839999999999</v>
      </c>
    </row>
    <row r="23" spans="1:19" ht="12.75">
      <c r="A23" s="4" t="s">
        <v>13</v>
      </c>
      <c r="B23" t="s">
        <v>36</v>
      </c>
      <c r="C23" t="s">
        <v>18</v>
      </c>
      <c r="D23">
        <f>18.23</f>
        <v>18.23</v>
      </c>
      <c r="E23" s="3"/>
      <c r="G23" s="23">
        <v>0.1352</v>
      </c>
      <c r="H23" s="23">
        <v>0</v>
      </c>
      <c r="I23" s="21">
        <f t="shared" si="1"/>
        <v>0.1352</v>
      </c>
      <c r="K23" s="20" t="s">
        <v>19</v>
      </c>
      <c r="M23" s="19"/>
      <c r="P23" s="3">
        <f t="shared" si="2"/>
        <v>2.464696</v>
      </c>
      <c r="S23" s="10">
        <f>P23+Q23</f>
        <v>2.464696</v>
      </c>
    </row>
    <row r="24" spans="1:19" ht="12.75">
      <c r="A24" s="4" t="s">
        <v>14</v>
      </c>
      <c r="B24" t="s">
        <v>36</v>
      </c>
      <c r="C24" t="s">
        <v>18</v>
      </c>
      <c r="D24">
        <f>14.62+0.34</f>
        <v>14.959999999999999</v>
      </c>
      <c r="E24" s="3"/>
      <c r="G24" s="23">
        <v>0.1352</v>
      </c>
      <c r="H24" s="23">
        <v>0</v>
      </c>
      <c r="I24" s="21">
        <f t="shared" si="1"/>
        <v>0.1352</v>
      </c>
      <c r="K24" s="20" t="s">
        <v>19</v>
      </c>
      <c r="M24" s="19"/>
      <c r="P24" s="3">
        <f t="shared" si="2"/>
        <v>2.0225919999999995</v>
      </c>
      <c r="S24" s="10">
        <f t="shared" si="3"/>
        <v>2.0225919999999995</v>
      </c>
    </row>
    <row r="25" spans="1:19" ht="12.75">
      <c r="A25" s="4" t="s">
        <v>23</v>
      </c>
      <c r="B25" t="s">
        <v>36</v>
      </c>
      <c r="C25" t="s">
        <v>18</v>
      </c>
      <c r="D25">
        <f>2+0.14</f>
        <v>2.14</v>
      </c>
      <c r="E25" s="3"/>
      <c r="G25" s="23">
        <v>0.1352</v>
      </c>
      <c r="H25" s="23">
        <v>0</v>
      </c>
      <c r="I25" s="21">
        <f t="shared" si="1"/>
        <v>0.1352</v>
      </c>
      <c r="K25" s="20" t="s">
        <v>19</v>
      </c>
      <c r="M25" s="19"/>
      <c r="P25" s="3">
        <f t="shared" si="2"/>
        <v>0.289328</v>
      </c>
      <c r="S25" s="10">
        <f t="shared" si="3"/>
        <v>0.289328</v>
      </c>
    </row>
    <row r="26" spans="1:19" ht="12.75">
      <c r="A26" s="4" t="s">
        <v>32</v>
      </c>
      <c r="B26" t="s">
        <v>36</v>
      </c>
      <c r="C26" t="s">
        <v>18</v>
      </c>
      <c r="D26">
        <f>6.21+0.23</f>
        <v>6.44</v>
      </c>
      <c r="E26" s="3"/>
      <c r="G26" s="23">
        <v>0.1352</v>
      </c>
      <c r="H26" s="23">
        <v>0</v>
      </c>
      <c r="I26" s="21">
        <f t="shared" si="1"/>
        <v>0.1352</v>
      </c>
      <c r="K26" s="20" t="s">
        <v>19</v>
      </c>
      <c r="M26" s="19"/>
      <c r="P26" s="3">
        <f t="shared" si="2"/>
        <v>0.870688</v>
      </c>
      <c r="S26" s="10">
        <f t="shared" si="3"/>
        <v>0.870688</v>
      </c>
    </row>
    <row r="27" spans="1:19" ht="12.75">
      <c r="A27" s="4" t="s">
        <v>19</v>
      </c>
      <c r="D27" s="11">
        <f>SUM(D18:D26)</f>
        <v>33161.44</v>
      </c>
      <c r="E27" s="12">
        <f>SUM(E18:E26)</f>
        <v>0</v>
      </c>
      <c r="H27" s="21"/>
      <c r="I27" s="21"/>
      <c r="M27" s="19"/>
      <c r="P27" s="13">
        <f>SUM(P18:P26)</f>
        <v>574.7713729999999</v>
      </c>
      <c r="Q27" s="13">
        <f>SUM(Q18:Q26)</f>
        <v>0</v>
      </c>
      <c r="R27" s="13">
        <f>SUM(R18:R26)</f>
        <v>0</v>
      </c>
      <c r="S27" s="13">
        <f>SUM(S18:S26)</f>
        <v>574.7713729999999</v>
      </c>
    </row>
    <row r="28" spans="4:13" ht="12.75">
      <c r="D28" s="14"/>
      <c r="E28" s="15"/>
      <c r="H28" s="21"/>
      <c r="I28" s="21"/>
      <c r="M28" s="19"/>
    </row>
    <row r="29" spans="1:19" ht="12.75">
      <c r="A29" s="4" t="s">
        <v>20</v>
      </c>
      <c r="B29" t="s">
        <v>21</v>
      </c>
      <c r="C29" t="s">
        <v>22</v>
      </c>
      <c r="D29" s="9"/>
      <c r="E29" s="36">
        <f>5818.61+1662.46</f>
        <v>7481.07</v>
      </c>
      <c r="G29" s="23" t="s">
        <v>19</v>
      </c>
      <c r="H29" s="23" t="s">
        <v>19</v>
      </c>
      <c r="I29" s="21"/>
      <c r="K29" s="20"/>
      <c r="L29" s="20"/>
      <c r="M29" s="20"/>
      <c r="N29" s="19"/>
      <c r="P29" s="3">
        <v>0</v>
      </c>
      <c r="Q29" s="3">
        <v>0</v>
      </c>
      <c r="S29" s="10">
        <f>P29+Q29</f>
        <v>0</v>
      </c>
    </row>
    <row r="30" spans="4:13" ht="12.75">
      <c r="D30" s="9"/>
      <c r="E30" s="3"/>
      <c r="H30" s="21"/>
      <c r="I30" s="21"/>
      <c r="M30" s="19"/>
    </row>
    <row r="31" spans="1:19" ht="12.75">
      <c r="A31" s="18" t="s">
        <v>33</v>
      </c>
      <c r="B31" t="s">
        <v>24</v>
      </c>
      <c r="C31" t="s">
        <v>25</v>
      </c>
      <c r="D31" s="9">
        <f>1199.99+172.51</f>
        <v>1372.5</v>
      </c>
      <c r="E31" s="3"/>
      <c r="G31" s="23">
        <v>0.1137</v>
      </c>
      <c r="H31" s="23">
        <v>0</v>
      </c>
      <c r="I31" s="21">
        <f>G31+H31</f>
        <v>0.1137</v>
      </c>
      <c r="M31" s="19"/>
      <c r="P31" s="3">
        <f>I31*D31</f>
        <v>156.05325</v>
      </c>
      <c r="S31" s="10">
        <f>P31+Q31</f>
        <v>156.05325</v>
      </c>
    </row>
    <row r="32" spans="1:14" ht="12.75">
      <c r="A32"/>
      <c r="G32"/>
      <c r="H32"/>
      <c r="I32" s="32"/>
      <c r="J32"/>
      <c r="K32"/>
      <c r="L32"/>
      <c r="M32"/>
      <c r="N32"/>
    </row>
    <row r="33" spans="4:8" ht="12.75">
      <c r="D33" s="9"/>
      <c r="E33" s="3"/>
      <c r="H33" s="21"/>
    </row>
    <row r="34" spans="4:19" ht="13.5" thickBot="1">
      <c r="D34" s="9"/>
      <c r="E34" s="3"/>
      <c r="G34" s="1" t="s">
        <v>26</v>
      </c>
      <c r="H34" s="21"/>
      <c r="P34" s="16">
        <f>P16+P28+P29+P31</f>
        <v>5052.077976</v>
      </c>
      <c r="Q34" s="16">
        <f>Q16+Q28+Q29+Q31</f>
        <v>0</v>
      </c>
      <c r="R34" s="16">
        <f>R16+R28+R29+R31</f>
        <v>0</v>
      </c>
      <c r="S34" s="16">
        <f>S16+S28+S29+S31</f>
        <v>5052.077976</v>
      </c>
    </row>
    <row r="35" spans="4:19" ht="13.5" thickTop="1">
      <c r="D35" s="9"/>
      <c r="E35" s="3"/>
      <c r="H35" s="21"/>
      <c r="P35" s="46"/>
      <c r="Q35" s="46"/>
      <c r="R35" s="46"/>
      <c r="S35" s="46"/>
    </row>
    <row r="36" spans="2:19" ht="12.75">
      <c r="B36" t="s">
        <v>69</v>
      </c>
      <c r="D36" s="9">
        <f>'2004 rates unbilled'!D16+'2004 rates unbilled'!D27+'2004 rates unbilled'!D31</f>
        <v>6802890.159999999</v>
      </c>
      <c r="E36" s="3">
        <f>'2004 rates unbilled'!E16+'2004 rates unbilled'!E29</f>
        <v>88147.37000000001</v>
      </c>
      <c r="P36" s="3">
        <f>'2004 rates unbilled'!P34</f>
        <v>2954.95183639</v>
      </c>
      <c r="Q36" s="3">
        <f>'2004 rates unbilled'!Q34</f>
        <v>0</v>
      </c>
      <c r="R36" s="3">
        <f>'2004 rates unbilled'!R34</f>
        <v>0</v>
      </c>
      <c r="S36" s="3">
        <f>'2004 rates unbilled'!S34</f>
        <v>2954.95183639</v>
      </c>
    </row>
    <row r="37" spans="2:19" ht="12.75">
      <c r="B37" t="s">
        <v>70</v>
      </c>
      <c r="D37" s="9">
        <f>'2004 rates in 2005'!D16+'2004 rates in 2005'!D27+'2004 rates in 2005'!D31</f>
        <v>12232795.950000001</v>
      </c>
      <c r="E37" s="3">
        <f>'2004 rates in 2005'!E16+'2004 rates in 2005'!E29</f>
        <v>124553.21999999999</v>
      </c>
      <c r="P37" s="3">
        <f>'2004 rates in 2005'!P34</f>
        <v>5302.6411985899995</v>
      </c>
      <c r="Q37" s="3">
        <f>'2004 rates in 2005'!Q34</f>
        <v>0</v>
      </c>
      <c r="R37" s="3">
        <f>'2004 rates in 2005'!R34</f>
        <v>0</v>
      </c>
      <c r="S37" s="3">
        <f>'2004 rates in 2005'!S34</f>
        <v>5302.6411985899995</v>
      </c>
    </row>
    <row r="38" spans="2:19" ht="12.75">
      <c r="B38" t="s">
        <v>71</v>
      </c>
      <c r="D38" s="33">
        <f>D16+D27+D31</f>
        <v>17958982.880000003</v>
      </c>
      <c r="E38" s="3">
        <f>E16+E27+E31+E29</f>
        <v>266271.18</v>
      </c>
      <c r="P38" s="3">
        <f>P34</f>
        <v>5052.077976</v>
      </c>
      <c r="Q38" s="3">
        <f>Q34</f>
        <v>0</v>
      </c>
      <c r="R38" s="3">
        <f>R34</f>
        <v>0</v>
      </c>
      <c r="S38" s="3">
        <f>S34</f>
        <v>5052.077976</v>
      </c>
    </row>
    <row r="39" spans="4:19" ht="13.5" thickBot="1">
      <c r="D39" s="37">
        <f>SUM(D36:D38)</f>
        <v>36994668.99</v>
      </c>
      <c r="E39" s="45">
        <f>SUM(E36:E38)</f>
        <v>478971.77</v>
      </c>
      <c r="P39" s="47">
        <f>SUM(P36:P38)</f>
        <v>13309.67101098</v>
      </c>
      <c r="Q39" s="47">
        <f>SUM(Q36:Q38)</f>
        <v>0</v>
      </c>
      <c r="R39" s="47">
        <f>SUM(R36:R38)</f>
        <v>0</v>
      </c>
      <c r="S39" s="47">
        <f>SUM(S36:S38)</f>
        <v>13309.67101098</v>
      </c>
    </row>
    <row r="40" spans="16:19" ht="13.5" thickTop="1">
      <c r="P40" s="3"/>
      <c r="Q40" s="3"/>
      <c r="R40" s="3"/>
      <c r="S40" s="3"/>
    </row>
    <row r="41" spans="16:19" ht="12.75">
      <c r="P41" s="3"/>
      <c r="Q41" s="3"/>
      <c r="R41" s="3"/>
      <c r="S41" s="3"/>
    </row>
  </sheetData>
  <sheetProtection/>
  <mergeCells count="2">
    <mergeCell ref="D4:O4"/>
    <mergeCell ref="D6:E6"/>
  </mergeCells>
  <printOptions/>
  <pageMargins left="0.25" right="0.25" top="0.25" bottom="0.25" header="0.5" footer="0.5"/>
  <pageSetup fitToHeight="1" fitToWidth="1"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5.421875" style="4" customWidth="1"/>
    <col min="2" max="2" width="10.8515625" style="0" customWidth="1"/>
    <col min="3" max="3" width="8.28125" style="0" customWidth="1"/>
    <col min="4" max="4" width="20.140625" style="0" bestFit="1" customWidth="1"/>
    <col min="5" max="5" width="14.00390625" style="0" bestFit="1" customWidth="1"/>
    <col min="6" max="6" width="2.421875" style="0" customWidth="1"/>
    <col min="7" max="7" width="13.421875" style="1" bestFit="1" customWidth="1"/>
    <col min="8" max="8" width="11.00390625" style="1" customWidth="1"/>
    <col min="9" max="9" width="10.8515625" style="1" customWidth="1"/>
    <col min="10" max="10" width="2.8515625" style="1" customWidth="1"/>
    <col min="11" max="11" width="11.28125" style="2" customWidth="1"/>
    <col min="12" max="13" width="10.28125" style="3" bestFit="1" customWidth="1"/>
    <col min="14" max="14" width="9.8515625" style="3" customWidth="1"/>
    <col min="15" max="15" width="2.8515625" style="0" customWidth="1"/>
    <col min="16" max="16" width="11.28125" style="0" bestFit="1" customWidth="1"/>
    <col min="17" max="17" width="12.28125" style="0" bestFit="1" customWidth="1"/>
    <col min="18" max="18" width="2.00390625" style="0" customWidth="1"/>
    <col min="19" max="19" width="12.28125" style="0" bestFit="1" customWidth="1"/>
  </cols>
  <sheetData>
    <row r="1" ht="12.75">
      <c r="A1" s="17" t="s">
        <v>63</v>
      </c>
    </row>
    <row r="2" ht="12.75">
      <c r="A2" s="17" t="s">
        <v>48</v>
      </c>
    </row>
    <row r="4" spans="4:15" ht="12.75">
      <c r="D4" s="57" t="s">
        <v>34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4:15" ht="12.75"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4:14" s="27" customFormat="1" ht="12.75">
      <c r="D6" s="58" t="s">
        <v>39</v>
      </c>
      <c r="E6" s="58"/>
      <c r="G6" s="29">
        <v>2004</v>
      </c>
      <c r="H6" s="29" t="s">
        <v>44</v>
      </c>
      <c r="I6" s="6" t="s">
        <v>7</v>
      </c>
      <c r="J6" s="28"/>
      <c r="K6" s="7" t="s">
        <v>7</v>
      </c>
      <c r="L6" s="29">
        <v>2001</v>
      </c>
      <c r="M6" s="29">
        <v>2002</v>
      </c>
      <c r="N6" s="29" t="s">
        <v>38</v>
      </c>
    </row>
    <row r="7" spans="4:19" s="5" customFormat="1" ht="12.75">
      <c r="D7" s="5" t="s">
        <v>0</v>
      </c>
      <c r="E7" s="5" t="s">
        <v>1</v>
      </c>
      <c r="G7" s="6" t="s">
        <v>2</v>
      </c>
      <c r="H7" s="6" t="s">
        <v>2</v>
      </c>
      <c r="I7" s="6" t="s">
        <v>2</v>
      </c>
      <c r="J7" s="6"/>
      <c r="K7" s="7" t="s">
        <v>3</v>
      </c>
      <c r="L7" s="8" t="s">
        <v>4</v>
      </c>
      <c r="M7" s="8" t="s">
        <v>4</v>
      </c>
      <c r="N7" s="8" t="s">
        <v>4</v>
      </c>
      <c r="P7" s="5" t="s">
        <v>5</v>
      </c>
      <c r="Q7" s="5" t="s">
        <v>6</v>
      </c>
      <c r="S7" s="5" t="s">
        <v>7</v>
      </c>
    </row>
    <row r="8" spans="1:19" ht="12.75">
      <c r="A8" s="4" t="s">
        <v>27</v>
      </c>
      <c r="B8" t="s">
        <v>9</v>
      </c>
      <c r="C8" t="s">
        <v>8</v>
      </c>
      <c r="D8" s="22" t="s">
        <v>19</v>
      </c>
      <c r="E8" s="24">
        <v>0</v>
      </c>
      <c r="G8" s="23" t="s">
        <v>19</v>
      </c>
      <c r="H8" s="21"/>
      <c r="K8" s="25"/>
      <c r="L8" s="20"/>
      <c r="M8" s="20"/>
      <c r="N8" s="19"/>
      <c r="P8" s="3">
        <v>0</v>
      </c>
      <c r="Q8" s="3">
        <v>0</v>
      </c>
      <c r="S8" s="10">
        <f>P8+Q8</f>
        <v>0</v>
      </c>
    </row>
    <row r="9" spans="1:19" ht="12.75">
      <c r="A9" s="4" t="s">
        <v>11</v>
      </c>
      <c r="B9" t="s">
        <v>10</v>
      </c>
      <c r="C9" t="s">
        <v>8</v>
      </c>
      <c r="D9" s="22">
        <f>5106.45+1132774.65</f>
        <v>1137881.0999999999</v>
      </c>
      <c r="E9" s="24">
        <f>54.25+8725.86</f>
        <v>8780.11</v>
      </c>
      <c r="G9" s="23">
        <v>0.0003</v>
      </c>
      <c r="H9" s="23">
        <v>0</v>
      </c>
      <c r="I9" s="21">
        <f>G9+H9</f>
        <v>0.0003</v>
      </c>
      <c r="K9" s="25"/>
      <c r="L9" s="20"/>
      <c r="M9" s="20"/>
      <c r="N9" s="19"/>
      <c r="P9" s="3">
        <f>I9*D9</f>
        <v>341.36432999999994</v>
      </c>
      <c r="Q9" s="3">
        <v>0</v>
      </c>
      <c r="S9" s="10">
        <f aca="true" t="shared" si="0" ref="S9:S15">P9+Q9</f>
        <v>341.36432999999994</v>
      </c>
    </row>
    <row r="10" spans="1:19" ht="12.75">
      <c r="A10" s="4" t="s">
        <v>28</v>
      </c>
      <c r="B10" t="s">
        <v>10</v>
      </c>
      <c r="C10" t="s">
        <v>8</v>
      </c>
      <c r="D10" s="22">
        <f>10694.89+15747.4+4644.56+699268.26+3918017.09</f>
        <v>4648372.2</v>
      </c>
      <c r="E10" s="24">
        <f>0.85+3.82-2.12+9684.38+47723.99</f>
        <v>57410.92</v>
      </c>
      <c r="G10" s="23">
        <v>0.0003</v>
      </c>
      <c r="H10" s="23">
        <v>0</v>
      </c>
      <c r="I10" s="21">
        <f>G10+H10</f>
        <v>0.0003</v>
      </c>
      <c r="K10" s="25"/>
      <c r="L10" s="20"/>
      <c r="M10" s="20"/>
      <c r="N10" s="19"/>
      <c r="P10" s="3">
        <f>I10*D10</f>
        <v>1394.51166</v>
      </c>
      <c r="Q10" s="3">
        <v>0</v>
      </c>
      <c r="S10" s="10">
        <f t="shared" si="0"/>
        <v>1394.51166</v>
      </c>
    </row>
    <row r="11" spans="1:19" ht="12.75">
      <c r="A11" s="4" t="s">
        <v>17</v>
      </c>
      <c r="B11" t="s">
        <v>35</v>
      </c>
      <c r="C11" t="s">
        <v>8</v>
      </c>
      <c r="D11" s="22">
        <v>1212406.77</v>
      </c>
      <c r="E11" s="24">
        <f>1.31+2.18-1.74+1.18+5059.71</f>
        <v>5062.64</v>
      </c>
      <c r="G11" s="23">
        <v>0.0002</v>
      </c>
      <c r="H11" s="23">
        <v>0</v>
      </c>
      <c r="I11" s="21">
        <f>G11+H11</f>
        <v>0.0002</v>
      </c>
      <c r="K11" s="25"/>
      <c r="L11" s="20"/>
      <c r="M11" s="20"/>
      <c r="N11" s="19"/>
      <c r="P11" s="3">
        <f>I11*D11</f>
        <v>242.481354</v>
      </c>
      <c r="Q11" s="3">
        <v>0</v>
      </c>
      <c r="S11" s="10">
        <f t="shared" si="0"/>
        <v>242.481354</v>
      </c>
    </row>
    <row r="12" spans="1:19" ht="12.75">
      <c r="A12" s="4" t="s">
        <v>15</v>
      </c>
      <c r="B12" t="s">
        <v>35</v>
      </c>
      <c r="C12" t="s">
        <v>8</v>
      </c>
      <c r="D12" s="22">
        <v>119878.48</v>
      </c>
      <c r="E12" s="24">
        <f>134.64+1051.37</f>
        <v>1186.0099999999998</v>
      </c>
      <c r="G12" s="23">
        <v>0.0002</v>
      </c>
      <c r="H12" s="23">
        <v>0</v>
      </c>
      <c r="I12" s="21">
        <f>G12+H12</f>
        <v>0.0002</v>
      </c>
      <c r="K12" s="25"/>
      <c r="L12" s="20"/>
      <c r="M12" s="20"/>
      <c r="N12" s="19"/>
      <c r="P12" s="3">
        <f>I12*D12</f>
        <v>23.975696</v>
      </c>
      <c r="Q12" s="3">
        <v>0</v>
      </c>
      <c r="S12" s="10">
        <f t="shared" si="0"/>
        <v>23.975696</v>
      </c>
    </row>
    <row r="13" spans="1:19" ht="12.75">
      <c r="A13" s="4" t="s">
        <v>16</v>
      </c>
      <c r="B13" t="s">
        <v>9</v>
      </c>
      <c r="C13" t="s">
        <v>8</v>
      </c>
      <c r="D13" s="22">
        <v>0</v>
      </c>
      <c r="E13" s="35">
        <v>1665.47</v>
      </c>
      <c r="G13" s="23" t="s">
        <v>19</v>
      </c>
      <c r="H13" s="21"/>
      <c r="I13" s="21"/>
      <c r="K13" s="25"/>
      <c r="L13" s="20"/>
      <c r="M13" s="20"/>
      <c r="N13" s="19"/>
      <c r="P13" s="3">
        <v>0</v>
      </c>
      <c r="Q13" s="3">
        <v>0</v>
      </c>
      <c r="S13" s="10">
        <f t="shared" si="0"/>
        <v>0</v>
      </c>
    </row>
    <row r="14" spans="1:19" ht="12.75">
      <c r="A14" s="4" t="s">
        <v>29</v>
      </c>
      <c r="B14" t="s">
        <v>9</v>
      </c>
      <c r="C14" t="s">
        <v>8</v>
      </c>
      <c r="D14" s="22">
        <v>0</v>
      </c>
      <c r="E14" s="35">
        <v>144.52</v>
      </c>
      <c r="G14" s="23" t="s">
        <v>19</v>
      </c>
      <c r="H14" s="21"/>
      <c r="I14" s="21"/>
      <c r="K14" s="25"/>
      <c r="L14" s="20"/>
      <c r="M14" s="20"/>
      <c r="N14" s="19"/>
      <c r="P14" s="3">
        <v>0</v>
      </c>
      <c r="Q14" s="3">
        <v>0</v>
      </c>
      <c r="S14" s="10">
        <f t="shared" si="0"/>
        <v>0</v>
      </c>
    </row>
    <row r="15" spans="1:19" ht="12.75">
      <c r="A15" s="4" t="s">
        <v>41</v>
      </c>
      <c r="B15" t="s">
        <v>35</v>
      </c>
      <c r="C15" t="s">
        <v>8</v>
      </c>
      <c r="D15" s="22">
        <f>29200</f>
        <v>29200</v>
      </c>
      <c r="E15" s="24">
        <v>50.53</v>
      </c>
      <c r="G15" s="23">
        <v>0.0002</v>
      </c>
      <c r="H15" s="23">
        <v>0</v>
      </c>
      <c r="I15" s="21">
        <f>G15+H15</f>
        <v>0.0002</v>
      </c>
      <c r="K15" s="25"/>
      <c r="L15" s="20"/>
      <c r="M15" s="20"/>
      <c r="N15" s="19"/>
      <c r="P15" s="3">
        <f>I15*D15</f>
        <v>5.84</v>
      </c>
      <c r="Q15" s="3">
        <v>0</v>
      </c>
      <c r="S15" s="10">
        <f t="shared" si="0"/>
        <v>5.84</v>
      </c>
    </row>
    <row r="16" spans="4:19" ht="12.75">
      <c r="D16" s="11">
        <f>SUM(D9:D15)</f>
        <v>7147738.550000001</v>
      </c>
      <c r="E16" s="11">
        <f>SUM(E8:E15)</f>
        <v>74300.2</v>
      </c>
      <c r="H16" s="21"/>
      <c r="I16" s="21"/>
      <c r="M16" s="19"/>
      <c r="P16" s="13">
        <f>SUM(P8:P15)</f>
        <v>2008.1730399999997</v>
      </c>
      <c r="Q16" s="13">
        <f>SUM(Q8:Q15)</f>
        <v>0</v>
      </c>
      <c r="R16" s="13">
        <f>SUM(R8:R15)</f>
        <v>0</v>
      </c>
      <c r="S16" s="13">
        <f>SUM(S8:S15)</f>
        <v>2008.1730399999997</v>
      </c>
    </row>
    <row r="17" spans="4:13" ht="12.75">
      <c r="D17" s="9"/>
      <c r="E17" s="3"/>
      <c r="H17" s="21"/>
      <c r="I17" s="21"/>
      <c r="M17" s="19"/>
    </row>
    <row r="18" spans="1:19" ht="12.75">
      <c r="A18" s="4">
        <v>501</v>
      </c>
      <c r="B18" t="s">
        <v>9</v>
      </c>
      <c r="C18" t="s">
        <v>18</v>
      </c>
      <c r="D18" s="9">
        <v>5700.25</v>
      </c>
      <c r="E18" s="3" t="s">
        <v>19</v>
      </c>
      <c r="G18" s="23">
        <v>0.0171</v>
      </c>
      <c r="H18" s="23">
        <v>0</v>
      </c>
      <c r="I18" s="21">
        <f aca="true" t="shared" si="1" ref="I18:I26">G18+H18</f>
        <v>0.0171</v>
      </c>
      <c r="K18" s="20" t="s">
        <v>19</v>
      </c>
      <c r="M18" s="19"/>
      <c r="P18" s="3">
        <f aca="true" t="shared" si="2" ref="P18:P26">I18*D18</f>
        <v>97.474275</v>
      </c>
      <c r="S18" s="10">
        <f aca="true" t="shared" si="3" ref="S18:S26">P18+Q18</f>
        <v>97.474275</v>
      </c>
    </row>
    <row r="19" spans="1:19" ht="12.75">
      <c r="A19" s="4">
        <v>601</v>
      </c>
      <c r="B19" t="s">
        <v>9</v>
      </c>
      <c r="C19" t="s">
        <v>18</v>
      </c>
      <c r="D19" s="9">
        <v>532.35</v>
      </c>
      <c r="E19" s="3"/>
      <c r="G19" s="23">
        <v>0.0171</v>
      </c>
      <c r="H19" s="23">
        <v>0</v>
      </c>
      <c r="I19" s="21">
        <f t="shared" si="1"/>
        <v>0.0171</v>
      </c>
      <c r="K19" s="20" t="s">
        <v>19</v>
      </c>
      <c r="M19" s="19"/>
      <c r="P19" s="3">
        <f t="shared" si="2"/>
        <v>9.103185</v>
      </c>
      <c r="S19" s="10">
        <f t="shared" si="3"/>
        <v>9.103185</v>
      </c>
    </row>
    <row r="20" spans="1:19" ht="12.75">
      <c r="A20" s="4" t="s">
        <v>30</v>
      </c>
      <c r="B20" t="s">
        <v>9</v>
      </c>
      <c r="C20" t="s">
        <v>18</v>
      </c>
      <c r="D20">
        <v>0</v>
      </c>
      <c r="E20" s="3"/>
      <c r="G20" s="23">
        <v>0.0171</v>
      </c>
      <c r="H20" s="23">
        <v>0</v>
      </c>
      <c r="I20" s="21">
        <f t="shared" si="1"/>
        <v>0.0171</v>
      </c>
      <c r="K20" s="20" t="s">
        <v>19</v>
      </c>
      <c r="M20" s="19"/>
      <c r="P20" s="3">
        <f t="shared" si="2"/>
        <v>0</v>
      </c>
      <c r="S20" s="10">
        <f t="shared" si="3"/>
        <v>0</v>
      </c>
    </row>
    <row r="21" spans="1:19" ht="12.75">
      <c r="A21" s="4" t="s">
        <v>12</v>
      </c>
      <c r="B21" t="s">
        <v>36</v>
      </c>
      <c r="C21" t="s">
        <v>18</v>
      </c>
      <c r="D21">
        <f>0.46+3.71</f>
        <v>4.17</v>
      </c>
      <c r="E21" s="3"/>
      <c r="G21" s="23">
        <v>0.1352</v>
      </c>
      <c r="H21" s="23">
        <v>0</v>
      </c>
      <c r="I21" s="21">
        <f t="shared" si="1"/>
        <v>0.1352</v>
      </c>
      <c r="K21" s="20" t="s">
        <v>19</v>
      </c>
      <c r="M21" s="19"/>
      <c r="P21" s="3">
        <f t="shared" si="2"/>
        <v>0.563784</v>
      </c>
      <c r="S21" s="10">
        <f t="shared" si="3"/>
        <v>0.563784</v>
      </c>
    </row>
    <row r="22" spans="1:19" ht="12.75">
      <c r="A22" s="4" t="s">
        <v>31</v>
      </c>
      <c r="B22" t="s">
        <v>36</v>
      </c>
      <c r="C22" t="s">
        <v>18</v>
      </c>
      <c r="D22">
        <f>0.2+1.49</f>
        <v>1.69</v>
      </c>
      <c r="E22" s="3"/>
      <c r="G22" s="23">
        <v>0.1352</v>
      </c>
      <c r="H22" s="23">
        <v>0</v>
      </c>
      <c r="I22" s="21">
        <f t="shared" si="1"/>
        <v>0.1352</v>
      </c>
      <c r="K22" s="20" t="s">
        <v>19</v>
      </c>
      <c r="M22" s="19"/>
      <c r="P22" s="3">
        <f t="shared" si="2"/>
        <v>0.22848799999999997</v>
      </c>
      <c r="S22" s="10">
        <f t="shared" si="3"/>
        <v>0.22848799999999997</v>
      </c>
    </row>
    <row r="23" spans="1:19" ht="12.75">
      <c r="A23" s="4" t="s">
        <v>13</v>
      </c>
      <c r="B23" t="s">
        <v>36</v>
      </c>
      <c r="C23" t="s">
        <v>18</v>
      </c>
      <c r="D23">
        <f>1.79+5.46</f>
        <v>7.25</v>
      </c>
      <c r="E23" s="3"/>
      <c r="G23" s="23">
        <v>0.1352</v>
      </c>
      <c r="H23" s="23">
        <v>0</v>
      </c>
      <c r="I23" s="21">
        <f t="shared" si="1"/>
        <v>0.1352</v>
      </c>
      <c r="K23" s="20" t="s">
        <v>19</v>
      </c>
      <c r="M23" s="19"/>
      <c r="P23" s="3">
        <f t="shared" si="2"/>
        <v>0.9802</v>
      </c>
      <c r="S23" s="10">
        <f t="shared" si="3"/>
        <v>0.9802</v>
      </c>
    </row>
    <row r="24" spans="1:19" ht="12.75">
      <c r="A24" s="4" t="s">
        <v>14</v>
      </c>
      <c r="B24" t="s">
        <v>36</v>
      </c>
      <c r="C24" t="s">
        <v>18</v>
      </c>
      <c r="D24">
        <f>0.53+2.77</f>
        <v>3.3</v>
      </c>
      <c r="E24" s="3"/>
      <c r="G24" s="23">
        <v>0.1352</v>
      </c>
      <c r="H24" s="23">
        <v>0</v>
      </c>
      <c r="I24" s="21">
        <f t="shared" si="1"/>
        <v>0.1352</v>
      </c>
      <c r="K24" s="20" t="s">
        <v>19</v>
      </c>
      <c r="M24" s="19"/>
      <c r="P24" s="3">
        <f t="shared" si="2"/>
        <v>0.44615999999999995</v>
      </c>
      <c r="S24" s="10">
        <f t="shared" si="3"/>
        <v>0.44615999999999995</v>
      </c>
    </row>
    <row r="25" spans="1:19" ht="12.75">
      <c r="A25" s="4" t="s">
        <v>23</v>
      </c>
      <c r="B25" t="s">
        <v>36</v>
      </c>
      <c r="C25" t="s">
        <v>18</v>
      </c>
      <c r="D25">
        <f>0.41</f>
        <v>0.41</v>
      </c>
      <c r="E25" s="3"/>
      <c r="G25" s="23">
        <v>0.1352</v>
      </c>
      <c r="H25" s="23">
        <v>0</v>
      </c>
      <c r="I25" s="21">
        <f t="shared" si="1"/>
        <v>0.1352</v>
      </c>
      <c r="K25" s="20" t="s">
        <v>19</v>
      </c>
      <c r="M25" s="19"/>
      <c r="P25" s="3">
        <f t="shared" si="2"/>
        <v>0.05543199999999999</v>
      </c>
      <c r="S25" s="10">
        <f t="shared" si="3"/>
        <v>0.05543199999999999</v>
      </c>
    </row>
    <row r="26" spans="1:19" ht="12.75">
      <c r="A26" s="4" t="s">
        <v>32</v>
      </c>
      <c r="B26" t="s">
        <v>36</v>
      </c>
      <c r="C26" t="s">
        <v>18</v>
      </c>
      <c r="D26">
        <f>0.29+2.27</f>
        <v>2.56</v>
      </c>
      <c r="E26" s="3"/>
      <c r="G26" s="23">
        <v>0.1352</v>
      </c>
      <c r="H26" s="23">
        <v>0</v>
      </c>
      <c r="I26" s="21">
        <f t="shared" si="1"/>
        <v>0.1352</v>
      </c>
      <c r="K26" s="20" t="s">
        <v>19</v>
      </c>
      <c r="M26" s="19"/>
      <c r="P26" s="3">
        <f t="shared" si="2"/>
        <v>0.346112</v>
      </c>
      <c r="S26" s="10">
        <f t="shared" si="3"/>
        <v>0.346112</v>
      </c>
    </row>
    <row r="27" spans="1:19" ht="12.75">
      <c r="A27" s="4" t="s">
        <v>19</v>
      </c>
      <c r="D27" s="11">
        <f>SUM(D18:D26)</f>
        <v>6251.9800000000005</v>
      </c>
      <c r="E27" s="12">
        <f>SUM(E18:E26)</f>
        <v>0</v>
      </c>
      <c r="H27" s="21"/>
      <c r="I27" s="21"/>
      <c r="M27" s="19"/>
      <c r="P27" s="13">
        <f>SUM(P18:P26)</f>
        <v>109.197636</v>
      </c>
      <c r="Q27" s="13">
        <f>SUM(Q18:Q26)</f>
        <v>0</v>
      </c>
      <c r="R27" s="13">
        <f>SUM(R18:R26)</f>
        <v>0</v>
      </c>
      <c r="S27" s="13">
        <f>SUM(S18:S26)</f>
        <v>109.197636</v>
      </c>
    </row>
    <row r="28" spans="4:13" ht="12.75">
      <c r="D28" s="14"/>
      <c r="E28" s="15"/>
      <c r="H28" s="21"/>
      <c r="I28" s="21"/>
      <c r="M28" s="19"/>
    </row>
    <row r="29" spans="1:19" ht="12.75">
      <c r="A29" s="4" t="s">
        <v>20</v>
      </c>
      <c r="B29" t="s">
        <v>21</v>
      </c>
      <c r="C29" t="s">
        <v>22</v>
      </c>
      <c r="D29" s="9"/>
      <c r="E29" s="36">
        <v>0</v>
      </c>
      <c r="G29" s="23" t="s">
        <v>19</v>
      </c>
      <c r="H29" s="23" t="s">
        <v>19</v>
      </c>
      <c r="I29" s="21"/>
      <c r="K29" s="20"/>
      <c r="L29" s="20"/>
      <c r="M29" s="20"/>
      <c r="N29" s="19"/>
      <c r="P29" s="3">
        <v>0</v>
      </c>
      <c r="Q29" s="3">
        <v>0</v>
      </c>
      <c r="S29" s="10">
        <f>P29+Q29</f>
        <v>0</v>
      </c>
    </row>
    <row r="30" spans="4:13" ht="12.75">
      <c r="D30" s="9"/>
      <c r="E30" s="3"/>
      <c r="H30" s="21"/>
      <c r="I30" s="21"/>
      <c r="M30" s="19"/>
    </row>
    <row r="31" spans="1:19" ht="12.75">
      <c r="A31" s="18" t="s">
        <v>33</v>
      </c>
      <c r="B31" t="s">
        <v>24</v>
      </c>
      <c r="C31" t="s">
        <v>25</v>
      </c>
      <c r="D31" s="9">
        <v>172.51</v>
      </c>
      <c r="E31" s="3"/>
      <c r="G31" s="23">
        <v>0.1137</v>
      </c>
      <c r="H31" s="23">
        <v>0</v>
      </c>
      <c r="I31" s="21">
        <f>G31+H31</f>
        <v>0.1137</v>
      </c>
      <c r="M31" s="19"/>
      <c r="P31" s="3">
        <f>I31*D31</f>
        <v>19.614386999999997</v>
      </c>
      <c r="S31" s="10">
        <f>P31+Q31</f>
        <v>19.614386999999997</v>
      </c>
    </row>
    <row r="32" spans="1:14" ht="12.75">
      <c r="A32"/>
      <c r="G32"/>
      <c r="H32"/>
      <c r="I32" s="32"/>
      <c r="J32"/>
      <c r="K32"/>
      <c r="L32"/>
      <c r="M32"/>
      <c r="N32"/>
    </row>
    <row r="33" spans="4:8" ht="12.75">
      <c r="D33" s="9"/>
      <c r="E33" s="3"/>
      <c r="H33" s="21"/>
    </row>
    <row r="34" spans="4:19" ht="13.5" thickBot="1">
      <c r="D34" s="9"/>
      <c r="E34" s="3"/>
      <c r="G34" s="1" t="s">
        <v>26</v>
      </c>
      <c r="H34" s="21"/>
      <c r="P34" s="16">
        <f>P16+P28+P29+P31</f>
        <v>2027.7874269999998</v>
      </c>
      <c r="Q34" s="16">
        <f>Q16+Q28+Q29+Q31</f>
        <v>0</v>
      </c>
      <c r="R34" s="16">
        <f>R16+R28+R29+R31</f>
        <v>0</v>
      </c>
      <c r="S34" s="16">
        <f>S16+S28+S29+S31</f>
        <v>2027.7874269999998</v>
      </c>
    </row>
    <row r="35" spans="4:5" ht="13.5" thickTop="1">
      <c r="D35" s="9"/>
      <c r="E35" s="3"/>
    </row>
    <row r="36" spans="2:5" ht="12.75">
      <c r="B36" t="s">
        <v>49</v>
      </c>
      <c r="D36" s="9">
        <f>D16+D27+D29+D31</f>
        <v>7154163.040000001</v>
      </c>
      <c r="E36" s="9">
        <f>E16+E27+E29+E31</f>
        <v>74300.2</v>
      </c>
    </row>
    <row r="37" spans="2:5" ht="12.75">
      <c r="B37" t="s">
        <v>19</v>
      </c>
      <c r="D37" s="33">
        <v>0</v>
      </c>
      <c r="E37" s="33">
        <v>0</v>
      </c>
    </row>
    <row r="38" spans="4:5" ht="13.5" thickBot="1">
      <c r="D38" s="37">
        <f>SUM(D36:D37)</f>
        <v>7154163.040000001</v>
      </c>
      <c r="E38" s="34">
        <f>SUM(E36:E37)</f>
        <v>74300.2</v>
      </c>
    </row>
    <row r="39" ht="13.5" thickTop="1"/>
  </sheetData>
  <sheetProtection/>
  <mergeCells count="2">
    <mergeCell ref="D4:O4"/>
    <mergeCell ref="D6:E6"/>
  </mergeCells>
  <printOptions/>
  <pageMargins left="0.25" right="0.25" top="0.25" bottom="0.25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Whissell</dc:creator>
  <cp:keywords/>
  <dc:description/>
  <cp:lastModifiedBy>nancyw</cp:lastModifiedBy>
  <cp:lastPrinted>2011-10-25T20:25:51Z</cp:lastPrinted>
  <dcterms:created xsi:type="dcterms:W3CDTF">2006-08-16T20:00:17Z</dcterms:created>
  <dcterms:modified xsi:type="dcterms:W3CDTF">2011-10-25T20:25:57Z</dcterms:modified>
  <cp:category/>
  <cp:version/>
  <cp:contentType/>
  <cp:contentStatus/>
</cp:coreProperties>
</file>