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75" windowWidth="15330" windowHeight="2925" tabRatio="835" firstSheet="11" activeTab="1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1B. 2005 Rate Schedule Request" sheetId="13" r:id="rId13"/>
    <sheet name="12. Current Rates" sheetId="14" r:id="rId14"/>
    <sheet name="13. Bill Impact" sheetId="15" r:id="rId15"/>
    <sheet name="Comparison Bill Impacts_RM" sheetId="16" r:id="rId16"/>
  </sheets>
  <externalReferences>
    <externalReference r:id="rId19"/>
  </externalReference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'11B. 2005 Rate Schedule Request'!$A$1:$H$53</definedName>
    <definedName name="_xlnm.Print_Area" localSheetId="13">'12. Current Rates'!$A$1:$D$94</definedName>
    <definedName name="_xlnm.Print_Area" localSheetId="14">'13. Bill Impact'!$A$1:$N$327</definedName>
    <definedName name="_xlnm.Print_Area" localSheetId="2">'2. Adding Final 3rd MARR'!$A$1:$G$212</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RSVA'!$A$1:$G$173</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'11B. 2005 Rate Schedule Request'!$1:$6</definedName>
    <definedName name="_xlnm.Print_Titles" localSheetId="13">'12. Current Rates'!$1:$2</definedName>
    <definedName name="_xlnm.Print_Titles" localSheetId="14">'13.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'11B. 2005 Rate Schedule Request'!$A$1:$H$53</definedName>
    <definedName name="Z_477CBB84_252C_49CD_9E74_12C31D6E2152_.wvu.PrintArea" localSheetId="13" hidden="1">'12. Current Rates'!$A$1:$D$94</definedName>
    <definedName name="Z_477CBB84_252C_49CD_9E74_12C31D6E2152_.wvu.PrintArea" localSheetId="14" hidden="1">'13. Bill Impact'!$A$1:$N$327</definedName>
    <definedName name="Z_477CBB84_252C_49CD_9E74_12C31D6E2152_.wvu.PrintArea" localSheetId="2" hidden="1">'2. Adding Final 3rd MARR'!$A$1:$G$212</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RSVA'!$A$1:$G$173</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'11B. 2005 Rate Schedule Request'!$1:$6</definedName>
    <definedName name="Z_477CBB84_252C_49CD_9E74_12C31D6E2152_.wvu.PrintTitles" localSheetId="13" hidden="1">'12. Current Rates'!$1:$2</definedName>
    <definedName name="Z_477CBB84_252C_49CD_9E74_12C31D6E2152_.wvu.PrintTitles" localSheetId="14"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comments5.xml><?xml version="1.0" encoding="utf-8"?>
<comments xmlns="http://schemas.openxmlformats.org/spreadsheetml/2006/main">
  <authors>
    <author>Rudra Mukherji</author>
  </authors>
  <commentList>
    <comment ref="G14" authorId="0">
      <text>
        <r>
          <rPr>
            <b/>
            <sz val="8"/>
            <rFont val="Tahoma"/>
            <family val="2"/>
          </rPr>
          <t>Rudra Mukherji:</t>
        </r>
        <r>
          <rPr>
            <sz val="8"/>
            <rFont val="Tahoma"/>
            <family val="2"/>
          </rPr>
          <t xml:space="preserve">
This PILs number is derived  by removing item 5 &amp; item 10 &amp; also changing the tax rate to 27.5 as suggest by Duncan&gt;</t>
        </r>
      </text>
    </comment>
  </commentList>
</comments>
</file>

<file path=xl/comments7.xml><?xml version="1.0" encoding="utf-8"?>
<comments xmlns="http://schemas.openxmlformats.org/spreadsheetml/2006/main">
  <authors>
    <author>Your User Name</author>
  </authors>
  <commentList>
    <comment ref="G19" authorId="0">
      <text>
        <r>
          <rPr>
            <b/>
            <sz val="8"/>
            <rFont val="Tahoma"/>
            <family val="2"/>
          </rPr>
          <t>Your User Name:</t>
        </r>
        <r>
          <rPr>
            <sz val="8"/>
            <rFont val="Tahoma"/>
            <family val="2"/>
          </rPr>
          <t xml:space="preserve">
Includes HON LV related amounts (1508, 1525) plus HON 1586 as per Dec 9 decision section 9.0.8  Page 85
</t>
        </r>
      </text>
    </comment>
  </commentList>
</comments>
</file>

<file path=xl/sharedStrings.xml><?xml version="1.0" encoding="utf-8"?>
<sst xmlns="http://schemas.openxmlformats.org/spreadsheetml/2006/main" count="2393" uniqueCount="310">
  <si>
    <t>LARGE USE</t>
  </si>
  <si>
    <t>DISTRIBUTION KWH RATE</t>
  </si>
  <si>
    <t>RESIDENTIAL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</si>
  <si>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</si>
  <si>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</si>
  <si>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</si>
  <si>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</si>
  <si>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</si>
  <si>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</si>
  <si>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</si>
  <si>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</si>
  <si>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</si>
  <si>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</si>
  <si>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</si>
  <si>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</si>
  <si>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</si>
  <si>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</si>
  <si>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</si>
  <si>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</si>
  <si>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</si>
  <si>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</si>
  <si>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</si>
  <si>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</si>
  <si>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</si>
  <si>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</si>
  <si>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</si>
  <si>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</si>
  <si>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</si>
  <si>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</si>
  <si>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</si>
  <si>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</si>
  <si>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</si>
  <si>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</si>
  <si>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</si>
  <si>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</si>
  <si>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</si>
  <si>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</si>
  <si>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</si>
  <si>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</si>
  <si>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</si>
  <si>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</si>
  <si>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</si>
  <si>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</si>
  <si>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</si>
  <si>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</si>
  <si>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</si>
  <si>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</si>
  <si>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</si>
  <si>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</si>
  <si>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</si>
  <si>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</si>
  <si>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</si>
  <si>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</si>
  <si>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</si>
  <si>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</si>
  <si>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</si>
  <si>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</si>
  <si>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</si>
  <si>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</si>
  <si>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</si>
  <si>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</si>
  <si>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</si>
  <si>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</si>
  <si>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</si>
  <si>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</si>
  <si>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</si>
  <si>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</si>
  <si>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</si>
  <si>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</si>
  <si>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</si>
  <si>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</si>
  <si>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</si>
  <si>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</si>
  <si>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</si>
  <si>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</si>
  <si>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</si>
  <si>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</si>
  <si>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</si>
  <si>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</si>
  <si>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</si>
  <si>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</si>
  <si>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</si>
  <si>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</si>
  <si>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Current 2005 Bill</t>
  </si>
  <si>
    <t>Adjusted 2006 BILL</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</si>
  <si>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</si>
  <si>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</si>
  <si>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</si>
  <si>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</si>
  <si>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</si>
  <si>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</si>
  <si>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</si>
  <si>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</si>
  <si>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</si>
  <si>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</si>
  <si>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</si>
  <si>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</si>
  <si>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</si>
  <si>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</si>
  <si>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</si>
  <si>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</si>
  <si>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</si>
  <si>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</si>
  <si>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</si>
  <si>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</si>
  <si>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</si>
  <si>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Street Lighting Class</t>
  </si>
  <si>
    <t>Residential Class (Time-of-Use)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</si>
  <si>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</si>
  <si>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</si>
  <si>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</si>
  <si>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</si>
  <si>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</si>
  <si>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</si>
  <si>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</si>
  <si>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</si>
  <si>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</si>
  <si>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</si>
  <si>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</si>
  <si>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</si>
  <si>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</si>
  <si>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</si>
  <si>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</si>
  <si>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</si>
  <si>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</si>
  <si>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</si>
  <si>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</si>
  <si>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</si>
  <si>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</si>
  <si>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</si>
  <si>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</si>
  <si>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</si>
  <si>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</si>
  <si>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</si>
  <si>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</si>
  <si>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</si>
  <si>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</si>
  <si>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</si>
  <si>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</si>
  <si>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</si>
  <si>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</si>
  <si>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</si>
  <si>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</si>
  <si>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</si>
  <si>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</si>
  <si>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</si>
  <si>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</si>
  <si>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</si>
  <si>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</si>
  <si>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</si>
  <si>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</si>
  <si>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</si>
  <si>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</si>
  <si>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</si>
  <si>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</si>
  <si>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</si>
  <si>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</si>
  <si>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</si>
  <si>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</si>
  <si>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</si>
  <si>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</si>
  <si>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</si>
  <si>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</si>
  <si>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</si>
  <si>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</si>
  <si>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</si>
  <si>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</si>
  <si>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</si>
  <si>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</si>
  <si>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</si>
  <si>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</si>
  <si>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</si>
  <si>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</si>
  <si>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</si>
  <si>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</si>
  <si>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</si>
  <si>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</si>
  <si>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</si>
  <si>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</si>
  <si>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</si>
  <si>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</si>
  <si>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</si>
  <si>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</si>
  <si>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</si>
  <si>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</si>
  <si>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</si>
  <si>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</si>
  <si>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</si>
  <si>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</si>
  <si>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</si>
  <si>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</si>
  <si>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</si>
  <si>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</si>
  <si>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</si>
  <si>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</si>
  <si>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</si>
  <si>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</si>
  <si>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</si>
  <si>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</si>
  <si>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</si>
  <si>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</si>
  <si>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</si>
  <si>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</si>
  <si>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</si>
  <si>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</si>
  <si>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</si>
  <si>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</si>
  <si>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</si>
  <si>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</si>
  <si>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</si>
  <si>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</si>
  <si>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</si>
  <si>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</si>
  <si>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</si>
  <si>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</si>
  <si>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RESIDENTIAL URBAN</t>
  </si>
  <si>
    <t>RESIDENTIAL SUBURBAN</t>
  </si>
  <si>
    <t>GENERAL SERVICE SUBURBAN &lt; 50 KW</t>
  </si>
  <si>
    <t>GENERAL SERVICE SUBURBAN &gt; 50 KW (NON TIME OF USE)</t>
  </si>
  <si>
    <t>RESIDENTIAL SUBURBAN SEASONAL</t>
  </si>
  <si>
    <t>GENERAL SERVICE URBAN &lt; 50 KW</t>
  </si>
  <si>
    <t>GENERAL SERVICE URBAN &gt; 50 KW (NON TIME OF USE)</t>
  </si>
  <si>
    <t>Residential Class URBAN</t>
  </si>
  <si>
    <t>General Service URBAN &lt; 50 KW Class</t>
  </si>
  <si>
    <t>General Service URBAN &gt; 50 KW Non-Time of Use</t>
  </si>
  <si>
    <t>Residential Class SUBURBAN</t>
  </si>
  <si>
    <t>General Service SUBURBAN &lt; 50 KW Class</t>
  </si>
  <si>
    <t>General Service SUBURBAN &gt; 50 KW Non-Time of Use</t>
  </si>
  <si>
    <t>Residential Class SUBURBAN SEASONAL</t>
  </si>
  <si>
    <t>Residential URBAN Class</t>
  </si>
  <si>
    <t>General Service URBAN &lt; 50 kW Class</t>
  </si>
  <si>
    <t>General Service URBAN &gt; 50 kW Class (Non-Time of Use)</t>
  </si>
  <si>
    <t>Residential SUBURBAN Class</t>
  </si>
  <si>
    <t>General Service SUBURBAN &lt; 50 kW Class</t>
  </si>
  <si>
    <t>General Service SUBURBAN &gt; 50 kW Class (Non-Time of Use)</t>
  </si>
  <si>
    <t>Residential SUBURBAN SEASONALClass</t>
  </si>
  <si>
    <t>General Service URBAN &lt; 50 KW</t>
  </si>
  <si>
    <t>General Service URBAN &gt; 50 KW (Non-Time of Use)</t>
  </si>
  <si>
    <t>General Service SUBURBAN &lt; 50 KW</t>
  </si>
  <si>
    <t>General Service SUBURBAN &gt; 50 KW (Non-Time of Use)</t>
  </si>
  <si>
    <t>GENERAL SERVICE URBAN &gt; 50 KW (Non Time of Use)</t>
  </si>
  <si>
    <t>GENERAL SERVICE SUBURBAN &gt; 50 KW (Non Time of Use)</t>
  </si>
  <si>
    <t>RESIDENTIAL URBAN CLASS</t>
  </si>
  <si>
    <t>GENERAL SERVICE URBAN &gt; 50 KW to 3000 KW</t>
  </si>
  <si>
    <t>RESIDENTIAL SUBURBAN CLASS</t>
  </si>
  <si>
    <t>GENERAL SERVICE SUBURBAN &gt; 50 KW to 3000 KW</t>
  </si>
  <si>
    <t>RESIDENTIAL SUBURBAN SEASONALCLASS</t>
  </si>
  <si>
    <t>Brant County Power</t>
  </si>
  <si>
    <t>ED 1999-0191</t>
  </si>
  <si>
    <t>RP-2005-0013</t>
  </si>
  <si>
    <t>EB-2005-0009</t>
  </si>
  <si>
    <t>Grant Brooker</t>
  </si>
  <si>
    <t>gbrooker@brantcountypower.com</t>
  </si>
  <si>
    <t>-</t>
  </si>
  <si>
    <t>SPECIFIC SERVICE CHARGES</t>
  </si>
  <si>
    <t>Late Payment penalty (on current portion of outstanding balance)</t>
  </si>
  <si>
    <t>(per annnum)</t>
  </si>
  <si>
    <t>Return cheque charge - actual bank charges plus</t>
  </si>
  <si>
    <t>Collection of account charge</t>
  </si>
  <si>
    <t>Reconnection during regular working hours</t>
  </si>
  <si>
    <t>Account setup charge</t>
  </si>
  <si>
    <t>Arrears certificate charge</t>
  </si>
  <si>
    <t>Credits</t>
  </si>
  <si>
    <t>Transformer allowance (for customers prior to Jan 1, 2001)</t>
  </si>
  <si>
    <t>$0.60 / kW</t>
  </si>
  <si>
    <t>Total HON Charges to Embedded LDC</t>
  </si>
  <si>
    <t>Dec 31/03 Balance</t>
  </si>
  <si>
    <t>Jan 10/05 approved HON Charges to Embedded LDC</t>
  </si>
  <si>
    <t>519 442 2215</t>
  </si>
  <si>
    <t>January 17, 2005</t>
  </si>
  <si>
    <t>We received interim approval from the OED December 23, 2004</t>
  </si>
  <si>
    <t>We have applied for final approval of our C&amp; DM plan.</t>
  </si>
  <si>
    <t>2002 Statistics by Class</t>
  </si>
  <si>
    <t>RESIDENTIAL CLASS</t>
  </si>
  <si>
    <t>GENERAL SERVICE &lt;50 KW CLASS</t>
  </si>
  <si>
    <t>GENERAL SERVICE &gt;50 KW NON TIME OF USE</t>
  </si>
  <si>
    <t>GENERAL SERVICE &gt;50 KW TIME OF USE</t>
  </si>
  <si>
    <t>Interval Metered</t>
  </si>
  <si>
    <t>LARGE USER CLASS</t>
  </si>
  <si>
    <t>SENTINEL LIGHTS</t>
  </si>
  <si>
    <t>STREET LIGHTING CLASS</t>
  </si>
  <si>
    <t>Unmetered Scattered Loads</t>
  </si>
  <si>
    <t>RESIDENTIAL CLASS - Suburban</t>
  </si>
  <si>
    <t>GENERAL SERVICE &lt;50 KW CLASS - Suburban</t>
  </si>
  <si>
    <t>GENERAL SERVICE &gt;50 KW NON TIME OF USE-Suburban</t>
  </si>
  <si>
    <t>RESIDENTIAL CLASS - Suburban Seasonal</t>
  </si>
  <si>
    <t>Rate Class</t>
  </si>
  <si>
    <t>Consumption Level</t>
  </si>
  <si>
    <t>($)</t>
  </si>
  <si>
    <t>(%)</t>
  </si>
  <si>
    <t>General Service &lt; 50 KW</t>
  </si>
  <si>
    <t>General Service &gt; 50 KW to 3000 KW</t>
  </si>
  <si>
    <t>60 kW, 15,000 kWh</t>
  </si>
  <si>
    <t>100 kW, 40,000 kWh</t>
  </si>
  <si>
    <t>500 kW, 100,000 kWh</t>
  </si>
  <si>
    <t>1000 kW, 400,000 kWh</t>
  </si>
  <si>
    <t>3,000 kW, 1,000,000 kWh</t>
  </si>
  <si>
    <t>Intermediate Class (&gt; 3000 KW to 5000 KW)</t>
  </si>
  <si>
    <t>3,000 kW, 800,000kWh</t>
  </si>
  <si>
    <t>3,000 kW, 1,000,000kWh</t>
  </si>
  <si>
    <t>4,000 kW, 1,200,000 kWh</t>
  </si>
  <si>
    <t>4,000 kW, 1,800,000 kWh</t>
  </si>
  <si>
    <t>Residential Urban</t>
  </si>
  <si>
    <t>Bill Impact</t>
  </si>
  <si>
    <t xml:space="preserve"> (Utility Proposed)</t>
  </si>
  <si>
    <t xml:space="preserve">Bill Impact </t>
  </si>
  <si>
    <t>(Board Guidelines)</t>
  </si>
  <si>
    <t>Large User(&gt; 5000 KW)</t>
  </si>
  <si>
    <t>6,000 kW, 2,800,000kWh</t>
  </si>
  <si>
    <t>15,000 kW, 10,000,000kWh</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</si>
</sst>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 numFmtId="204" formatCode="&quot;$&quot;#,##0;&quot;$&quot;\-#,##0"/>
    <numFmt numFmtId="205" formatCode="&quot;$&quot;#,##0;[Red]&quot;$&quot;\-#,##0"/>
    <numFmt numFmtId="206" formatCode="&quot;$&quot;#,##0.00;&quot;$&quot;\-#,##0.00"/>
    <numFmt numFmtId="207" formatCode="&quot;$&quot;#,##0.00;[Red]&quot;$&quot;\-#,##0.00"/>
    <numFmt numFmtId="208" formatCode="_ &quot;$&quot;* #,##0_ ;_ &quot;$&quot;* \-#,##0_ ;_ &quot;$&quot;* &quot;-&quot;_ ;_ @_ "/>
    <numFmt numFmtId="209" formatCode="_ * #,##0_ ;_ * \-#,##0_ ;_ * &quot;-&quot;_ ;_ @_ "/>
    <numFmt numFmtId="210" formatCode="_ &quot;$&quot;* #,##0.00_ ;_ &quot;$&quot;* \-#,##0.00_ ;_ &quot;$&quot;* &quot;-&quot;??_ ;_ @_ "/>
    <numFmt numFmtId="211" formatCode="_ * #,##0.00_ ;_ * \-#,##0.00_ ;_ * &quot;-&quot;??_ ;_ @_ "/>
    <numFmt numFmtId="212" formatCode="d\-mmm\-yy"/>
    <numFmt numFmtId="213" formatCode="_(* #,##0.0_);_(* \(#,##0.0\);_(* &quot;-&quot;??_);_(@_)"/>
    <numFmt numFmtId="214" formatCode="_(&quot;$&quot;* #,##0.0_);_(&quot;$&quot;* \(#,##0.0\);_(&quot;$&quot;* &quot;-&quot;??_);_(@_)"/>
    <numFmt numFmtId="215" formatCode="_(&quot;$&quot;* #,##0_);_(&quot;$&quot;* \(#,##0\);_(&quot;$&quot;* &quot;-&quot;??_);_(@_)"/>
    <numFmt numFmtId="216" formatCode="[$$-1009]#,##0"/>
    <numFmt numFmtId="217" formatCode="[$$-1009]#,##0;\-[$$-1009]#,##0"/>
    <numFmt numFmtId="218" formatCode="_(&quot;$&quot;* #,##0.00000_);_(&quot;$&quot;* \(#,##0.00000\);_(&quot;$&quot;* &quot;-&quot;??_);_(@_)"/>
  </numFmts>
  <fonts count="73">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8"/>
      <name val="Tahoma"/>
      <family val="2"/>
    </font>
    <font>
      <b/>
      <u val="single"/>
      <sz val="10"/>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8" borderId="0" applyNumberFormat="0" applyBorder="0" applyAlignment="0" applyProtection="0"/>
    <xf numFmtId="0" fontId="71"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61" fillId="3" borderId="0" applyNumberFormat="0" applyBorder="0" applyAlignment="0" applyProtection="0"/>
    <xf numFmtId="0" fontId="65" fillId="20" borderId="1" applyNumberFormat="0" applyAlignment="0" applyProtection="0"/>
    <xf numFmtId="0" fontId="6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69"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60" fillId="4"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3" fillId="7" borderId="1" applyNumberFormat="0" applyAlignment="0" applyProtection="0"/>
    <xf numFmtId="0" fontId="66" fillId="0" borderId="4" applyNumberFormat="0" applyFill="0" applyAlignment="0" applyProtection="0"/>
    <xf numFmtId="0" fontId="62" fillId="22" borderId="0" applyNumberFormat="0" applyBorder="0" applyAlignment="0" applyProtection="0"/>
    <xf numFmtId="0" fontId="0" fillId="23" borderId="5" applyNumberFormat="0" applyFont="0" applyAlignment="0" applyProtection="0"/>
    <xf numFmtId="0" fontId="64" fillId="20" borderId="6"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0" borderId="7" applyNumberFormat="0" applyFont="0" applyBorder="0" applyAlignment="0" applyProtection="0"/>
    <xf numFmtId="0" fontId="68" fillId="0" borderId="0" applyNumberFormat="0" applyFill="0" applyBorder="0" applyAlignment="0" applyProtection="0"/>
  </cellStyleXfs>
  <cellXfs count="739">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7" fontId="0" fillId="0" borderId="0" xfId="0" applyNumberFormat="1" applyFill="1" applyAlignment="1">
      <alignment/>
    </xf>
    <xf numFmtId="170" fontId="0" fillId="0" borderId="0" xfId="45" applyFill="1" applyBorder="1" applyAlignment="1">
      <alignment/>
    </xf>
    <xf numFmtId="0" fontId="1" fillId="24" borderId="0" xfId="0" applyFont="1" applyFill="1" applyAlignment="1">
      <alignment/>
    </xf>
    <xf numFmtId="0" fontId="0" fillId="24" borderId="0" xfId="0" applyFill="1" applyAlignment="1">
      <alignment/>
    </xf>
    <xf numFmtId="0" fontId="3" fillId="24" borderId="0" xfId="0" applyFont="1" applyFill="1" applyAlignment="1">
      <alignment horizontal="center"/>
    </xf>
    <xf numFmtId="0" fontId="11" fillId="24" borderId="0" xfId="0" applyFont="1" applyFill="1" applyAlignment="1">
      <alignment/>
    </xf>
    <xf numFmtId="0" fontId="3" fillId="24" borderId="0" xfId="0" applyFont="1" applyFill="1" applyAlignment="1">
      <alignment/>
    </xf>
    <xf numFmtId="0" fontId="4" fillId="24" borderId="0" xfId="0" applyFont="1" applyFill="1" applyAlignment="1">
      <alignment horizontal="center"/>
    </xf>
    <xf numFmtId="0" fontId="0" fillId="24" borderId="0" xfId="0" applyFill="1" applyAlignment="1">
      <alignment horizontal="right"/>
    </xf>
    <xf numFmtId="176" fontId="0" fillId="24" borderId="0" xfId="0" applyNumberFormat="1" applyFill="1" applyAlignment="1">
      <alignment/>
    </xf>
    <xf numFmtId="176" fontId="0" fillId="24" borderId="0" xfId="0" applyNumberFormat="1" applyFill="1" applyAlignment="1">
      <alignment horizontal="center"/>
    </xf>
    <xf numFmtId="176" fontId="11" fillId="24" borderId="0" xfId="0" applyNumberFormat="1" applyFont="1" applyFill="1" applyAlignment="1">
      <alignment/>
    </xf>
    <xf numFmtId="0" fontId="3" fillId="24" borderId="0" xfId="0" applyFont="1" applyFill="1" applyBorder="1" applyAlignment="1">
      <alignment horizontal="center"/>
    </xf>
    <xf numFmtId="176" fontId="0" fillId="24" borderId="8" xfId="0" applyNumberFormat="1" applyFill="1" applyBorder="1" applyAlignment="1">
      <alignment/>
    </xf>
    <xf numFmtId="176" fontId="0" fillId="24" borderId="0" xfId="0" applyNumberFormat="1" applyFill="1" applyBorder="1" applyAlignment="1">
      <alignment/>
    </xf>
    <xf numFmtId="176" fontId="11" fillId="24" borderId="0" xfId="0" applyNumberFormat="1" applyFont="1" applyFill="1" applyBorder="1" applyAlignment="1">
      <alignment/>
    </xf>
    <xf numFmtId="177" fontId="11" fillId="24" borderId="0" xfId="0" applyNumberFormat="1" applyFont="1" applyFill="1" applyBorder="1" applyAlignment="1">
      <alignment/>
    </xf>
    <xf numFmtId="176" fontId="0" fillId="24" borderId="9" xfId="0" applyNumberFormat="1" applyFill="1" applyBorder="1" applyAlignment="1">
      <alignment/>
    </xf>
    <xf numFmtId="176" fontId="3" fillId="24" borderId="0" xfId="0" applyNumberFormat="1" applyFont="1" applyFill="1" applyAlignment="1">
      <alignment horizontal="center"/>
    </xf>
    <xf numFmtId="177" fontId="0" fillId="24" borderId="0" xfId="0" applyNumberFormat="1" applyFill="1" applyAlignment="1">
      <alignment horizontal="center"/>
    </xf>
    <xf numFmtId="0" fontId="2" fillId="24" borderId="0" xfId="0" applyFont="1" applyFill="1" applyBorder="1" applyAlignment="1" applyProtection="1">
      <alignment/>
      <protection locked="0"/>
    </xf>
    <xf numFmtId="0" fontId="0" fillId="24" borderId="0" xfId="0" applyFill="1" applyBorder="1" applyAlignment="1">
      <alignment horizontal="left"/>
    </xf>
    <xf numFmtId="0" fontId="2" fillId="24" borderId="0" xfId="0" applyFont="1" applyFill="1" applyBorder="1" applyAlignment="1">
      <alignment/>
    </xf>
    <xf numFmtId="15" fontId="0" fillId="24" borderId="0" xfId="0" applyNumberFormat="1" applyFill="1" applyBorder="1" applyAlignment="1">
      <alignment horizontal="left"/>
    </xf>
    <xf numFmtId="0" fontId="0" fillId="24" borderId="0" xfId="0" applyFill="1" applyAlignment="1">
      <alignment horizontal="center"/>
    </xf>
    <xf numFmtId="0" fontId="0" fillId="24" borderId="0" xfId="0" applyFill="1" applyBorder="1" applyAlignment="1">
      <alignment/>
    </xf>
    <xf numFmtId="0" fontId="3" fillId="24" borderId="0" xfId="0" applyFont="1" applyFill="1" applyBorder="1" applyAlignment="1">
      <alignment/>
    </xf>
    <xf numFmtId="0" fontId="2" fillId="24" borderId="0" xfId="0" applyFont="1" applyFill="1" applyBorder="1" applyAlignment="1" applyProtection="1">
      <alignment horizontal="right"/>
      <protection locked="0"/>
    </xf>
    <xf numFmtId="0" fontId="0" fillId="24" borderId="9" xfId="0" applyFill="1" applyBorder="1" applyAlignment="1">
      <alignment/>
    </xf>
    <xf numFmtId="0" fontId="18" fillId="24" borderId="0" xfId="0" applyFont="1" applyFill="1" applyAlignment="1">
      <alignment/>
    </xf>
    <xf numFmtId="0" fontId="2" fillId="24" borderId="0" xfId="0" applyFont="1" applyFill="1" applyAlignment="1" applyProtection="1">
      <alignment/>
      <protection locked="0"/>
    </xf>
    <xf numFmtId="0" fontId="20" fillId="24" borderId="0" xfId="0" applyFont="1" applyFill="1" applyAlignment="1">
      <alignment/>
    </xf>
    <xf numFmtId="0" fontId="24" fillId="24" borderId="0" xfId="0" applyFont="1" applyFill="1" applyAlignment="1">
      <alignment/>
    </xf>
    <xf numFmtId="15" fontId="18" fillId="24" borderId="0" xfId="0" applyNumberFormat="1" applyFont="1" applyFill="1" applyAlignment="1">
      <alignment/>
    </xf>
    <xf numFmtId="0" fontId="21" fillId="24" borderId="0" xfId="0" applyFont="1" applyFill="1" applyAlignment="1">
      <alignment/>
    </xf>
    <xf numFmtId="0" fontId="19" fillId="24" borderId="9" xfId="0" applyFont="1" applyFill="1" applyBorder="1" applyAlignment="1">
      <alignment horizontal="right"/>
    </xf>
    <xf numFmtId="0" fontId="13" fillId="24" borderId="0" xfId="0" applyFont="1" applyFill="1" applyAlignment="1">
      <alignment/>
    </xf>
    <xf numFmtId="0" fontId="11" fillId="24" borderId="0" xfId="0" applyFont="1" applyFill="1" applyAlignment="1">
      <alignment wrapText="1"/>
    </xf>
    <xf numFmtId="177" fontId="11" fillId="24" borderId="0" xfId="0" applyNumberFormat="1" applyFont="1" applyFill="1" applyAlignment="1">
      <alignment/>
    </xf>
    <xf numFmtId="187" fontId="11" fillId="24" borderId="0" xfId="0" applyNumberFormat="1" applyFont="1" applyFill="1" applyAlignment="1">
      <alignment/>
    </xf>
    <xf numFmtId="0" fontId="11" fillId="24" borderId="0" xfId="0" applyNumberFormat="1" applyFont="1" applyFill="1" applyAlignment="1">
      <alignment/>
    </xf>
    <xf numFmtId="0" fontId="8" fillId="24" borderId="0" xfId="0" applyFont="1" applyFill="1" applyAlignment="1">
      <alignment/>
    </xf>
    <xf numFmtId="176" fontId="11" fillId="24" borderId="0" xfId="0" applyNumberFormat="1" applyFont="1" applyFill="1" applyAlignment="1">
      <alignment wrapText="1"/>
    </xf>
    <xf numFmtId="177" fontId="0" fillId="24" borderId="0" xfId="0" applyNumberFormat="1" applyFill="1" applyAlignment="1">
      <alignment/>
    </xf>
    <xf numFmtId="177" fontId="0" fillId="24" borderId="0" xfId="0" applyNumberFormat="1" applyFill="1" applyBorder="1" applyAlignment="1">
      <alignment/>
    </xf>
    <xf numFmtId="177" fontId="0" fillId="24" borderId="9" xfId="0" applyNumberFormat="1" applyFill="1" applyBorder="1" applyAlignment="1">
      <alignment/>
    </xf>
    <xf numFmtId="176" fontId="0" fillId="24" borderId="0" xfId="0" applyNumberFormat="1" applyFill="1" applyAlignment="1">
      <alignment wrapText="1"/>
    </xf>
    <xf numFmtId="0" fontId="0" fillId="24" borderId="0" xfId="0" applyFill="1" applyAlignment="1">
      <alignment wrapText="1"/>
    </xf>
    <xf numFmtId="0" fontId="6" fillId="24" borderId="0" xfId="0" applyFont="1" applyFill="1" applyAlignment="1">
      <alignment/>
    </xf>
    <xf numFmtId="0" fontId="10" fillId="24" borderId="0" xfId="0" applyFont="1" applyFill="1" applyAlignment="1">
      <alignment/>
    </xf>
    <xf numFmtId="170" fontId="0" fillId="24" borderId="0" xfId="45" applyFill="1" applyAlignment="1">
      <alignment/>
    </xf>
    <xf numFmtId="10" fontId="0" fillId="24" borderId="0" xfId="45" applyNumberFormat="1" applyFill="1" applyAlignment="1">
      <alignment/>
    </xf>
    <xf numFmtId="0" fontId="8" fillId="24" borderId="9" xfId="0" applyNumberFormat="1" applyFont="1" applyFill="1" applyBorder="1" applyAlignment="1">
      <alignment horizontal="center"/>
    </xf>
    <xf numFmtId="176" fontId="11" fillId="24" borderId="9" xfId="0" applyNumberFormat="1" applyFont="1" applyFill="1" applyBorder="1" applyAlignment="1">
      <alignment/>
    </xf>
    <xf numFmtId="0" fontId="8" fillId="24" borderId="10" xfId="0" applyNumberFormat="1" applyFont="1" applyFill="1" applyBorder="1" applyAlignment="1">
      <alignment horizontal="center"/>
    </xf>
    <xf numFmtId="176" fontId="11" fillId="24" borderId="10" xfId="0" applyNumberFormat="1" applyFont="1" applyFill="1" applyBorder="1" applyAlignment="1">
      <alignment/>
    </xf>
    <xf numFmtId="0" fontId="11" fillId="24" borderId="10" xfId="0" applyFont="1" applyFill="1" applyBorder="1" applyAlignment="1">
      <alignment wrapText="1"/>
    </xf>
    <xf numFmtId="176" fontId="11" fillId="24" borderId="10" xfId="0" applyNumberFormat="1" applyFont="1" applyFill="1" applyBorder="1" applyAlignment="1">
      <alignment horizontal="center"/>
    </xf>
    <xf numFmtId="0" fontId="8" fillId="7" borderId="0" xfId="0" applyFont="1" applyFill="1" applyAlignment="1">
      <alignment/>
    </xf>
    <xf numFmtId="0" fontId="11" fillId="7" borderId="0" xfId="0" applyNumberFormat="1" applyFont="1" applyFill="1" applyAlignment="1">
      <alignment/>
    </xf>
    <xf numFmtId="187" fontId="11" fillId="7" borderId="11" xfId="0" applyNumberFormat="1" applyFont="1" applyFill="1" applyBorder="1" applyAlignment="1">
      <alignment horizontal="right"/>
    </xf>
    <xf numFmtId="0" fontId="28" fillId="24" borderId="0" xfId="0" applyFont="1" applyFill="1" applyAlignment="1">
      <alignment/>
    </xf>
    <xf numFmtId="0" fontId="28" fillId="0" borderId="0" xfId="0" applyFont="1" applyFill="1" applyAlignment="1">
      <alignment/>
    </xf>
    <xf numFmtId="0" fontId="30" fillId="24" borderId="0" xfId="0" applyFont="1" applyFill="1" applyBorder="1" applyAlignment="1">
      <alignment/>
    </xf>
    <xf numFmtId="176" fontId="11" fillId="24" borderId="0" xfId="0" applyNumberFormat="1" applyFont="1" applyFill="1" applyBorder="1" applyAlignment="1">
      <alignment horizontal="center"/>
    </xf>
    <xf numFmtId="0" fontId="8" fillId="24" borderId="0" xfId="0" applyFont="1" applyFill="1" applyBorder="1" applyAlignment="1">
      <alignment horizontal="left"/>
    </xf>
    <xf numFmtId="0" fontId="8" fillId="24" borderId="9" xfId="0" applyFont="1" applyFill="1" applyBorder="1" applyAlignment="1">
      <alignment horizontal="left"/>
    </xf>
    <xf numFmtId="176" fontId="33" fillId="24" borderId="9" xfId="0" applyNumberFormat="1" applyFont="1" applyFill="1" applyBorder="1" applyAlignment="1">
      <alignment horizontal="center" vertical="center"/>
    </xf>
    <xf numFmtId="176" fontId="34" fillId="24" borderId="0" xfId="0" applyNumberFormat="1" applyFont="1" applyFill="1" applyBorder="1" applyAlignment="1">
      <alignment/>
    </xf>
    <xf numFmtId="176" fontId="34" fillId="24" borderId="9" xfId="0" applyNumberFormat="1" applyFont="1" applyFill="1" applyBorder="1" applyAlignment="1">
      <alignment/>
    </xf>
    <xf numFmtId="176" fontId="33" fillId="24" borderId="9" xfId="0" applyNumberFormat="1" applyFont="1" applyFill="1" applyBorder="1" applyAlignment="1">
      <alignment horizontal="center"/>
    </xf>
    <xf numFmtId="176" fontId="33" fillId="7" borderId="0" xfId="0" applyNumberFormat="1" applyFont="1" applyFill="1" applyAlignment="1">
      <alignment horizontal="center"/>
    </xf>
    <xf numFmtId="176" fontId="34" fillId="24" borderId="0" xfId="0" applyNumberFormat="1" applyFont="1" applyFill="1" applyAlignment="1">
      <alignment/>
    </xf>
    <xf numFmtId="176" fontId="34" fillId="24" borderId="0" xfId="0" applyNumberFormat="1" applyFont="1" applyFill="1" applyAlignment="1">
      <alignment horizontal="center"/>
    </xf>
    <xf numFmtId="177" fontId="0" fillId="24" borderId="8" xfId="0" applyNumberFormat="1" applyFill="1" applyBorder="1" applyAlignment="1">
      <alignment/>
    </xf>
    <xf numFmtId="0" fontId="10" fillId="24" borderId="0" xfId="0" applyFont="1" applyFill="1" applyBorder="1" applyAlignment="1">
      <alignment/>
    </xf>
    <xf numFmtId="0" fontId="31" fillId="24" borderId="12" xfId="0" applyFont="1" applyFill="1" applyBorder="1" applyAlignment="1">
      <alignment/>
    </xf>
    <xf numFmtId="176" fontId="18" fillId="24" borderId="13" xfId="0" applyNumberFormat="1" applyFont="1" applyFill="1" applyBorder="1" applyAlignment="1">
      <alignment/>
    </xf>
    <xf numFmtId="176" fontId="30" fillId="24" borderId="13" xfId="0" applyNumberFormat="1" applyFont="1" applyFill="1" applyBorder="1" applyAlignment="1">
      <alignment/>
    </xf>
    <xf numFmtId="187" fontId="11" fillId="24" borderId="14" xfId="0" applyNumberFormat="1" applyFont="1" applyFill="1" applyBorder="1" applyAlignment="1">
      <alignment/>
    </xf>
    <xf numFmtId="0" fontId="0" fillId="24" borderId="15" xfId="0" applyFill="1" applyBorder="1" applyAlignment="1">
      <alignment/>
    </xf>
    <xf numFmtId="187" fontId="11" fillId="24" borderId="16" xfId="0" applyNumberFormat="1" applyFont="1" applyFill="1" applyBorder="1" applyAlignment="1">
      <alignment/>
    </xf>
    <xf numFmtId="0" fontId="8" fillId="24" borderId="15" xfId="0" applyFont="1" applyFill="1" applyBorder="1" applyAlignment="1">
      <alignment/>
    </xf>
    <xf numFmtId="177" fontId="0" fillId="24" borderId="16" xfId="0" applyNumberFormat="1" applyFill="1" applyBorder="1" applyAlignment="1">
      <alignment/>
    </xf>
    <xf numFmtId="177" fontId="11" fillId="24" borderId="16" xfId="0" applyNumberFormat="1" applyFont="1" applyFill="1" applyBorder="1" applyAlignment="1">
      <alignment horizontal="center"/>
    </xf>
    <xf numFmtId="187" fontId="11" fillId="24" borderId="16" xfId="0" applyNumberFormat="1" applyFont="1" applyFill="1" applyBorder="1" applyAlignment="1">
      <alignment horizontal="center"/>
    </xf>
    <xf numFmtId="0" fontId="11" fillId="24" borderId="15" xfId="0" applyFont="1" applyFill="1" applyBorder="1" applyAlignment="1">
      <alignment/>
    </xf>
    <xf numFmtId="0" fontId="11" fillId="24" borderId="16" xfId="0" applyFont="1" applyFill="1" applyBorder="1" applyAlignment="1">
      <alignment horizontal="center"/>
    </xf>
    <xf numFmtId="0" fontId="0" fillId="24" borderId="17" xfId="0" applyFill="1" applyBorder="1" applyAlignment="1">
      <alignment/>
    </xf>
    <xf numFmtId="176" fontId="0" fillId="24" borderId="18" xfId="0" applyNumberFormat="1" applyFill="1" applyBorder="1" applyAlignment="1">
      <alignment/>
    </xf>
    <xf numFmtId="177" fontId="0" fillId="24" borderId="19" xfId="0" applyNumberFormat="1" applyFill="1" applyBorder="1" applyAlignment="1">
      <alignment/>
    </xf>
    <xf numFmtId="0" fontId="18" fillId="24" borderId="13" xfId="0" applyFont="1" applyFill="1" applyBorder="1" applyAlignment="1">
      <alignment/>
    </xf>
    <xf numFmtId="0" fontId="13" fillId="24" borderId="15" xfId="0" applyFont="1" applyFill="1" applyBorder="1" applyAlignment="1">
      <alignment/>
    </xf>
    <xf numFmtId="177" fontId="11" fillId="24" borderId="16" xfId="0" applyNumberFormat="1" applyFont="1" applyFill="1" applyBorder="1" applyAlignment="1">
      <alignment/>
    </xf>
    <xf numFmtId="0" fontId="0" fillId="24" borderId="16" xfId="0" applyFill="1" applyBorder="1" applyAlignment="1">
      <alignment/>
    </xf>
    <xf numFmtId="0" fontId="8" fillId="24" borderId="15" xfId="0" applyFont="1" applyFill="1" applyBorder="1" applyAlignment="1">
      <alignment horizontal="left"/>
    </xf>
    <xf numFmtId="187" fontId="11" fillId="7" borderId="20" xfId="0" applyNumberFormat="1" applyFont="1" applyFill="1" applyBorder="1" applyAlignment="1">
      <alignment horizontal="center" vertical="center"/>
    </xf>
    <xf numFmtId="187" fontId="11" fillId="7" borderId="20" xfId="0" applyNumberFormat="1" applyFont="1" applyFill="1" applyBorder="1" applyAlignment="1">
      <alignment horizontal="center"/>
    </xf>
    <xf numFmtId="187" fontId="8" fillId="7" borderId="21" xfId="0" applyNumberFormat="1" applyFont="1" applyFill="1" applyBorder="1" applyAlignment="1">
      <alignment horizontal="center"/>
    </xf>
    <xf numFmtId="170" fontId="0" fillId="24" borderId="0" xfId="45" applyFont="1" applyFill="1" applyAlignment="1">
      <alignment/>
    </xf>
    <xf numFmtId="0" fontId="0" fillId="24" borderId="0" xfId="0" applyFill="1" applyAlignment="1" quotePrefix="1">
      <alignment/>
    </xf>
    <xf numFmtId="176" fontId="0" fillId="4" borderId="9" xfId="0" applyNumberFormat="1" applyFill="1" applyBorder="1" applyAlignment="1">
      <alignment/>
    </xf>
    <xf numFmtId="177" fontId="0" fillId="4" borderId="9" xfId="0" applyNumberFormat="1" applyFill="1" applyBorder="1" applyAlignment="1">
      <alignment/>
    </xf>
    <xf numFmtId="0" fontId="0" fillId="24" borderId="9" xfId="0" applyFont="1" applyFill="1" applyBorder="1" applyAlignment="1">
      <alignment/>
    </xf>
    <xf numFmtId="176" fontId="0" fillId="24" borderId="9" xfId="0" applyNumberFormat="1" applyFont="1" applyFill="1" applyBorder="1" applyAlignment="1">
      <alignment/>
    </xf>
    <xf numFmtId="176" fontId="0" fillId="4" borderId="9" xfId="0" applyNumberFormat="1" applyFont="1" applyFill="1" applyBorder="1" applyAlignment="1">
      <alignment/>
    </xf>
    <xf numFmtId="0" fontId="0" fillId="24" borderId="0" xfId="0" applyFont="1" applyFill="1" applyAlignment="1">
      <alignment/>
    </xf>
    <xf numFmtId="176" fontId="0" fillId="24" borderId="0" xfId="0" applyNumberFormat="1" applyFont="1" applyFill="1" applyAlignment="1">
      <alignment/>
    </xf>
    <xf numFmtId="177" fontId="0" fillId="4" borderId="9" xfId="0" applyNumberFormat="1" applyFont="1" applyFill="1" applyBorder="1" applyAlignment="1">
      <alignment/>
    </xf>
    <xf numFmtId="0" fontId="36" fillId="24" borderId="0" xfId="0" applyFont="1" applyFill="1" applyAlignment="1">
      <alignment/>
    </xf>
    <xf numFmtId="0" fontId="1" fillId="24" borderId="0" xfId="0" applyFont="1" applyFill="1" applyAlignment="1" applyProtection="1">
      <alignment/>
      <protection locked="0"/>
    </xf>
    <xf numFmtId="0" fontId="0" fillId="24" borderId="0" xfId="0" applyFont="1" applyFill="1" applyAlignment="1">
      <alignment horizontal="right"/>
    </xf>
    <xf numFmtId="0" fontId="2" fillId="25" borderId="0" xfId="0" applyFont="1" applyFill="1" applyAlignment="1">
      <alignment/>
    </xf>
    <xf numFmtId="170" fontId="0" fillId="24" borderId="0" xfId="45" applyFont="1" applyFill="1" applyBorder="1" applyAlignment="1">
      <alignment/>
    </xf>
    <xf numFmtId="170" fontId="0" fillId="24" borderId="0" xfId="0" applyNumberFormat="1" applyFill="1" applyAlignment="1">
      <alignment/>
    </xf>
    <xf numFmtId="0" fontId="0" fillId="24" borderId="0" xfId="0" applyFill="1" applyAlignment="1">
      <alignment horizontal="center" vertical="top" wrapText="1"/>
    </xf>
    <xf numFmtId="0" fontId="0" fillId="24" borderId="0" xfId="0" applyFill="1" applyBorder="1" applyAlignment="1">
      <alignment horizontal="right"/>
    </xf>
    <xf numFmtId="3" fontId="0" fillId="24" borderId="0" xfId="0" applyNumberFormat="1" applyFill="1" applyBorder="1" applyAlignment="1">
      <alignment/>
    </xf>
    <xf numFmtId="37" fontId="0" fillId="24" borderId="0" xfId="45" applyNumberFormat="1" applyFont="1" applyFill="1" applyBorder="1" applyAlignment="1">
      <alignment horizontal="right"/>
    </xf>
    <xf numFmtId="166" fontId="0" fillId="24" borderId="0" xfId="45" applyNumberFormat="1" applyFont="1" applyFill="1" applyAlignment="1">
      <alignment/>
    </xf>
    <xf numFmtId="37" fontId="0" fillId="24" borderId="0" xfId="45" applyNumberFormat="1" applyFont="1" applyFill="1" applyAlignment="1">
      <alignment horizontal="center"/>
    </xf>
    <xf numFmtId="166" fontId="0" fillId="24" borderId="0" xfId="45" applyNumberFormat="1" applyFont="1" applyFill="1" applyBorder="1" applyAlignment="1">
      <alignment/>
    </xf>
    <xf numFmtId="173" fontId="0" fillId="24" borderId="0" xfId="42" applyNumberFormat="1" applyFont="1" applyFill="1" applyBorder="1" applyAlignment="1">
      <alignment/>
    </xf>
    <xf numFmtId="171" fontId="0" fillId="24" borderId="0" xfId="42" applyFont="1" applyFill="1" applyBorder="1" applyAlignment="1">
      <alignment/>
    </xf>
    <xf numFmtId="171" fontId="0" fillId="24" borderId="0" xfId="45" applyNumberFormat="1" applyFont="1" applyFill="1" applyAlignment="1">
      <alignment/>
    </xf>
    <xf numFmtId="0" fontId="2" fillId="24" borderId="0" xfId="0" applyFont="1" applyFill="1" applyAlignment="1">
      <alignment/>
    </xf>
    <xf numFmtId="0" fontId="5" fillId="24" borderId="0" xfId="0" applyFont="1" applyFill="1" applyAlignment="1">
      <alignment/>
    </xf>
    <xf numFmtId="0" fontId="0" fillId="24" borderId="0" xfId="0" applyFill="1" applyAlignment="1">
      <alignment horizontal="center" wrapText="1"/>
    </xf>
    <xf numFmtId="175" fontId="0" fillId="24" borderId="0" xfId="45" applyNumberFormat="1" applyFont="1" applyFill="1" applyAlignment="1">
      <alignment/>
    </xf>
    <xf numFmtId="3" fontId="0" fillId="4" borderId="0" xfId="0" applyNumberFormat="1" applyFill="1" applyBorder="1" applyAlignment="1">
      <alignment/>
    </xf>
    <xf numFmtId="3" fontId="0" fillId="4" borderId="9" xfId="0" applyNumberFormat="1" applyFill="1" applyBorder="1" applyAlignment="1">
      <alignment/>
    </xf>
    <xf numFmtId="0" fontId="34" fillId="24" borderId="0" xfId="0" applyFont="1" applyFill="1" applyAlignment="1">
      <alignment/>
    </xf>
    <xf numFmtId="0" fontId="37" fillId="24" borderId="0" xfId="0" applyFont="1" applyFill="1" applyAlignment="1">
      <alignment/>
    </xf>
    <xf numFmtId="170" fontId="0" fillId="24" borderId="9" xfId="45" applyFont="1" applyFill="1" applyBorder="1" applyAlignment="1">
      <alignment/>
    </xf>
    <xf numFmtId="0" fontId="30" fillId="24" borderId="0" xfId="0" applyFont="1" applyFill="1" applyAlignment="1">
      <alignment/>
    </xf>
    <xf numFmtId="0" fontId="38" fillId="24" borderId="0" xfId="0" applyFont="1" applyFill="1" applyAlignment="1">
      <alignment/>
    </xf>
    <xf numFmtId="0" fontId="39" fillId="24" borderId="0" xfId="0" applyFont="1" applyFill="1" applyAlignment="1" quotePrefix="1">
      <alignment/>
    </xf>
    <xf numFmtId="170" fontId="39" fillId="24" borderId="0" xfId="45" applyFont="1" applyFill="1" applyAlignment="1">
      <alignment/>
    </xf>
    <xf numFmtId="0" fontId="39" fillId="24" borderId="0" xfId="0" applyFont="1" applyFill="1" applyAlignment="1">
      <alignment/>
    </xf>
    <xf numFmtId="184" fontId="0" fillId="24" borderId="0" xfId="45" applyNumberFormat="1" applyFont="1" applyFill="1" applyBorder="1" applyAlignment="1">
      <alignment horizontal="right"/>
    </xf>
    <xf numFmtId="184" fontId="0" fillId="24" borderId="9" xfId="45" applyNumberFormat="1" applyFont="1" applyFill="1" applyBorder="1" applyAlignment="1">
      <alignment horizontal="right"/>
    </xf>
    <xf numFmtId="170" fontId="0" fillId="24" borderId="0" xfId="45" applyFont="1" applyFill="1" applyBorder="1" applyAlignment="1">
      <alignment horizontal="right"/>
    </xf>
    <xf numFmtId="0" fontId="3" fillId="24" borderId="15" xfId="0" applyFont="1" applyFill="1" applyBorder="1" applyAlignment="1">
      <alignment/>
    </xf>
    <xf numFmtId="0" fontId="0" fillId="24" borderId="18" xfId="0" applyFill="1" applyBorder="1" applyAlignment="1">
      <alignment/>
    </xf>
    <xf numFmtId="0" fontId="0" fillId="24" borderId="19" xfId="0" applyFill="1" applyBorder="1" applyAlignment="1">
      <alignment/>
    </xf>
    <xf numFmtId="0" fontId="2" fillId="24" borderId="22" xfId="0" applyFont="1" applyFill="1" applyBorder="1" applyAlignment="1">
      <alignment vertical="center"/>
    </xf>
    <xf numFmtId="0" fontId="3" fillId="24" borderId="23" xfId="0" applyFont="1" applyFill="1" applyBorder="1" applyAlignment="1">
      <alignment horizontal="right" vertical="center" wrapText="1"/>
    </xf>
    <xf numFmtId="0" fontId="3" fillId="24" borderId="24" xfId="0" applyFont="1" applyFill="1" applyBorder="1" applyAlignment="1">
      <alignment horizontal="right" vertical="center" wrapText="1"/>
    </xf>
    <xf numFmtId="3" fontId="3" fillId="24" borderId="0" xfId="42" applyNumberFormat="1" applyFont="1" applyFill="1" applyBorder="1" applyAlignment="1">
      <alignment/>
    </xf>
    <xf numFmtId="166" fontId="3" fillId="24" borderId="0" xfId="42" applyNumberFormat="1" applyFont="1" applyFill="1" applyBorder="1" applyAlignment="1">
      <alignment/>
    </xf>
    <xf numFmtId="171" fontId="3" fillId="24" borderId="0" xfId="42" applyNumberFormat="1" applyFont="1" applyFill="1" applyBorder="1" applyAlignment="1">
      <alignment horizontal="right"/>
    </xf>
    <xf numFmtId="10" fontId="0" fillId="24" borderId="0" xfId="0" applyNumberFormat="1" applyFill="1" applyAlignment="1">
      <alignment/>
    </xf>
    <xf numFmtId="0" fontId="0" fillId="20" borderId="0" xfId="0" applyFill="1" applyAlignment="1">
      <alignment/>
    </xf>
    <xf numFmtId="2" fontId="0" fillId="20" borderId="0" xfId="0" applyNumberFormat="1" applyFill="1" applyAlignment="1">
      <alignment/>
    </xf>
    <xf numFmtId="10" fontId="0" fillId="20" borderId="0" xfId="0" applyNumberFormat="1" applyFill="1" applyAlignment="1">
      <alignment/>
    </xf>
    <xf numFmtId="0" fontId="2" fillId="24" borderId="0" xfId="0" applyFont="1" applyFill="1" applyAlignment="1">
      <alignment horizontal="center"/>
    </xf>
    <xf numFmtId="2" fontId="0" fillId="24" borderId="0" xfId="0" applyNumberFormat="1" applyFill="1" applyAlignment="1">
      <alignment/>
    </xf>
    <xf numFmtId="0" fontId="4" fillId="24" borderId="0" xfId="0" applyFont="1" applyFill="1" applyBorder="1" applyAlignment="1">
      <alignment horizontal="center" vertical="center"/>
    </xf>
    <xf numFmtId="0" fontId="44" fillId="24" borderId="0" xfId="0" applyFont="1" applyFill="1" applyAlignment="1">
      <alignment/>
    </xf>
    <xf numFmtId="0" fontId="44" fillId="24" borderId="0" xfId="0" applyFont="1" applyFill="1" applyAlignment="1">
      <alignment horizontal="center"/>
    </xf>
    <xf numFmtId="2" fontId="30" fillId="24" borderId="0" xfId="0" applyNumberFormat="1" applyFont="1" applyFill="1" applyAlignment="1">
      <alignment/>
    </xf>
    <xf numFmtId="0" fontId="0" fillId="20" borderId="25" xfId="0" applyFill="1" applyBorder="1" applyAlignment="1">
      <alignment/>
    </xf>
    <xf numFmtId="0" fontId="0" fillId="20" borderId="26" xfId="0" applyFill="1" applyBorder="1" applyAlignment="1">
      <alignment/>
    </xf>
    <xf numFmtId="0" fontId="25" fillId="24" borderId="12" xfId="0" applyFont="1" applyFill="1" applyBorder="1" applyAlignment="1">
      <alignment wrapText="1"/>
    </xf>
    <xf numFmtId="0" fontId="3" fillId="24" borderId="13" xfId="0" applyFont="1" applyFill="1" applyBorder="1" applyAlignment="1">
      <alignment/>
    </xf>
    <xf numFmtId="0" fontId="0" fillId="24" borderId="13" xfId="0" applyFill="1" applyBorder="1" applyAlignment="1">
      <alignment/>
    </xf>
    <xf numFmtId="3" fontId="3" fillId="4" borderId="27" xfId="0" applyNumberFormat="1" applyFont="1" applyFill="1" applyBorder="1" applyAlignment="1">
      <alignment horizontal="center"/>
    </xf>
    <xf numFmtId="0" fontId="9" fillId="24" borderId="15" xfId="0" applyFont="1" applyFill="1" applyBorder="1" applyAlignment="1">
      <alignment/>
    </xf>
    <xf numFmtId="0" fontId="0" fillId="24" borderId="28" xfId="0" applyFont="1" applyFill="1" applyBorder="1" applyAlignment="1">
      <alignment horizontal="center" wrapText="1"/>
    </xf>
    <xf numFmtId="0" fontId="0" fillId="24" borderId="29" xfId="0" applyFill="1" applyBorder="1" applyAlignment="1">
      <alignment horizontal="right" vertical="center"/>
    </xf>
    <xf numFmtId="0" fontId="0" fillId="0" borderId="29" xfId="0" applyBorder="1" applyAlignment="1">
      <alignment horizontal="right" vertical="center"/>
    </xf>
    <xf numFmtId="170" fontId="3" fillId="24" borderId="30" xfId="47" applyFont="1" applyFill="1" applyBorder="1" applyAlignment="1">
      <alignment vertical="center"/>
    </xf>
    <xf numFmtId="0" fontId="0" fillId="24" borderId="31" xfId="0" applyFont="1" applyFill="1" applyBorder="1" applyAlignment="1">
      <alignment horizontal="center" wrapText="1"/>
    </xf>
    <xf numFmtId="0" fontId="0" fillId="24" borderId="29" xfId="0" applyFill="1" applyBorder="1" applyAlignment="1">
      <alignment horizontal="right"/>
    </xf>
    <xf numFmtId="170" fontId="0" fillId="24" borderId="0" xfId="47" applyFill="1" applyBorder="1" applyAlignment="1">
      <alignment/>
    </xf>
    <xf numFmtId="0" fontId="0" fillId="24" borderId="32" xfId="0" applyFont="1" applyFill="1" applyBorder="1" applyAlignment="1">
      <alignment horizontal="center" wrapText="1"/>
    </xf>
    <xf numFmtId="0" fontId="0" fillId="24" borderId="33" xfId="0" applyFill="1" applyBorder="1" applyAlignment="1">
      <alignment vertical="center"/>
    </xf>
    <xf numFmtId="176" fontId="3" fillId="24" borderId="34" xfId="0" applyNumberFormat="1" applyFont="1" applyFill="1" applyBorder="1" applyAlignment="1">
      <alignment vertical="center"/>
    </xf>
    <xf numFmtId="170" fontId="0" fillId="0" borderId="35" xfId="47" applyBorder="1" applyAlignment="1">
      <alignment vertical="center"/>
    </xf>
    <xf numFmtId="0" fontId="0" fillId="24" borderId="36" xfId="0" applyFont="1" applyFill="1" applyBorder="1" applyAlignment="1">
      <alignment horizontal="center" wrapText="1"/>
    </xf>
    <xf numFmtId="0" fontId="0" fillId="24" borderId="33" xfId="0" applyFill="1" applyBorder="1" applyAlignment="1">
      <alignment/>
    </xf>
    <xf numFmtId="170" fontId="0" fillId="24" borderId="37" xfId="47" applyFill="1" applyBorder="1" applyAlignment="1">
      <alignment/>
    </xf>
    <xf numFmtId="183" fontId="3" fillId="7" borderId="38" xfId="0" applyNumberFormat="1" applyFont="1" applyFill="1" applyBorder="1" applyAlignment="1">
      <alignment/>
    </xf>
    <xf numFmtId="170" fontId="3" fillId="7" borderId="39" xfId="47" applyFont="1" applyFill="1" applyBorder="1" applyAlignment="1">
      <alignment vertical="center"/>
    </xf>
    <xf numFmtId="170" fontId="3" fillId="7" borderId="40" xfId="47" applyFont="1" applyFill="1" applyBorder="1" applyAlignment="1">
      <alignment/>
    </xf>
    <xf numFmtId="170" fontId="3" fillId="7" borderId="22" xfId="47" applyFont="1" applyFill="1" applyBorder="1" applyAlignment="1">
      <alignment/>
    </xf>
    <xf numFmtId="10" fontId="3" fillId="7"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24" borderId="41" xfId="47" applyNumberFormat="1" applyFill="1" applyBorder="1" applyAlignment="1">
      <alignment/>
    </xf>
    <xf numFmtId="170" fontId="0" fillId="24" borderId="43" xfId="47" applyFill="1" applyBorder="1" applyAlignment="1">
      <alignment/>
    </xf>
    <xf numFmtId="0" fontId="0" fillId="24" borderId="44" xfId="0" applyFont="1" applyFill="1" applyBorder="1" applyAlignment="1">
      <alignment horizontal="center" wrapText="1"/>
    </xf>
    <xf numFmtId="183" fontId="0" fillId="0" borderId="34" xfId="0" applyNumberFormat="1" applyBorder="1" applyAlignment="1">
      <alignment vertical="center"/>
    </xf>
    <xf numFmtId="0" fontId="0" fillId="24" borderId="45" xfId="0" applyFont="1" applyFill="1" applyBorder="1" applyAlignment="1">
      <alignment horizontal="center" wrapText="1"/>
    </xf>
    <xf numFmtId="0" fontId="0" fillId="24" borderId="46" xfId="0" applyFill="1" applyBorder="1" applyAlignment="1">
      <alignment/>
    </xf>
    <xf numFmtId="182" fontId="0" fillId="24" borderId="46" xfId="47" applyNumberFormat="1" applyFill="1" applyBorder="1" applyAlignment="1">
      <alignment/>
    </xf>
    <xf numFmtId="170" fontId="0" fillId="24" borderId="47" xfId="47" applyFill="1" applyBorder="1" applyAlignment="1">
      <alignment/>
    </xf>
    <xf numFmtId="10" fontId="0" fillId="24" borderId="16" xfId="0" applyNumberFormat="1" applyFill="1" applyBorder="1" applyAlignment="1">
      <alignment/>
    </xf>
    <xf numFmtId="0" fontId="3" fillId="7" borderId="22" xfId="0" applyFont="1" applyFill="1" applyBorder="1" applyAlignment="1">
      <alignment/>
    </xf>
    <xf numFmtId="0" fontId="3" fillId="7" borderId="23" xfId="0" applyFont="1" applyFill="1" applyBorder="1" applyAlignment="1">
      <alignment/>
    </xf>
    <xf numFmtId="170" fontId="3" fillId="7" borderId="39" xfId="47" applyFont="1" applyFill="1" applyBorder="1" applyAlignment="1">
      <alignment/>
    </xf>
    <xf numFmtId="0" fontId="0" fillId="20" borderId="48" xfId="0" applyFill="1" applyBorder="1" applyAlignment="1">
      <alignment/>
    </xf>
    <xf numFmtId="170" fontId="0" fillId="24" borderId="18" xfId="47" applyFill="1" applyBorder="1" applyAlignment="1">
      <alignment/>
    </xf>
    <xf numFmtId="0" fontId="0" fillId="24" borderId="29" xfId="0" applyFill="1" applyBorder="1" applyAlignment="1">
      <alignment horizontal="center"/>
    </xf>
    <xf numFmtId="2" fontId="3" fillId="24" borderId="0" xfId="0" applyNumberFormat="1" applyFont="1" applyFill="1" applyAlignment="1">
      <alignment/>
    </xf>
    <xf numFmtId="2" fontId="3" fillId="24" borderId="0" xfId="0" applyNumberFormat="1" applyFont="1" applyFill="1" applyAlignment="1">
      <alignment horizontal="center"/>
    </xf>
    <xf numFmtId="10" fontId="3" fillId="24" borderId="0" xfId="0" applyNumberFormat="1" applyFont="1" applyFill="1" applyAlignment="1">
      <alignment/>
    </xf>
    <xf numFmtId="0" fontId="3" fillId="24" borderId="0" xfId="0" applyFont="1" applyFill="1" applyAlignment="1" quotePrefix="1">
      <alignment horizontal="center"/>
    </xf>
    <xf numFmtId="10" fontId="3" fillId="24" borderId="0" xfId="0" applyNumberFormat="1" applyFont="1" applyFill="1" applyAlignment="1">
      <alignment horizontal="center"/>
    </xf>
    <xf numFmtId="0" fontId="9" fillId="24" borderId="0" xfId="0" applyFont="1" applyFill="1" applyAlignment="1">
      <alignment/>
    </xf>
    <xf numFmtId="170" fontId="0" fillId="24" borderId="0" xfId="47" applyFont="1" applyFill="1" applyAlignment="1">
      <alignment/>
    </xf>
    <xf numFmtId="170" fontId="0" fillId="24" borderId="0" xfId="47" applyFill="1" applyAlignment="1">
      <alignment/>
    </xf>
    <xf numFmtId="170" fontId="3" fillId="24" borderId="0" xfId="47" applyFont="1" applyFill="1" applyBorder="1" applyAlignment="1">
      <alignment/>
    </xf>
    <xf numFmtId="0" fontId="3" fillId="24" borderId="0" xfId="0" applyFont="1" applyFill="1" applyBorder="1" applyAlignment="1">
      <alignment horizontal="left"/>
    </xf>
    <xf numFmtId="10" fontId="3" fillId="24" borderId="0" xfId="0" applyNumberFormat="1" applyFont="1" applyFill="1" applyBorder="1" applyAlignment="1">
      <alignment/>
    </xf>
    <xf numFmtId="0" fontId="43" fillId="24" borderId="0" xfId="0" applyFont="1" applyFill="1" applyAlignment="1">
      <alignment/>
    </xf>
    <xf numFmtId="182" fontId="0" fillId="24" borderId="0" xfId="47" applyNumberFormat="1" applyFill="1" applyAlignment="1">
      <alignment/>
    </xf>
    <xf numFmtId="0" fontId="45" fillId="24" borderId="0" xfId="0" applyFont="1" applyFill="1" applyAlignment="1">
      <alignment/>
    </xf>
    <xf numFmtId="0" fontId="39" fillId="24" borderId="0" xfId="0" applyFont="1" applyFill="1" applyBorder="1" applyAlignment="1">
      <alignment/>
    </xf>
    <xf numFmtId="170" fontId="39" fillId="24" borderId="0" xfId="47" applyFont="1" applyFill="1" applyAlignment="1">
      <alignment/>
    </xf>
    <xf numFmtId="182" fontId="39" fillId="24" borderId="0" xfId="47" applyNumberFormat="1" applyFont="1" applyFill="1" applyAlignment="1">
      <alignment/>
    </xf>
    <xf numFmtId="10" fontId="39" fillId="24" borderId="0" xfId="0" applyNumberFormat="1" applyFont="1" applyFill="1" applyAlignment="1">
      <alignment/>
    </xf>
    <xf numFmtId="170" fontId="3" fillId="24" borderId="49" xfId="47" applyFont="1" applyFill="1" applyBorder="1" applyAlignment="1">
      <alignment/>
    </xf>
    <xf numFmtId="182" fontId="3" fillId="24" borderId="34" xfId="47" applyNumberFormat="1" applyFont="1" applyFill="1" applyBorder="1" applyAlignment="1">
      <alignment/>
    </xf>
    <xf numFmtId="10" fontId="0" fillId="24" borderId="0" xfId="0" applyNumberFormat="1" applyFill="1" applyBorder="1" applyAlignment="1">
      <alignment/>
    </xf>
    <xf numFmtId="2" fontId="0" fillId="24" borderId="18" xfId="0" applyNumberFormat="1" applyFill="1" applyBorder="1" applyAlignment="1">
      <alignment/>
    </xf>
    <xf numFmtId="10" fontId="0" fillId="24" borderId="18" xfId="0" applyNumberFormat="1" applyFill="1" applyBorder="1" applyAlignment="1">
      <alignment/>
    </xf>
    <xf numFmtId="0" fontId="46" fillId="24" borderId="0" xfId="0" applyFont="1" applyFill="1" applyAlignment="1">
      <alignment/>
    </xf>
    <xf numFmtId="3" fontId="3" fillId="4" borderId="27" xfId="0" applyNumberFormat="1" applyFont="1" applyFill="1" applyBorder="1" applyAlignment="1">
      <alignment horizontal="center" vertical="center"/>
    </xf>
    <xf numFmtId="170" fontId="3" fillId="24" borderId="49" xfId="47" applyFont="1" applyFill="1" applyBorder="1" applyAlignment="1">
      <alignment vertical="center"/>
    </xf>
    <xf numFmtId="3" fontId="0" fillId="24" borderId="33" xfId="0" applyNumberFormat="1" applyFill="1" applyBorder="1" applyAlignment="1">
      <alignment vertical="center"/>
    </xf>
    <xf numFmtId="170" fontId="0" fillId="24" borderId="37" xfId="47" applyFill="1" applyBorder="1" applyAlignment="1">
      <alignment vertical="center"/>
    </xf>
    <xf numFmtId="182" fontId="0" fillId="24" borderId="41" xfId="47" applyNumberFormat="1" applyFill="1" applyBorder="1" applyAlignment="1">
      <alignment vertical="center"/>
    </xf>
    <xf numFmtId="170" fontId="0" fillId="24" borderId="43" xfId="47" applyFill="1" applyBorder="1" applyAlignment="1">
      <alignment vertical="center"/>
    </xf>
    <xf numFmtId="170" fontId="3" fillId="25" borderId="12" xfId="47" applyFont="1" applyFill="1" applyBorder="1" applyAlignment="1">
      <alignment/>
    </xf>
    <xf numFmtId="3" fontId="0" fillId="24" borderId="46" xfId="0" applyNumberFormat="1" applyFill="1" applyBorder="1" applyAlignment="1">
      <alignment vertical="center"/>
    </xf>
    <xf numFmtId="182" fontId="0" fillId="24" borderId="46" xfId="47" applyNumberFormat="1" applyFill="1" applyBorder="1" applyAlignment="1">
      <alignment vertical="center"/>
    </xf>
    <xf numFmtId="170" fontId="0" fillId="24" borderId="47" xfId="47" applyFill="1" applyBorder="1" applyAlignment="1">
      <alignment vertical="center"/>
    </xf>
    <xf numFmtId="172" fontId="0" fillId="24" borderId="0" xfId="0" applyNumberFormat="1" applyFill="1" applyAlignment="1">
      <alignment/>
    </xf>
    <xf numFmtId="0" fontId="47" fillId="24" borderId="0" xfId="0" applyFont="1" applyFill="1" applyAlignment="1">
      <alignment/>
    </xf>
    <xf numFmtId="170" fontId="47" fillId="24" borderId="0" xfId="47" applyFont="1" applyFill="1" applyAlignment="1">
      <alignment/>
    </xf>
    <xf numFmtId="182" fontId="47" fillId="24" borderId="0" xfId="47" applyNumberFormat="1" applyFont="1" applyFill="1" applyAlignment="1">
      <alignment/>
    </xf>
    <xf numFmtId="10" fontId="47" fillId="24" borderId="0" xfId="0" applyNumberFormat="1" applyFont="1" applyFill="1" applyAlignment="1">
      <alignment/>
    </xf>
    <xf numFmtId="0" fontId="0" fillId="24" borderId="18" xfId="0" applyFill="1" applyBorder="1" applyAlignment="1">
      <alignment wrapText="1"/>
    </xf>
    <xf numFmtId="172" fontId="0" fillId="24" borderId="18" xfId="0" applyNumberFormat="1" applyFill="1" applyBorder="1" applyAlignment="1">
      <alignment/>
    </xf>
    <xf numFmtId="182" fontId="0" fillId="24" borderId="18" xfId="47" applyNumberFormat="1" applyFill="1" applyBorder="1" applyAlignment="1">
      <alignment/>
    </xf>
    <xf numFmtId="0" fontId="0" fillId="24" borderId="0" xfId="0" applyFill="1" applyBorder="1" applyAlignment="1">
      <alignment wrapText="1"/>
    </xf>
    <xf numFmtId="183" fontId="0" fillId="24" borderId="0" xfId="0" applyNumberFormat="1" applyFill="1" applyBorder="1" applyAlignment="1">
      <alignment/>
    </xf>
    <xf numFmtId="172" fontId="0" fillId="24" borderId="0" xfId="0" applyNumberFormat="1" applyFill="1" applyBorder="1" applyAlignment="1">
      <alignment/>
    </xf>
    <xf numFmtId="182" fontId="0" fillId="24" borderId="0" xfId="47" applyNumberFormat="1" applyFill="1" applyBorder="1" applyAlignment="1">
      <alignment/>
    </xf>
    <xf numFmtId="0" fontId="8" fillId="24" borderId="0" xfId="0" applyFont="1" applyFill="1" applyBorder="1" applyAlignment="1">
      <alignment/>
    </xf>
    <xf numFmtId="2" fontId="0" fillId="24" borderId="0" xfId="0" applyNumberFormat="1" applyFill="1" applyBorder="1" applyAlignment="1">
      <alignment/>
    </xf>
    <xf numFmtId="10" fontId="3" fillId="25" borderId="14" xfId="0" applyNumberFormat="1" applyFont="1" applyFill="1" applyBorder="1" applyAlignment="1">
      <alignment/>
    </xf>
    <xf numFmtId="10" fontId="0" fillId="24" borderId="19" xfId="0" applyNumberFormat="1" applyFill="1" applyBorder="1" applyAlignment="1">
      <alignment/>
    </xf>
    <xf numFmtId="4" fontId="0" fillId="24" borderId="33" xfId="0" applyNumberFormat="1" applyFill="1" applyBorder="1" applyAlignment="1">
      <alignment vertical="center"/>
    </xf>
    <xf numFmtId="170" fontId="0" fillId="24" borderId="9" xfId="45" applyFill="1" applyBorder="1" applyAlignment="1">
      <alignment/>
    </xf>
    <xf numFmtId="170" fontId="0" fillId="24" borderId="0" xfId="45" applyFill="1" applyBorder="1" applyAlignment="1">
      <alignment/>
    </xf>
    <xf numFmtId="37" fontId="0" fillId="4" borderId="0" xfId="45" applyNumberFormat="1" applyFont="1" applyFill="1" applyBorder="1" applyAlignment="1">
      <alignment horizontal="right"/>
    </xf>
    <xf numFmtId="184" fontId="0" fillId="24" borderId="0" xfId="45" applyNumberFormat="1" applyFill="1" applyBorder="1" applyAlignment="1">
      <alignment horizontal="right"/>
    </xf>
    <xf numFmtId="170" fontId="0" fillId="24" borderId="16" xfId="45" applyFill="1" applyBorder="1" applyAlignment="1">
      <alignment/>
    </xf>
    <xf numFmtId="166" fontId="0" fillId="24" borderId="0" xfId="45" applyNumberFormat="1" applyFill="1" applyAlignment="1">
      <alignment/>
    </xf>
    <xf numFmtId="37" fontId="0" fillId="4" borderId="0" xfId="45" applyNumberFormat="1" applyFill="1" applyBorder="1" applyAlignment="1">
      <alignment/>
    </xf>
    <xf numFmtId="37" fontId="0" fillId="24" borderId="0" xfId="45" applyNumberFormat="1" applyFont="1" applyFill="1" applyAlignment="1">
      <alignment horizontal="center"/>
    </xf>
    <xf numFmtId="166" fontId="0" fillId="24" borderId="0" xfId="45" applyNumberFormat="1" applyFill="1" applyBorder="1" applyAlignment="1">
      <alignment/>
    </xf>
    <xf numFmtId="37" fontId="0" fillId="4" borderId="9" xfId="45" applyNumberFormat="1" applyFill="1" applyBorder="1" applyAlignment="1">
      <alignment/>
    </xf>
    <xf numFmtId="37" fontId="0" fillId="4" borderId="9" xfId="45" applyNumberFormat="1" applyFont="1" applyFill="1" applyBorder="1" applyAlignment="1">
      <alignment horizontal="right"/>
    </xf>
    <xf numFmtId="184" fontId="0" fillId="24" borderId="9" xfId="45" applyNumberFormat="1" applyFill="1" applyBorder="1" applyAlignment="1">
      <alignment horizontal="right"/>
    </xf>
    <xf numFmtId="173" fontId="0" fillId="24" borderId="0" xfId="42" applyNumberFormat="1" applyFill="1" applyBorder="1" applyAlignment="1">
      <alignment/>
    </xf>
    <xf numFmtId="171" fontId="0" fillId="24" borderId="0" xfId="42" applyFill="1" applyBorder="1" applyAlignment="1">
      <alignment/>
    </xf>
    <xf numFmtId="170" fontId="0" fillId="24" borderId="0" xfId="45" applyFill="1" applyBorder="1" applyAlignment="1">
      <alignment horizontal="right"/>
    </xf>
    <xf numFmtId="171" fontId="0" fillId="24" borderId="0" xfId="45" applyNumberFormat="1" applyFill="1" applyAlignment="1">
      <alignment/>
    </xf>
    <xf numFmtId="175" fontId="0" fillId="24" borderId="0" xfId="45" applyNumberFormat="1" applyFill="1" applyAlignment="1">
      <alignment/>
    </xf>
    <xf numFmtId="0" fontId="3" fillId="24" borderId="0" xfId="0" applyFont="1" applyFill="1" applyBorder="1" applyAlignment="1">
      <alignment horizontal="right" vertical="center" wrapText="1"/>
    </xf>
    <xf numFmtId="10" fontId="0" fillId="24" borderId="0" xfId="45" applyNumberFormat="1" applyFill="1" applyBorder="1" applyAlignment="1">
      <alignment horizontal="right"/>
    </xf>
    <xf numFmtId="0" fontId="3" fillId="24" borderId="18" xfId="0" applyFont="1" applyFill="1" applyBorder="1" applyAlignment="1">
      <alignment horizontal="center" wrapText="1"/>
    </xf>
    <xf numFmtId="0" fontId="0" fillId="24" borderId="0" xfId="0" applyFont="1" applyFill="1" applyAlignment="1">
      <alignment horizontal="center"/>
    </xf>
    <xf numFmtId="170" fontId="0" fillId="24" borderId="0" xfId="0" applyNumberFormat="1" applyFont="1" applyFill="1" applyAlignment="1">
      <alignment/>
    </xf>
    <xf numFmtId="9" fontId="0" fillId="24" borderId="0" xfId="0" applyNumberFormat="1" applyFont="1" applyFill="1" applyAlignment="1">
      <alignment horizontal="center"/>
    </xf>
    <xf numFmtId="7" fontId="0" fillId="24" borderId="0" xfId="0" applyNumberFormat="1" applyFont="1" applyFill="1" applyAlignment="1">
      <alignment horizontal="center" wrapText="1"/>
    </xf>
    <xf numFmtId="188" fontId="0" fillId="24" borderId="0" xfId="0" applyNumberFormat="1" applyFont="1" applyFill="1" applyAlignment="1">
      <alignment horizontal="center" wrapText="1"/>
    </xf>
    <xf numFmtId="189" fontId="0" fillId="24" borderId="0" xfId="0" applyNumberFormat="1" applyFont="1" applyFill="1" applyAlignment="1">
      <alignment horizontal="center" wrapText="1"/>
    </xf>
    <xf numFmtId="0" fontId="0" fillId="24" borderId="0" xfId="0" applyFont="1" applyFill="1" applyAlignment="1">
      <alignment horizontal="center" wrapText="1"/>
    </xf>
    <xf numFmtId="0" fontId="0" fillId="24" borderId="9" xfId="0" applyFont="1" applyFill="1" applyBorder="1" applyAlignment="1">
      <alignment horizontal="center"/>
    </xf>
    <xf numFmtId="9" fontId="0" fillId="24" borderId="9" xfId="0" applyNumberFormat="1" applyFont="1" applyFill="1" applyBorder="1" applyAlignment="1">
      <alignment horizontal="center"/>
    </xf>
    <xf numFmtId="7" fontId="0" fillId="24" borderId="9" xfId="0" applyNumberFormat="1" applyFont="1" applyFill="1" applyBorder="1" applyAlignment="1">
      <alignment horizontal="center" wrapText="1"/>
    </xf>
    <xf numFmtId="188" fontId="0" fillId="24" borderId="9" xfId="0" applyNumberFormat="1" applyFont="1" applyFill="1" applyBorder="1" applyAlignment="1">
      <alignment horizontal="center" wrapText="1"/>
    </xf>
    <xf numFmtId="0" fontId="0" fillId="24" borderId="9" xfId="0" applyFont="1" applyFill="1" applyBorder="1" applyAlignment="1">
      <alignment horizontal="center" wrapText="1"/>
    </xf>
    <xf numFmtId="170" fontId="0" fillId="24" borderId="9" xfId="45" applyFont="1" applyFill="1" applyBorder="1" applyAlignment="1">
      <alignment/>
    </xf>
    <xf numFmtId="0" fontId="0" fillId="24" borderId="0" xfId="0" applyFont="1" applyFill="1" applyBorder="1" applyAlignment="1">
      <alignment/>
    </xf>
    <xf numFmtId="170" fontId="0" fillId="24" borderId="0" xfId="45" applyFont="1" applyFill="1" applyBorder="1" applyAlignment="1">
      <alignment/>
    </xf>
    <xf numFmtId="179" fontId="0" fillId="24" borderId="0" xfId="45" applyNumberFormat="1" applyFont="1" applyFill="1" applyBorder="1" applyAlignment="1">
      <alignment/>
    </xf>
    <xf numFmtId="178" fontId="0" fillId="24" borderId="0" xfId="0" applyNumberFormat="1" applyFill="1" applyAlignment="1">
      <alignment/>
    </xf>
    <xf numFmtId="179" fontId="0" fillId="24" borderId="0" xfId="0" applyNumberFormat="1" applyFill="1" applyAlignment="1">
      <alignment/>
    </xf>
    <xf numFmtId="0" fontId="10" fillId="24" borderId="0" xfId="0" applyFont="1" applyFill="1" applyAlignment="1">
      <alignment/>
    </xf>
    <xf numFmtId="0" fontId="2" fillId="24" borderId="12" xfId="0" applyFont="1" applyFill="1" applyBorder="1" applyAlignment="1" applyProtection="1">
      <alignment/>
      <protection locked="0"/>
    </xf>
    <xf numFmtId="0" fontId="11" fillId="24" borderId="13" xfId="0" applyFont="1" applyFill="1" applyBorder="1" applyAlignment="1">
      <alignment horizontal="left"/>
    </xf>
    <xf numFmtId="0" fontId="2" fillId="24" borderId="15" xfId="0" applyFont="1" applyFill="1" applyBorder="1" applyAlignment="1" applyProtection="1">
      <alignment/>
      <protection locked="0"/>
    </xf>
    <xf numFmtId="0" fontId="2" fillId="24" borderId="15" xfId="0" applyFont="1" applyFill="1" applyBorder="1" applyAlignment="1">
      <alignment/>
    </xf>
    <xf numFmtId="0" fontId="2" fillId="24" borderId="17" xfId="0" applyFont="1" applyFill="1" applyBorder="1" applyAlignment="1">
      <alignment/>
    </xf>
    <xf numFmtId="15" fontId="0" fillId="24" borderId="18" xfId="0" applyNumberFormat="1" applyFill="1" applyBorder="1" applyAlignment="1">
      <alignment horizontal="left"/>
    </xf>
    <xf numFmtId="0" fontId="6" fillId="24" borderId="0" xfId="0" applyFont="1" applyFill="1" applyAlignment="1">
      <alignment/>
    </xf>
    <xf numFmtId="176" fontId="5" fillId="24" borderId="0" xfId="0" applyNumberFormat="1" applyFont="1" applyFill="1" applyAlignment="1">
      <alignment/>
    </xf>
    <xf numFmtId="37" fontId="0" fillId="24" borderId="0" xfId="45" applyNumberFormat="1" applyFont="1" applyFill="1" applyBorder="1" applyAlignment="1">
      <alignment horizontal="right"/>
    </xf>
    <xf numFmtId="0" fontId="19" fillId="24" borderId="0" xfId="0" applyFont="1" applyFill="1" applyAlignment="1">
      <alignment/>
    </xf>
    <xf numFmtId="0" fontId="48" fillId="24" borderId="0" xfId="0" applyFont="1" applyFill="1" applyAlignment="1">
      <alignment horizontal="center"/>
    </xf>
    <xf numFmtId="0" fontId="50" fillId="24" borderId="0" xfId="0" applyFont="1" applyFill="1" applyAlignment="1">
      <alignment/>
    </xf>
    <xf numFmtId="0" fontId="25" fillId="24" borderId="0" xfId="0" applyFont="1" applyFill="1" applyAlignment="1">
      <alignment/>
    </xf>
    <xf numFmtId="0" fontId="51" fillId="24" borderId="9" xfId="0" applyFont="1" applyFill="1" applyBorder="1" applyAlignment="1">
      <alignment horizontal="left"/>
    </xf>
    <xf numFmtId="0" fontId="39" fillId="24" borderId="9" xfId="0" applyFont="1" applyFill="1" applyBorder="1" applyAlignment="1" quotePrefix="1">
      <alignment/>
    </xf>
    <xf numFmtId="170" fontId="39" fillId="24" borderId="9" xfId="45" applyFont="1" applyFill="1" applyBorder="1" applyAlignment="1">
      <alignment/>
    </xf>
    <xf numFmtId="0" fontId="39" fillId="24" borderId="9" xfId="0" applyFont="1" applyFill="1" applyBorder="1" applyAlignment="1">
      <alignment/>
    </xf>
    <xf numFmtId="170" fontId="3" fillId="4" borderId="9" xfId="45" applyFont="1" applyFill="1" applyBorder="1" applyAlignment="1">
      <alignment/>
    </xf>
    <xf numFmtId="0" fontId="3" fillId="20" borderId="22" xfId="0" applyFont="1" applyFill="1" applyBorder="1" applyAlignment="1">
      <alignment/>
    </xf>
    <xf numFmtId="3" fontId="3" fillId="20" borderId="23" xfId="42" applyNumberFormat="1" applyFont="1" applyFill="1" applyBorder="1" applyAlignment="1">
      <alignment/>
    </xf>
    <xf numFmtId="10" fontId="3" fillId="20" borderId="23" xfId="42" applyNumberFormat="1" applyFont="1" applyFill="1" applyBorder="1" applyAlignment="1">
      <alignment horizontal="right"/>
    </xf>
    <xf numFmtId="0" fontId="8" fillId="24" borderId="0" xfId="0" applyNumberFormat="1" applyFont="1" applyFill="1" applyBorder="1" applyAlignment="1">
      <alignment horizontal="center"/>
    </xf>
    <xf numFmtId="187" fontId="8" fillId="24" borderId="0" xfId="0" applyNumberFormat="1" applyFont="1" applyFill="1" applyBorder="1" applyAlignment="1">
      <alignment/>
    </xf>
    <xf numFmtId="0" fontId="11" fillId="24" borderId="50" xfId="0" applyFont="1" applyFill="1" applyBorder="1" applyAlignment="1">
      <alignment/>
    </xf>
    <xf numFmtId="0" fontId="8" fillId="24" borderId="51" xfId="0" applyNumberFormat="1" applyFont="1" applyFill="1" applyBorder="1" applyAlignment="1">
      <alignment horizontal="center"/>
    </xf>
    <xf numFmtId="176" fontId="11" fillId="24" borderId="51" xfId="0" applyNumberFormat="1" applyFont="1" applyFill="1" applyBorder="1" applyAlignment="1">
      <alignment/>
    </xf>
    <xf numFmtId="0" fontId="11" fillId="24" borderId="52" xfId="0" applyFont="1" applyFill="1" applyBorder="1" applyAlignment="1">
      <alignment/>
    </xf>
    <xf numFmtId="187" fontId="11" fillId="4" borderId="20" xfId="0" applyNumberFormat="1" applyFont="1" applyFill="1" applyBorder="1" applyAlignment="1">
      <alignment/>
    </xf>
    <xf numFmtId="0" fontId="8" fillId="7" borderId="15" xfId="0" applyFont="1" applyFill="1" applyBorder="1" applyAlignment="1">
      <alignment horizontal="left"/>
    </xf>
    <xf numFmtId="0" fontId="8" fillId="7" borderId="0" xfId="0" applyNumberFormat="1" applyFont="1" applyFill="1" applyBorder="1" applyAlignment="1">
      <alignment horizontal="center"/>
    </xf>
    <xf numFmtId="176" fontId="11" fillId="7" borderId="0" xfId="0" applyNumberFormat="1" applyFont="1" applyFill="1" applyBorder="1" applyAlignment="1">
      <alignment/>
    </xf>
    <xf numFmtId="187" fontId="11" fillId="7" borderId="16" xfId="0" applyNumberFormat="1" applyFont="1" applyFill="1" applyBorder="1" applyAlignment="1">
      <alignment/>
    </xf>
    <xf numFmtId="0" fontId="8" fillId="22" borderId="17" xfId="0" applyFont="1" applyFill="1" applyBorder="1" applyAlignment="1">
      <alignment/>
    </xf>
    <xf numFmtId="0" fontId="8" fillId="22" borderId="18" xfId="0" applyNumberFormat="1" applyFont="1" applyFill="1" applyBorder="1" applyAlignment="1">
      <alignment horizontal="center"/>
    </xf>
    <xf numFmtId="176" fontId="11" fillId="22" borderId="18" xfId="0" applyNumberFormat="1" applyFont="1" applyFill="1" applyBorder="1" applyAlignment="1">
      <alignment/>
    </xf>
    <xf numFmtId="187" fontId="8" fillId="22" borderId="19" xfId="0" applyNumberFormat="1" applyFont="1" applyFill="1" applyBorder="1" applyAlignment="1">
      <alignment/>
    </xf>
    <xf numFmtId="0" fontId="11" fillId="24" borderId="53" xfId="0" applyFont="1" applyFill="1" applyBorder="1" applyAlignment="1">
      <alignment/>
    </xf>
    <xf numFmtId="0" fontId="26" fillId="24" borderId="53" xfId="0" applyFont="1" applyFill="1" applyBorder="1" applyAlignment="1">
      <alignment horizontal="left" indent="2"/>
    </xf>
    <xf numFmtId="187" fontId="11" fillId="24" borderId="16" xfId="0" applyNumberFormat="1" applyFont="1" applyFill="1" applyBorder="1" applyAlignment="1">
      <alignment horizontal="right"/>
    </xf>
    <xf numFmtId="0" fontId="8" fillId="24" borderId="54" xfId="0" applyFont="1" applyFill="1" applyBorder="1" applyAlignment="1">
      <alignment/>
    </xf>
    <xf numFmtId="0" fontId="8" fillId="24" borderId="54" xfId="0" applyNumberFormat="1" applyFont="1" applyFill="1" applyBorder="1" applyAlignment="1">
      <alignment/>
    </xf>
    <xf numFmtId="176" fontId="33" fillId="24" borderId="54" xfId="0" applyNumberFormat="1" applyFont="1" applyFill="1" applyBorder="1" applyAlignment="1">
      <alignment/>
    </xf>
    <xf numFmtId="0" fontId="11" fillId="24" borderId="54" xfId="0" applyFont="1" applyFill="1" applyBorder="1" applyAlignment="1">
      <alignment/>
    </xf>
    <xf numFmtId="0" fontId="11" fillId="24" borderId="54" xfId="0" applyNumberFormat="1" applyFont="1" applyFill="1" applyBorder="1" applyAlignment="1">
      <alignment/>
    </xf>
    <xf numFmtId="176" fontId="34" fillId="24" borderId="54" xfId="0" applyNumberFormat="1" applyFont="1" applyFill="1" applyBorder="1" applyAlignment="1">
      <alignment/>
    </xf>
    <xf numFmtId="177" fontId="11" fillId="24" borderId="54" xfId="0" applyNumberFormat="1" applyFont="1" applyFill="1" applyBorder="1" applyAlignment="1">
      <alignment/>
    </xf>
    <xf numFmtId="0" fontId="52" fillId="24" borderId="0" xfId="0" applyFont="1" applyFill="1" applyAlignment="1">
      <alignment/>
    </xf>
    <xf numFmtId="170" fontId="3" fillId="4" borderId="9" xfId="45" applyFont="1" applyFill="1" applyBorder="1" applyAlignment="1">
      <alignment horizontal="center"/>
    </xf>
    <xf numFmtId="0" fontId="8" fillId="24" borderId="8" xfId="0" applyFont="1" applyFill="1" applyBorder="1" applyAlignment="1">
      <alignment horizontal="left"/>
    </xf>
    <xf numFmtId="170" fontId="0" fillId="24" borderId="8" xfId="45" applyFill="1" applyBorder="1" applyAlignment="1">
      <alignment/>
    </xf>
    <xf numFmtId="170" fontId="3" fillId="24" borderId="8" xfId="45" applyFont="1" applyFill="1" applyBorder="1" applyAlignment="1">
      <alignment horizontal="center"/>
    </xf>
    <xf numFmtId="170" fontId="0" fillId="0" borderId="37" xfId="47" applyBorder="1" applyAlignment="1">
      <alignment vertical="center"/>
    </xf>
    <xf numFmtId="0" fontId="0" fillId="24" borderId="55"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24" borderId="0" xfId="0" applyFont="1" applyFill="1" applyBorder="1" applyAlignment="1">
      <alignment/>
    </xf>
    <xf numFmtId="0" fontId="0" fillId="24" borderId="0" xfId="0" applyFont="1" applyFill="1" applyAlignment="1">
      <alignment/>
    </xf>
    <xf numFmtId="0" fontId="11" fillId="24" borderId="0" xfId="0" applyFont="1" applyFill="1" applyBorder="1" applyAlignment="1">
      <alignment/>
    </xf>
    <xf numFmtId="0" fontId="11" fillId="24" borderId="18" xfId="0" applyFont="1" applyFill="1" applyBorder="1" applyAlignment="1">
      <alignment/>
    </xf>
    <xf numFmtId="177" fontId="3" fillId="4" borderId="9" xfId="0" applyNumberFormat="1" applyFont="1" applyFill="1" applyBorder="1" applyAlignment="1">
      <alignment horizontal="right"/>
    </xf>
    <xf numFmtId="37" fontId="0" fillId="24" borderId="9" xfId="45" applyNumberFormat="1" applyFont="1" applyFill="1" applyBorder="1" applyAlignment="1">
      <alignment horizontal="right"/>
    </xf>
    <xf numFmtId="37" fontId="0" fillId="24" borderId="9" xfId="45" applyNumberFormat="1" applyFont="1" applyFill="1" applyBorder="1" applyAlignment="1">
      <alignment horizontal="right"/>
    </xf>
    <xf numFmtId="0" fontId="19" fillId="24" borderId="13" xfId="0" applyFont="1" applyFill="1" applyBorder="1" applyAlignment="1">
      <alignment/>
    </xf>
    <xf numFmtId="0" fontId="19" fillId="24" borderId="0" xfId="0" applyFont="1" applyFill="1" applyBorder="1" applyAlignment="1">
      <alignment/>
    </xf>
    <xf numFmtId="0" fontId="3" fillId="24" borderId="17" xfId="0" applyFont="1" applyFill="1" applyBorder="1" applyAlignment="1">
      <alignment/>
    </xf>
    <xf numFmtId="176" fontId="5" fillId="24" borderId="0" xfId="0" applyNumberFormat="1" applyFont="1" applyFill="1" applyAlignment="1">
      <alignment wrapText="1"/>
    </xf>
    <xf numFmtId="0" fontId="5" fillId="24" borderId="0" xfId="0" applyFont="1" applyFill="1" applyAlignment="1">
      <alignment wrapText="1"/>
    </xf>
    <xf numFmtId="177" fontId="5" fillId="24" borderId="0" xfId="0" applyNumberFormat="1" applyFont="1" applyFill="1" applyAlignment="1">
      <alignment/>
    </xf>
    <xf numFmtId="178" fontId="5" fillId="24" borderId="0" xfId="0" applyNumberFormat="1" applyFont="1" applyFill="1" applyAlignment="1">
      <alignment/>
    </xf>
    <xf numFmtId="176" fontId="5" fillId="24" borderId="0" xfId="0" applyNumberFormat="1" applyFont="1" applyFill="1" applyAlignment="1">
      <alignment horizontal="center"/>
    </xf>
    <xf numFmtId="177" fontId="0" fillId="24" borderId="0" xfId="0" applyNumberFormat="1" applyFont="1" applyFill="1" applyAlignment="1">
      <alignment horizontal="center"/>
    </xf>
    <xf numFmtId="0" fontId="26" fillId="24" borderId="0" xfId="0" applyFont="1" applyFill="1" applyAlignment="1">
      <alignment horizontal="center"/>
    </xf>
    <xf numFmtId="170" fontId="3" fillId="7" borderId="40" xfId="47" applyFont="1" applyFill="1" applyBorder="1" applyAlignment="1">
      <alignment vertical="center"/>
    </xf>
    <xf numFmtId="170" fontId="0" fillId="0" borderId="43" xfId="47" applyBorder="1" applyAlignment="1">
      <alignment vertical="center"/>
    </xf>
    <xf numFmtId="3" fontId="0" fillId="24" borderId="33" xfId="0" applyNumberFormat="1" applyFill="1" applyBorder="1" applyAlignment="1">
      <alignment/>
    </xf>
    <xf numFmtId="3" fontId="0" fillId="24" borderId="56" xfId="0" applyNumberFormat="1" applyFill="1" applyBorder="1" applyAlignment="1">
      <alignment vertical="center"/>
    </xf>
    <xf numFmtId="0" fontId="0" fillId="20" borderId="0" xfId="0" applyFill="1" applyBorder="1" applyAlignment="1">
      <alignment/>
    </xf>
    <xf numFmtId="0" fontId="1" fillId="24" borderId="0" xfId="0" applyFont="1" applyFill="1" applyBorder="1" applyAlignment="1" applyProtection="1">
      <alignment/>
      <protection locked="0"/>
    </xf>
    <xf numFmtId="187" fontId="0" fillId="24" borderId="0" xfId="45" applyNumberFormat="1" applyFont="1" applyFill="1" applyBorder="1" applyAlignment="1">
      <alignment horizontal="right"/>
    </xf>
    <xf numFmtId="187" fontId="0" fillId="24" borderId="9" xfId="45" applyNumberFormat="1" applyFont="1" applyFill="1" applyBorder="1" applyAlignment="1">
      <alignment horizontal="right"/>
    </xf>
    <xf numFmtId="189" fontId="0" fillId="24" borderId="0" xfId="0" applyNumberFormat="1" applyFill="1" applyAlignment="1">
      <alignment/>
    </xf>
    <xf numFmtId="200" fontId="0" fillId="24" borderId="0" xfId="0" applyNumberFormat="1" applyFill="1" applyAlignment="1">
      <alignment horizontal="center"/>
    </xf>
    <xf numFmtId="170" fontId="3" fillId="7" borderId="9" xfId="45" applyFont="1" applyFill="1" applyBorder="1" applyAlignment="1">
      <alignment/>
    </xf>
    <xf numFmtId="0" fontId="33" fillId="24" borderId="0" xfId="0" applyFont="1" applyFill="1" applyAlignment="1">
      <alignment/>
    </xf>
    <xf numFmtId="0" fontId="22" fillId="24" borderId="0" xfId="0" applyFont="1" applyFill="1" applyAlignment="1" applyProtection="1">
      <alignment/>
      <protection locked="0"/>
    </xf>
    <xf numFmtId="15" fontId="21" fillId="24" borderId="0" xfId="0" applyNumberFormat="1" applyFont="1" applyFill="1" applyAlignment="1">
      <alignment/>
    </xf>
    <xf numFmtId="0" fontId="53" fillId="24" borderId="0" xfId="0" applyFont="1" applyFill="1" applyAlignment="1">
      <alignment/>
    </xf>
    <xf numFmtId="15" fontId="15" fillId="24" borderId="0" xfId="58" applyNumberFormat="1" applyFont="1" applyFill="1" applyBorder="1" applyAlignment="1" applyProtection="1">
      <alignment horizontal="left"/>
      <protection/>
    </xf>
    <xf numFmtId="0" fontId="2" fillId="24" borderId="0" xfId="0" applyFont="1" applyFill="1" applyBorder="1" applyAlignment="1">
      <alignment horizontal="left"/>
    </xf>
    <xf numFmtId="0" fontId="1" fillId="24" borderId="13" xfId="0" applyFont="1" applyFill="1" applyBorder="1" applyAlignment="1">
      <alignment horizontal="left"/>
    </xf>
    <xf numFmtId="0" fontId="1" fillId="24" borderId="0" xfId="0" applyFont="1" applyFill="1" applyBorder="1" applyAlignment="1">
      <alignment horizontal="left"/>
    </xf>
    <xf numFmtId="0" fontId="1" fillId="24" borderId="0" xfId="0" applyFont="1" applyFill="1" applyBorder="1" applyAlignment="1">
      <alignment/>
    </xf>
    <xf numFmtId="0" fontId="0" fillId="24" borderId="18" xfId="0" applyFill="1" applyBorder="1" applyAlignment="1">
      <alignment horizontal="left"/>
    </xf>
    <xf numFmtId="0" fontId="44" fillId="24" borderId="14" xfId="0" applyFont="1" applyFill="1" applyBorder="1" applyAlignment="1">
      <alignment horizontal="center"/>
    </xf>
    <xf numFmtId="0" fontId="2" fillId="24" borderId="16" xfId="0" applyFont="1" applyFill="1" applyBorder="1" applyAlignment="1">
      <alignment horizontal="right"/>
    </xf>
    <xf numFmtId="187" fontId="0" fillId="4" borderId="0" xfId="45" applyNumberFormat="1" applyFill="1" applyBorder="1" applyAlignment="1">
      <alignment horizontal="right"/>
    </xf>
    <xf numFmtId="187" fontId="0" fillId="4" borderId="0" xfId="45" applyNumberFormat="1" applyFont="1" applyFill="1" applyBorder="1" applyAlignment="1">
      <alignment horizontal="right"/>
    </xf>
    <xf numFmtId="187" fontId="0" fillId="4" borderId="0" xfId="45" applyNumberFormat="1" applyFill="1" applyBorder="1" applyAlignment="1">
      <alignment/>
    </xf>
    <xf numFmtId="187" fontId="0" fillId="4" borderId="9" xfId="45" applyNumberFormat="1" applyFill="1" applyBorder="1" applyAlignment="1">
      <alignment/>
    </xf>
    <xf numFmtId="187" fontId="0" fillId="24" borderId="16" xfId="45" applyNumberFormat="1" applyFill="1" applyBorder="1" applyAlignment="1">
      <alignment/>
    </xf>
    <xf numFmtId="187" fontId="0" fillId="24" borderId="20" xfId="45" applyNumberFormat="1" applyFill="1" applyBorder="1" applyAlignment="1">
      <alignment/>
    </xf>
    <xf numFmtId="187" fontId="0" fillId="24" borderId="9" xfId="0" applyNumberFormat="1" applyFont="1" applyFill="1" applyBorder="1" applyAlignment="1">
      <alignment horizontal="center" wrapText="1"/>
    </xf>
    <xf numFmtId="176" fontId="0" fillId="24" borderId="9" xfId="0" applyNumberFormat="1" applyFont="1" applyFill="1" applyBorder="1" applyAlignment="1">
      <alignment horizontal="center" wrapText="1"/>
    </xf>
    <xf numFmtId="176" fontId="0" fillId="24" borderId="0" xfId="0" applyNumberFormat="1" applyFont="1" applyFill="1" applyAlignment="1">
      <alignment horizontal="center" wrapText="1"/>
    </xf>
    <xf numFmtId="176" fontId="0" fillId="24" borderId="9" xfId="45" applyNumberFormat="1" applyFont="1" applyFill="1" applyBorder="1" applyAlignment="1">
      <alignment/>
    </xf>
    <xf numFmtId="176" fontId="0" fillId="24" borderId="9" xfId="45" applyNumberFormat="1" applyFont="1" applyFill="1" applyBorder="1" applyAlignment="1">
      <alignment horizontal="center"/>
    </xf>
    <xf numFmtId="187" fontId="0" fillId="24" borderId="9" xfId="0" applyNumberFormat="1" applyFont="1" applyFill="1" applyBorder="1" applyAlignment="1">
      <alignment horizontal="center"/>
    </xf>
    <xf numFmtId="187" fontId="0" fillId="4" borderId="9" xfId="45" applyNumberFormat="1" applyFont="1" applyFill="1" applyBorder="1" applyAlignment="1">
      <alignment horizontal="right"/>
    </xf>
    <xf numFmtId="187" fontId="3" fillId="24" borderId="16" xfId="0" applyNumberFormat="1" applyFont="1" applyFill="1" applyBorder="1" applyAlignment="1">
      <alignment/>
    </xf>
    <xf numFmtId="187" fontId="0" fillId="24" borderId="57" xfId="45" applyNumberFormat="1" applyFill="1" applyBorder="1" applyAlignment="1">
      <alignment/>
    </xf>
    <xf numFmtId="187" fontId="3" fillId="24" borderId="0" xfId="42" applyNumberFormat="1" applyFont="1" applyFill="1" applyBorder="1" applyAlignment="1">
      <alignment/>
    </xf>
    <xf numFmtId="202" fontId="0" fillId="24" borderId="9" xfId="0" applyNumberFormat="1" applyFont="1" applyFill="1" applyBorder="1" applyAlignment="1">
      <alignment horizontal="center" wrapText="1"/>
    </xf>
    <xf numFmtId="187" fontId="3" fillId="20" borderId="23" xfId="42" applyNumberFormat="1" applyFont="1" applyFill="1" applyBorder="1" applyAlignment="1">
      <alignment/>
    </xf>
    <xf numFmtId="187" fontId="3" fillId="20" borderId="24" xfId="0" applyNumberFormat="1" applyFont="1" applyFill="1" applyBorder="1" applyAlignment="1">
      <alignment/>
    </xf>
    <xf numFmtId="187" fontId="29" fillId="24" borderId="43" xfId="45" applyNumberFormat="1" applyFont="1" applyFill="1" applyBorder="1" applyAlignment="1">
      <alignment/>
    </xf>
    <xf numFmtId="187" fontId="0" fillId="24" borderId="16" xfId="45" applyNumberFormat="1" applyFont="1" applyFill="1" applyBorder="1" applyAlignment="1">
      <alignment/>
    </xf>
    <xf numFmtId="187" fontId="0" fillId="24" borderId="20" xfId="45" applyNumberFormat="1" applyFont="1" applyFill="1" applyBorder="1" applyAlignment="1">
      <alignment/>
    </xf>
    <xf numFmtId="187" fontId="0" fillId="24" borderId="57" xfId="45" applyNumberFormat="1" applyFont="1" applyFill="1" applyBorder="1" applyAlignment="1">
      <alignment/>
    </xf>
    <xf numFmtId="5" fontId="0" fillId="24" borderId="16" xfId="45" applyNumberFormat="1" applyFill="1" applyBorder="1" applyAlignment="1">
      <alignment/>
    </xf>
    <xf numFmtId="5" fontId="0" fillId="24" borderId="20" xfId="45" applyNumberFormat="1" applyFill="1" applyBorder="1" applyAlignment="1">
      <alignment/>
    </xf>
    <xf numFmtId="5" fontId="3" fillId="24" borderId="16" xfId="0" applyNumberFormat="1" applyFont="1" applyFill="1" applyBorder="1" applyAlignment="1">
      <alignment/>
    </xf>
    <xf numFmtId="5" fontId="0" fillId="24" borderId="57" xfId="45" applyNumberFormat="1" applyFill="1" applyBorder="1" applyAlignment="1">
      <alignment/>
    </xf>
    <xf numFmtId="5" fontId="0" fillId="24" borderId="0" xfId="45" applyNumberFormat="1" applyFont="1" applyFill="1" applyBorder="1" applyAlignment="1">
      <alignment horizontal="right"/>
    </xf>
    <xf numFmtId="5" fontId="0" fillId="24" borderId="9" xfId="45" applyNumberFormat="1" applyFont="1" applyFill="1" applyBorder="1" applyAlignment="1">
      <alignment horizontal="right"/>
    </xf>
    <xf numFmtId="5" fontId="0" fillId="24" borderId="0" xfId="45" applyNumberFormat="1" applyFill="1" applyBorder="1" applyAlignment="1">
      <alignment/>
    </xf>
    <xf numFmtId="5" fontId="3" fillId="24" borderId="0" xfId="42" applyNumberFormat="1" applyFont="1" applyFill="1" applyBorder="1" applyAlignment="1">
      <alignment/>
    </xf>
    <xf numFmtId="176" fontId="11" fillId="4" borderId="26" xfId="0" applyNumberFormat="1" applyFont="1" applyFill="1" applyBorder="1" applyAlignment="1">
      <alignment/>
    </xf>
    <xf numFmtId="176" fontId="11" fillId="4"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24" borderId="41" xfId="47" applyNumberFormat="1" applyFill="1" applyBorder="1" applyAlignment="1">
      <alignment/>
    </xf>
    <xf numFmtId="176" fontId="3" fillId="24" borderId="34" xfId="47" applyNumberFormat="1" applyFont="1" applyFill="1" applyBorder="1" applyAlignment="1">
      <alignment/>
    </xf>
    <xf numFmtId="176" fontId="0" fillId="0" borderId="46" xfId="0" applyNumberFormat="1" applyBorder="1" applyAlignment="1">
      <alignment vertical="center"/>
    </xf>
    <xf numFmtId="176" fontId="0" fillId="24"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24" borderId="41" xfId="47" applyNumberFormat="1" applyFill="1" applyBorder="1" applyAlignment="1">
      <alignment vertical="center"/>
    </xf>
    <xf numFmtId="176" fontId="0" fillId="24" borderId="46" xfId="47" applyNumberFormat="1" applyFill="1" applyBorder="1" applyAlignment="1">
      <alignment vertical="center"/>
    </xf>
    <xf numFmtId="203" fontId="3" fillId="24"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24" borderId="41" xfId="47" applyNumberFormat="1" applyFill="1" applyBorder="1" applyAlignment="1">
      <alignment/>
    </xf>
    <xf numFmtId="203" fontId="0" fillId="24" borderId="46" xfId="47" applyNumberFormat="1" applyFill="1" applyBorder="1" applyAlignment="1">
      <alignment/>
    </xf>
    <xf numFmtId="203" fontId="3" fillId="24" borderId="34" xfId="47" applyNumberFormat="1" applyFont="1" applyFill="1" applyBorder="1" applyAlignment="1">
      <alignment/>
    </xf>
    <xf numFmtId="203" fontId="3" fillId="24" borderId="34" xfId="47" applyNumberFormat="1" applyFont="1" applyFill="1" applyBorder="1" applyAlignment="1">
      <alignment vertical="center"/>
    </xf>
    <xf numFmtId="203" fontId="0" fillId="24" borderId="41" xfId="47" applyNumberFormat="1" applyFill="1" applyBorder="1" applyAlignment="1">
      <alignment vertical="center"/>
    </xf>
    <xf numFmtId="0" fontId="0" fillId="24" borderId="46" xfId="0" applyFill="1" applyBorder="1" applyAlignment="1">
      <alignment vertical="center"/>
    </xf>
    <xf numFmtId="203" fontId="0" fillId="24" borderId="46" xfId="47" applyNumberFormat="1" applyFill="1" applyBorder="1" applyAlignment="1">
      <alignment vertical="center"/>
    </xf>
    <xf numFmtId="10" fontId="3" fillId="7" borderId="27" xfId="0" applyNumberFormat="1" applyFont="1" applyFill="1" applyBorder="1" applyAlignment="1">
      <alignment/>
    </xf>
    <xf numFmtId="0" fontId="0" fillId="24" borderId="28"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44" xfId="0" applyFont="1" applyFill="1" applyBorder="1" applyAlignment="1">
      <alignment horizontal="center" vertical="center" wrapText="1"/>
    </xf>
    <xf numFmtId="0" fontId="0" fillId="24" borderId="31" xfId="0" applyFont="1" applyFill="1" applyBorder="1" applyAlignment="1">
      <alignment horizontal="center" vertical="center" wrapText="1"/>
    </xf>
    <xf numFmtId="0" fontId="0" fillId="24" borderId="36"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44" fillId="24" borderId="14" xfId="0" applyFont="1" applyFill="1" applyBorder="1" applyAlignment="1">
      <alignment horizontal="right"/>
    </xf>
    <xf numFmtId="0" fontId="5" fillId="24" borderId="13" xfId="0" applyFont="1" applyFill="1" applyBorder="1" applyAlignment="1">
      <alignment horizontal="left"/>
    </xf>
    <xf numFmtId="0" fontId="44" fillId="24" borderId="13" xfId="0" applyFont="1" applyFill="1" applyBorder="1" applyAlignment="1">
      <alignment horizontal="left"/>
    </xf>
    <xf numFmtId="0" fontId="5" fillId="24" borderId="0" xfId="0" applyFont="1" applyFill="1" applyBorder="1" applyAlignment="1">
      <alignment horizontal="left"/>
    </xf>
    <xf numFmtId="0" fontId="5" fillId="24" borderId="0" xfId="0" applyFont="1" applyFill="1" applyBorder="1" applyAlignment="1">
      <alignment/>
    </xf>
    <xf numFmtId="15" fontId="5" fillId="24" borderId="18" xfId="0" applyNumberFormat="1" applyFont="1" applyFill="1" applyBorder="1" applyAlignment="1">
      <alignment horizontal="left"/>
    </xf>
    <xf numFmtId="0" fontId="5" fillId="24" borderId="18" xfId="0" applyFont="1" applyFill="1" applyBorder="1" applyAlignment="1">
      <alignment horizontal="left"/>
    </xf>
    <xf numFmtId="0" fontId="5" fillId="24" borderId="13" xfId="0" applyFont="1" applyFill="1" applyBorder="1" applyAlignment="1">
      <alignment/>
    </xf>
    <xf numFmtId="0" fontId="5" fillId="24" borderId="16" xfId="0" applyFont="1" applyFill="1" applyBorder="1" applyAlignment="1">
      <alignment/>
    </xf>
    <xf numFmtId="0" fontId="5" fillId="24" borderId="19" xfId="0" applyFont="1" applyFill="1" applyBorder="1" applyAlignment="1">
      <alignment/>
    </xf>
    <xf numFmtId="0" fontId="55" fillId="24" borderId="0" xfId="58" applyNumberFormat="1" applyFont="1" applyFill="1" applyBorder="1" applyAlignment="1" applyProtection="1">
      <alignment horizontal="left"/>
      <protection/>
    </xf>
    <xf numFmtId="0" fontId="5" fillId="24" borderId="19" xfId="0" applyFont="1" applyFill="1" applyBorder="1" applyAlignment="1">
      <alignment horizontal="left"/>
    </xf>
    <xf numFmtId="0" fontId="2" fillId="24" borderId="13" xfId="0" applyFont="1" applyFill="1" applyBorder="1" applyAlignment="1">
      <alignment horizontal="left"/>
    </xf>
    <xf numFmtId="0" fontId="2" fillId="24" borderId="13" xfId="0" applyFont="1" applyFill="1" applyBorder="1" applyAlignment="1" applyProtection="1">
      <alignment/>
      <protection locked="0"/>
    </xf>
    <xf numFmtId="0" fontId="5" fillId="24" borderId="0" xfId="0" applyFont="1" applyFill="1" applyBorder="1" applyAlignment="1">
      <alignment horizontal="right"/>
    </xf>
    <xf numFmtId="0" fontId="5" fillId="24" borderId="18" xfId="0" applyFont="1" applyFill="1" applyBorder="1" applyAlignment="1">
      <alignment/>
    </xf>
    <xf numFmtId="0" fontId="0" fillId="24" borderId="0" xfId="0" applyFill="1" applyAlignment="1" applyProtection="1">
      <alignment/>
      <protection locked="0"/>
    </xf>
    <xf numFmtId="0" fontId="16" fillId="24" borderId="0" xfId="0" applyFont="1" applyFill="1" applyAlignment="1" applyProtection="1">
      <alignment horizontal="left" vertical="center"/>
      <protection locked="0"/>
    </xf>
    <xf numFmtId="0" fontId="22" fillId="4" borderId="9" xfId="0" applyFont="1" applyFill="1" applyBorder="1" applyAlignment="1" applyProtection="1">
      <alignment horizontal="left" vertical="center"/>
      <protection locked="0"/>
    </xf>
    <xf numFmtId="0" fontId="0" fillId="24" borderId="0" xfId="0" applyFill="1" applyAlignment="1" applyProtection="1">
      <alignment horizontal="right"/>
      <protection locked="0"/>
    </xf>
    <xf numFmtId="0" fontId="22" fillId="24" borderId="0" xfId="0" applyFont="1" applyFill="1" applyAlignment="1" applyProtection="1">
      <alignment vertical="center"/>
      <protection locked="0"/>
    </xf>
    <xf numFmtId="0" fontId="22" fillId="24" borderId="0" xfId="0" applyFont="1" applyFill="1" applyBorder="1" applyAlignment="1" applyProtection="1">
      <alignment horizontal="left" vertical="center"/>
      <protection locked="0"/>
    </xf>
    <xf numFmtId="0" fontId="22" fillId="24" borderId="0" xfId="0" applyFont="1" applyFill="1" applyBorder="1" applyAlignment="1" applyProtection="1">
      <alignment vertical="center"/>
      <protection locked="0"/>
    </xf>
    <xf numFmtId="0" fontId="0" fillId="24" borderId="0" xfId="0" applyFill="1" applyBorder="1" applyAlignment="1" applyProtection="1">
      <alignment/>
      <protection locked="0"/>
    </xf>
    <xf numFmtId="0" fontId="22" fillId="4" borderId="9" xfId="0" applyFont="1" applyFill="1" applyBorder="1" applyAlignment="1" applyProtection="1">
      <alignment horizontal="right" vertical="center"/>
      <protection locked="0"/>
    </xf>
    <xf numFmtId="0" fontId="3" fillId="24" borderId="0" xfId="0" applyFont="1" applyFill="1" applyAlignment="1" applyProtection="1">
      <alignment/>
      <protection locked="0"/>
    </xf>
    <xf numFmtId="0" fontId="2" fillId="24" borderId="0" xfId="0" applyFont="1" applyFill="1" applyAlignment="1" applyProtection="1">
      <alignment horizontal="right"/>
      <protection locked="0"/>
    </xf>
    <xf numFmtId="196" fontId="2" fillId="24" borderId="0" xfId="0" applyNumberFormat="1" applyFont="1" applyFill="1" applyAlignment="1" applyProtection="1">
      <alignment horizontal="left"/>
      <protection locked="0"/>
    </xf>
    <xf numFmtId="196" fontId="44" fillId="24" borderId="0" xfId="0" applyNumberFormat="1" applyFont="1" applyFill="1" applyAlignment="1" applyProtection="1">
      <alignment horizontal="right"/>
      <protection/>
    </xf>
    <xf numFmtId="184" fontId="0" fillId="4" borderId="9" xfId="0" applyNumberFormat="1" applyFont="1" applyFill="1" applyBorder="1" applyAlignment="1">
      <alignment horizontal="center"/>
    </xf>
    <xf numFmtId="37" fontId="0" fillId="4" borderId="0" xfId="45" applyNumberFormat="1" applyFont="1" applyFill="1" applyBorder="1" applyAlignment="1">
      <alignment horizontal="center"/>
    </xf>
    <xf numFmtId="187" fontId="0" fillId="26" borderId="9" xfId="0" applyNumberFormat="1" applyFont="1" applyFill="1" applyBorder="1" applyAlignment="1">
      <alignment horizontal="center"/>
    </xf>
    <xf numFmtId="188" fontId="0" fillId="26" borderId="9" xfId="0" applyNumberFormat="1" applyFont="1" applyFill="1" applyBorder="1" applyAlignment="1">
      <alignment horizontal="center" wrapText="1"/>
    </xf>
    <xf numFmtId="176" fontId="0" fillId="26" borderId="9" xfId="0" applyNumberFormat="1" applyFill="1" applyBorder="1" applyAlignment="1">
      <alignment/>
    </xf>
    <xf numFmtId="177" fontId="0" fillId="26" borderId="9" xfId="0" applyNumberFormat="1" applyFill="1" applyBorder="1" applyAlignment="1">
      <alignment/>
    </xf>
    <xf numFmtId="0" fontId="10" fillId="24" borderId="0" xfId="0" applyFont="1" applyFill="1" applyAlignment="1">
      <alignment horizontal="left"/>
    </xf>
    <xf numFmtId="188" fontId="3" fillId="26" borderId="9" xfId="0" applyNumberFormat="1" applyFont="1" applyFill="1" applyBorder="1" applyAlignment="1">
      <alignment horizontal="center" wrapText="1"/>
    </xf>
    <xf numFmtId="176" fontId="0" fillId="0" borderId="0" xfId="0" applyNumberFormat="1" applyFill="1" applyAlignment="1">
      <alignment/>
    </xf>
    <xf numFmtId="0" fontId="0" fillId="26" borderId="9" xfId="0" applyFont="1" applyFill="1" applyBorder="1" applyAlignment="1">
      <alignment/>
    </xf>
    <xf numFmtId="176" fontId="0" fillId="26" borderId="0" xfId="0" applyNumberFormat="1" applyFill="1" applyAlignment="1">
      <alignment/>
    </xf>
    <xf numFmtId="177" fontId="0" fillId="26" borderId="0" xfId="0" applyNumberFormat="1" applyFill="1" applyAlignment="1">
      <alignment/>
    </xf>
    <xf numFmtId="0" fontId="3" fillId="24" borderId="12" xfId="0" applyFont="1" applyFill="1" applyBorder="1" applyAlignment="1">
      <alignment/>
    </xf>
    <xf numFmtId="0" fontId="11" fillId="24" borderId="13" xfId="0" applyFont="1" applyFill="1" applyBorder="1" applyAlignment="1">
      <alignment/>
    </xf>
    <xf numFmtId="176" fontId="11" fillId="4" borderId="25" xfId="0" applyNumberFormat="1" applyFont="1" applyFill="1" applyBorder="1" applyAlignment="1">
      <alignment/>
    </xf>
    <xf numFmtId="177" fontId="0" fillId="26" borderId="0" xfId="0" applyNumberFormat="1" applyFill="1" applyAlignment="1">
      <alignment horizontal="center"/>
    </xf>
    <xf numFmtId="176" fontId="0" fillId="26" borderId="0" xfId="0" applyNumberFormat="1" applyFill="1" applyAlignment="1">
      <alignment horizontal="center"/>
    </xf>
    <xf numFmtId="203" fontId="3" fillId="26" borderId="34" xfId="0" applyNumberFormat="1" applyFont="1" applyFill="1" applyBorder="1" applyAlignment="1">
      <alignment vertical="center"/>
    </xf>
    <xf numFmtId="170" fontId="3" fillId="26" borderId="49" xfId="47" applyFont="1" applyFill="1" applyBorder="1" applyAlignment="1">
      <alignment vertical="center"/>
    </xf>
    <xf numFmtId="203" fontId="3" fillId="26" borderId="34" xfId="47" applyNumberFormat="1" applyFont="1" applyFill="1" applyBorder="1" applyAlignment="1">
      <alignment vertical="center"/>
    </xf>
    <xf numFmtId="170" fontId="3" fillId="26" borderId="49" xfId="45" applyFont="1" applyFill="1" applyBorder="1" applyAlignment="1">
      <alignment vertical="center"/>
    </xf>
    <xf numFmtId="182" fontId="3" fillId="26" borderId="34" xfId="47" applyNumberFormat="1" applyFont="1" applyFill="1" applyBorder="1" applyAlignment="1">
      <alignment/>
    </xf>
    <xf numFmtId="170" fontId="3" fillId="26" borderId="49" xfId="47" applyFont="1" applyFill="1" applyBorder="1" applyAlignment="1">
      <alignment/>
    </xf>
    <xf numFmtId="203" fontId="3" fillId="26" borderId="34" xfId="47" applyNumberFormat="1" applyFont="1" applyFill="1" applyBorder="1" applyAlignment="1">
      <alignment/>
    </xf>
    <xf numFmtId="176" fontId="3" fillId="26" borderId="34" xfId="47" applyNumberFormat="1" applyFont="1" applyFill="1" applyBorder="1" applyAlignment="1">
      <alignment/>
    </xf>
    <xf numFmtId="176" fontId="3" fillId="26" borderId="34" xfId="0" applyNumberFormat="1" applyFont="1" applyFill="1" applyBorder="1" applyAlignment="1">
      <alignment vertical="center"/>
    </xf>
    <xf numFmtId="170" fontId="3" fillId="26" borderId="30" xfId="47" applyFont="1" applyFill="1" applyBorder="1" applyAlignment="1">
      <alignment vertical="center"/>
    </xf>
    <xf numFmtId="176" fontId="3" fillId="26" borderId="34" xfId="47" applyNumberFormat="1" applyFont="1" applyFill="1" applyBorder="1" applyAlignment="1">
      <alignment vertical="center"/>
    </xf>
    <xf numFmtId="182" fontId="3" fillId="26" borderId="34" xfId="47" applyNumberFormat="1" applyFont="1" applyFill="1" applyBorder="1" applyAlignment="1">
      <alignment vertical="center"/>
    </xf>
    <xf numFmtId="10" fontId="0" fillId="8" borderId="0" xfId="45" applyNumberFormat="1" applyFill="1" applyBorder="1" applyAlignment="1">
      <alignment horizontal="right"/>
    </xf>
    <xf numFmtId="171" fontId="3" fillId="8" borderId="0" xfId="42" applyNumberFormat="1" applyFont="1" applyFill="1" applyBorder="1" applyAlignment="1">
      <alignment horizontal="right"/>
    </xf>
    <xf numFmtId="184" fontId="0" fillId="8" borderId="0" xfId="45" applyNumberFormat="1" applyFill="1" applyBorder="1" applyAlignment="1">
      <alignment horizontal="right"/>
    </xf>
    <xf numFmtId="0" fontId="3" fillId="7" borderId="9" xfId="0" applyFont="1" applyFill="1" applyBorder="1" applyAlignment="1">
      <alignment/>
    </xf>
    <xf numFmtId="188" fontId="3" fillId="7" borderId="9" xfId="0" applyNumberFormat="1" applyFont="1" applyFill="1" applyBorder="1" applyAlignment="1">
      <alignment horizontal="center" wrapText="1"/>
    </xf>
    <xf numFmtId="0" fontId="0" fillId="7" borderId="9" xfId="0" applyFont="1" applyFill="1" applyBorder="1" applyAlignment="1">
      <alignment/>
    </xf>
    <xf numFmtId="188" fontId="0" fillId="7" borderId="9" xfId="0" applyNumberFormat="1" applyFont="1" applyFill="1" applyBorder="1" applyAlignment="1">
      <alignment horizontal="center" wrapText="1"/>
    </xf>
    <xf numFmtId="0" fontId="10" fillId="0" borderId="0" xfId="0" applyFont="1" applyAlignment="1">
      <alignment/>
    </xf>
    <xf numFmtId="176"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xf>
    <xf numFmtId="0" fontId="5" fillId="0" borderId="0" xfId="0" applyFont="1" applyAlignment="1">
      <alignment/>
    </xf>
    <xf numFmtId="170" fontId="0" fillId="0" borderId="0" xfId="45" applyFont="1" applyAlignment="1">
      <alignment/>
    </xf>
    <xf numFmtId="176" fontId="5" fillId="0" borderId="0" xfId="0" applyNumberFormat="1" applyFont="1" applyAlignment="1">
      <alignment horizontal="center"/>
    </xf>
    <xf numFmtId="0" fontId="0" fillId="0" borderId="0" xfId="0" applyFill="1" applyAlignment="1">
      <alignment wrapText="1"/>
    </xf>
    <xf numFmtId="0" fontId="0" fillId="0" borderId="0" xfId="0" applyAlignment="1">
      <alignment wrapText="1"/>
    </xf>
    <xf numFmtId="187" fontId="11" fillId="4" borderId="51" xfId="0" applyNumberFormat="1" applyFont="1" applyFill="1" applyBorder="1" applyAlignment="1">
      <alignment/>
    </xf>
    <xf numFmtId="187" fontId="11" fillId="4" borderId="9" xfId="0" applyNumberFormat="1" applyFont="1" applyFill="1" applyBorder="1" applyAlignment="1">
      <alignment/>
    </xf>
    <xf numFmtId="170" fontId="0" fillId="4" borderId="33" xfId="45" applyFont="1" applyFill="1" applyBorder="1" applyAlignment="1">
      <alignment/>
    </xf>
    <xf numFmtId="187" fontId="11" fillId="8" borderId="33" xfId="0" applyNumberFormat="1" applyFont="1" applyFill="1" applyBorder="1" applyAlignment="1">
      <alignment/>
    </xf>
    <xf numFmtId="187" fontId="0" fillId="7" borderId="0" xfId="0" applyNumberFormat="1" applyFill="1" applyAlignment="1">
      <alignment/>
    </xf>
    <xf numFmtId="0" fontId="0" fillId="7" borderId="0" xfId="0" applyFill="1" applyAlignment="1">
      <alignment/>
    </xf>
    <xf numFmtId="0" fontId="11" fillId="24" borderId="33" xfId="0" applyFont="1" applyFill="1" applyBorder="1" applyAlignment="1">
      <alignment/>
    </xf>
    <xf numFmtId="0" fontId="11" fillId="0" borderId="33" xfId="0" applyFont="1" applyBorder="1" applyAlignment="1">
      <alignment/>
    </xf>
    <xf numFmtId="184" fontId="0" fillId="0" borderId="0" xfId="0" applyNumberFormat="1" applyFill="1" applyAlignment="1">
      <alignment/>
    </xf>
    <xf numFmtId="0" fontId="0" fillId="0" borderId="0" xfId="0" applyFill="1" applyAlignment="1">
      <alignment/>
    </xf>
    <xf numFmtId="187" fontId="0" fillId="24" borderId="0" xfId="0" applyNumberFormat="1" applyFill="1" applyAlignment="1">
      <alignment/>
    </xf>
    <xf numFmtId="0" fontId="2" fillId="0" borderId="58" xfId="0" applyFont="1" applyBorder="1" applyAlignment="1">
      <alignment/>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0" fillId="0" borderId="59" xfId="0" applyBorder="1" applyAlignment="1">
      <alignment/>
    </xf>
    <xf numFmtId="0" fontId="0" fillId="0" borderId="0" xfId="0" applyBorder="1" applyAlignment="1">
      <alignment/>
    </xf>
    <xf numFmtId="0" fontId="0" fillId="0" borderId="0" xfId="0" applyBorder="1" applyAlignment="1">
      <alignment horizontal="right"/>
    </xf>
    <xf numFmtId="0" fontId="3" fillId="0" borderId="59" xfId="0" applyFont="1" applyBorder="1" applyAlignment="1">
      <alignment/>
    </xf>
    <xf numFmtId="37" fontId="0" fillId="0" borderId="0" xfId="45" applyNumberFormat="1" applyFont="1" applyBorder="1" applyAlignment="1">
      <alignment horizontal="center"/>
    </xf>
    <xf numFmtId="3" fontId="0" fillId="27" borderId="0" xfId="0" applyNumberFormat="1" applyFill="1" applyBorder="1" applyAlignment="1">
      <alignment/>
    </xf>
    <xf numFmtId="3" fontId="0" fillId="11" borderId="0" xfId="0" applyNumberFormat="1" applyFill="1" applyBorder="1" applyAlignment="1">
      <alignment/>
    </xf>
    <xf numFmtId="37" fontId="0" fillId="11" borderId="0" xfId="45" applyNumberFormat="1" applyFill="1" applyBorder="1" applyAlignment="1">
      <alignment/>
    </xf>
    <xf numFmtId="37" fontId="0" fillId="11" borderId="0" xfId="45" applyNumberFormat="1" applyFont="1" applyFill="1" applyBorder="1" applyAlignment="1">
      <alignment horizontal="center"/>
    </xf>
    <xf numFmtId="37" fontId="0" fillId="27" borderId="0" xfId="0" applyNumberFormat="1" applyFill="1" applyBorder="1" applyAlignment="1">
      <alignment/>
    </xf>
    <xf numFmtId="0" fontId="0" fillId="27" borderId="0" xfId="0" applyFill="1" applyBorder="1" applyAlignment="1">
      <alignment/>
    </xf>
    <xf numFmtId="0" fontId="3" fillId="3" borderId="59" xfId="0" applyFont="1" applyFill="1" applyBorder="1" applyAlignment="1">
      <alignment/>
    </xf>
    <xf numFmtId="37" fontId="0" fillId="27" borderId="0" xfId="45" applyNumberFormat="1" applyFill="1" applyBorder="1" applyAlignment="1">
      <alignment/>
    </xf>
    <xf numFmtId="37" fontId="0" fillId="27" borderId="0" xfId="45" applyNumberFormat="1" applyFont="1" applyFill="1" applyBorder="1" applyAlignment="1">
      <alignment horizontal="center"/>
    </xf>
    <xf numFmtId="37" fontId="0" fillId="27" borderId="0" xfId="45" applyNumberFormat="1" applyFont="1" applyFill="1" applyBorder="1" applyAlignment="1">
      <alignment/>
    </xf>
    <xf numFmtId="37" fontId="0" fillId="27" borderId="0" xfId="45" applyNumberFormat="1" applyFont="1" applyFill="1" applyBorder="1" applyAlignment="1">
      <alignment horizontal="right"/>
    </xf>
    <xf numFmtId="37" fontId="0" fillId="0" borderId="9" xfId="45" applyNumberFormat="1" applyFont="1" applyBorder="1" applyAlignment="1">
      <alignment horizontal="center"/>
    </xf>
    <xf numFmtId="3" fontId="0" fillId="27" borderId="9" xfId="0" applyNumberFormat="1" applyFill="1" applyBorder="1" applyAlignment="1">
      <alignment/>
    </xf>
    <xf numFmtId="0" fontId="3" fillId="0" borderId="59" xfId="0" applyFont="1" applyFill="1" applyBorder="1" applyAlignment="1">
      <alignment/>
    </xf>
    <xf numFmtId="37" fontId="0" fillId="0" borderId="0" xfId="45" applyNumberFormat="1" applyFont="1" applyFill="1" applyBorder="1" applyAlignment="1">
      <alignment horizontal="right"/>
    </xf>
    <xf numFmtId="3" fontId="0" fillId="0" borderId="0" xfId="0" applyNumberFormat="1" applyFill="1" applyBorder="1" applyAlignment="1">
      <alignment/>
    </xf>
    <xf numFmtId="0" fontId="3" fillId="0" borderId="42" xfId="0" applyFont="1" applyBorder="1" applyAlignment="1">
      <alignment/>
    </xf>
    <xf numFmtId="0" fontId="0" fillId="0" borderId="9" xfId="0" applyBorder="1" applyAlignment="1">
      <alignment/>
    </xf>
    <xf numFmtId="0" fontId="3" fillId="0" borderId="58" xfId="0" applyFont="1" applyBorder="1" applyAlignment="1">
      <alignment horizontal="center" vertical="top" wrapText="1"/>
    </xf>
    <xf numFmtId="0" fontId="0" fillId="0" borderId="59" xfId="0" applyBorder="1" applyAlignment="1">
      <alignment horizontal="right"/>
    </xf>
    <xf numFmtId="0" fontId="0" fillId="0" borderId="60" xfId="0" applyBorder="1" applyAlignment="1">
      <alignment/>
    </xf>
    <xf numFmtId="180" fontId="0" fillId="27" borderId="59" xfId="42" applyNumberFormat="1" applyFill="1" applyBorder="1" applyAlignment="1">
      <alignment/>
    </xf>
    <xf numFmtId="170" fontId="0" fillId="27" borderId="60" xfId="45" applyFill="1" applyBorder="1" applyAlignment="1">
      <alignment horizontal="right"/>
    </xf>
    <xf numFmtId="180" fontId="0" fillId="11" borderId="59" xfId="42" applyNumberFormat="1" applyFill="1" applyBorder="1" applyAlignment="1">
      <alignment/>
    </xf>
    <xf numFmtId="170" fontId="0" fillId="11" borderId="60" xfId="45" applyFill="1" applyBorder="1" applyAlignment="1">
      <alignment horizontal="right"/>
    </xf>
    <xf numFmtId="170" fontId="0" fillId="11" borderId="60" xfId="45" applyFont="1" applyFill="1" applyBorder="1" applyAlignment="1">
      <alignment horizontal="right"/>
    </xf>
    <xf numFmtId="180" fontId="0" fillId="27" borderId="59" xfId="0" applyNumberFormat="1" applyFill="1" applyBorder="1" applyAlignment="1">
      <alignment/>
    </xf>
    <xf numFmtId="171" fontId="0" fillId="27" borderId="60" xfId="0" applyNumberFormat="1" applyFill="1" applyBorder="1" applyAlignment="1">
      <alignment/>
    </xf>
    <xf numFmtId="180" fontId="3" fillId="27" borderId="59" xfId="42" applyNumberFormat="1" applyFont="1" applyFill="1" applyBorder="1" applyAlignment="1">
      <alignment/>
    </xf>
    <xf numFmtId="37" fontId="0" fillId="27" borderId="59" xfId="45" applyNumberFormat="1" applyFont="1" applyFill="1" applyBorder="1" applyAlignment="1">
      <alignment horizontal="right"/>
    </xf>
    <xf numFmtId="177" fontId="0" fillId="27" borderId="60" xfId="45" applyNumberFormat="1" applyFont="1" applyFill="1" applyBorder="1" applyAlignment="1">
      <alignment horizontal="right"/>
    </xf>
    <xf numFmtId="3" fontId="0" fillId="27" borderId="9" xfId="42" applyNumberFormat="1" applyFont="1" applyFill="1" applyBorder="1" applyAlignment="1">
      <alignment/>
    </xf>
    <xf numFmtId="0" fontId="3" fillId="0" borderId="35" xfId="0" applyFont="1" applyBorder="1" applyAlignment="1">
      <alignment horizontal="center" vertical="top" wrapText="1"/>
    </xf>
    <xf numFmtId="0" fontId="3" fillId="0" borderId="61" xfId="0" applyFont="1" applyBorder="1" applyAlignment="1">
      <alignment horizontal="center" vertical="top" wrapText="1"/>
    </xf>
    <xf numFmtId="0" fontId="0" fillId="0" borderId="42" xfId="0" applyBorder="1" applyAlignment="1">
      <alignment/>
    </xf>
    <xf numFmtId="0" fontId="0" fillId="0" borderId="62" xfId="0" applyBorder="1" applyAlignment="1">
      <alignment/>
    </xf>
    <xf numFmtId="9" fontId="0" fillId="0" borderId="59" xfId="64" applyFont="1" applyBorder="1" applyAlignment="1">
      <alignment/>
    </xf>
    <xf numFmtId="9" fontId="0" fillId="0" borderId="0" xfId="64" applyFont="1" applyBorder="1" applyAlignment="1">
      <alignment/>
    </xf>
    <xf numFmtId="9" fontId="0" fillId="0" borderId="60" xfId="64" applyFont="1" applyBorder="1" applyAlignment="1">
      <alignment/>
    </xf>
    <xf numFmtId="0" fontId="3" fillId="0" borderId="33" xfId="0" applyFont="1" applyBorder="1" applyAlignment="1">
      <alignment horizontal="center" vertical="top" wrapText="1"/>
    </xf>
    <xf numFmtId="0" fontId="3" fillId="0" borderId="33" xfId="0" applyFont="1" applyBorder="1" applyAlignment="1">
      <alignment horizontal="center" wrapText="1"/>
    </xf>
    <xf numFmtId="187" fontId="8" fillId="24" borderId="54" xfId="0" applyNumberFormat="1" applyFont="1" applyFill="1" applyBorder="1" applyAlignment="1">
      <alignment/>
    </xf>
    <xf numFmtId="184" fontId="0" fillId="24" borderId="0" xfId="64" applyNumberFormat="1" applyFont="1" applyFill="1" applyAlignment="1">
      <alignment/>
    </xf>
    <xf numFmtId="176" fontId="3" fillId="10" borderId="34" xfId="0" applyNumberFormat="1" applyFont="1" applyFill="1" applyBorder="1" applyAlignment="1">
      <alignment vertical="center"/>
    </xf>
    <xf numFmtId="176" fontId="3" fillId="10" borderId="34" xfId="47" applyNumberFormat="1" applyFont="1" applyFill="1" applyBorder="1" applyAlignment="1">
      <alignment vertical="center"/>
    </xf>
    <xf numFmtId="182" fontId="3" fillId="10" borderId="34" xfId="47" applyNumberFormat="1" applyFont="1" applyFill="1" applyBorder="1" applyAlignment="1">
      <alignment vertical="center"/>
    </xf>
    <xf numFmtId="177" fontId="3" fillId="10" borderId="34" xfId="47" applyNumberFormat="1" applyFont="1" applyFill="1" applyBorder="1" applyAlignment="1">
      <alignment vertical="center"/>
    </xf>
    <xf numFmtId="0" fontId="0" fillId="0" borderId="0" xfId="0" applyAlignment="1">
      <alignment horizontal="center"/>
    </xf>
    <xf numFmtId="0" fontId="0" fillId="0" borderId="0" xfId="0" applyAlignment="1">
      <alignment horizontal="left"/>
    </xf>
    <xf numFmtId="0" fontId="57" fillId="0" borderId="28" xfId="0" applyFont="1" applyBorder="1" applyAlignment="1">
      <alignment horizontal="center"/>
    </xf>
    <xf numFmtId="0" fontId="57" fillId="0" borderId="29" xfId="0" applyFont="1"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xf>
    <xf numFmtId="0" fontId="3" fillId="0" borderId="16" xfId="0" applyFont="1" applyBorder="1" applyAlignment="1">
      <alignment horizontal="center"/>
    </xf>
    <xf numFmtId="0" fontId="3" fillId="0" borderId="53" xfId="0" applyFont="1" applyBorder="1" applyAlignment="1">
      <alignment horizontal="left"/>
    </xf>
    <xf numFmtId="0" fontId="0" fillId="0" borderId="10"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3" fontId="0" fillId="0" borderId="65" xfId="0" applyNumberFormat="1" applyBorder="1" applyAlignment="1">
      <alignment horizontal="center"/>
    </xf>
    <xf numFmtId="170" fontId="0" fillId="0" borderId="59" xfId="45" applyBorder="1" applyAlignment="1">
      <alignment horizontal="center"/>
    </xf>
    <xf numFmtId="184" fontId="0" fillId="0" borderId="60" xfId="64" applyNumberFormat="1" applyBorder="1" applyAlignment="1">
      <alignment horizontal="center"/>
    </xf>
    <xf numFmtId="184" fontId="0" fillId="0" borderId="16" xfId="64" applyNumberFormat="1" applyBorder="1" applyAlignment="1">
      <alignment horizontal="center"/>
    </xf>
    <xf numFmtId="0" fontId="0" fillId="0" borderId="64" xfId="0" applyBorder="1" applyAlignment="1">
      <alignment horizontal="left"/>
    </xf>
    <xf numFmtId="0" fontId="0" fillId="0" borderId="65"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16" xfId="0" applyBorder="1" applyAlignment="1">
      <alignment horizontal="center"/>
    </xf>
    <xf numFmtId="3" fontId="0" fillId="0" borderId="65" xfId="42" applyNumberFormat="1" applyBorder="1" applyAlignment="1">
      <alignment horizontal="center"/>
    </xf>
    <xf numFmtId="170" fontId="0" fillId="0" borderId="10" xfId="45" applyBorder="1" applyAlignment="1">
      <alignment horizontal="center"/>
    </xf>
    <xf numFmtId="184" fontId="0" fillId="0" borderId="10" xfId="64" applyNumberFormat="1" applyBorder="1" applyAlignment="1">
      <alignment horizontal="center"/>
    </xf>
    <xf numFmtId="184" fontId="0" fillId="0" borderId="63" xfId="64" applyNumberFormat="1" applyBorder="1" applyAlignment="1">
      <alignment horizontal="center"/>
    </xf>
    <xf numFmtId="10" fontId="0" fillId="0" borderId="0" xfId="0" applyNumberFormat="1" applyAlignment="1">
      <alignment horizontal="center"/>
    </xf>
    <xf numFmtId="9" fontId="0" fillId="0" borderId="0" xfId="64" applyAlignment="1">
      <alignment horizontal="center"/>
    </xf>
    <xf numFmtId="0" fontId="0" fillId="0" borderId="66" xfId="0" applyBorder="1" applyAlignment="1">
      <alignment horizontal="center"/>
    </xf>
    <xf numFmtId="0" fontId="0" fillId="0" borderId="56" xfId="0" applyBorder="1" applyAlignment="1">
      <alignment horizontal="center"/>
    </xf>
    <xf numFmtId="170" fontId="0" fillId="0" borderId="67" xfId="45" applyBorder="1" applyAlignment="1">
      <alignment horizontal="center"/>
    </xf>
    <xf numFmtId="184" fontId="0" fillId="0" borderId="68" xfId="64" applyNumberFormat="1" applyBorder="1" applyAlignment="1">
      <alignment horizontal="center"/>
    </xf>
    <xf numFmtId="184" fontId="0" fillId="0" borderId="19" xfId="64" applyNumberFormat="1" applyBorder="1" applyAlignment="1">
      <alignment horizontal="center"/>
    </xf>
    <xf numFmtId="0" fontId="57" fillId="0" borderId="64" xfId="0" applyFont="1" applyBorder="1" applyAlignment="1">
      <alignment horizontal="center"/>
    </xf>
    <xf numFmtId="0" fontId="57" fillId="0" borderId="65" xfId="0" applyFont="1" applyBorder="1" applyAlignment="1">
      <alignment horizontal="center"/>
    </xf>
    <xf numFmtId="170" fontId="0" fillId="10" borderId="27" xfId="45" applyFill="1" applyBorder="1" applyAlignment="1">
      <alignment/>
    </xf>
    <xf numFmtId="218" fontId="0" fillId="0" borderId="0" xfId="45" applyNumberFormat="1" applyFont="1" applyAlignment="1">
      <alignment horizontal="center"/>
    </xf>
    <xf numFmtId="170" fontId="0" fillId="0" borderId="0" xfId="45" applyFont="1" applyAlignment="1">
      <alignment horizontal="center"/>
    </xf>
    <xf numFmtId="0" fontId="25" fillId="24" borderId="9" xfId="0" applyFont="1" applyFill="1" applyBorder="1" applyAlignment="1">
      <alignment horizontal="left" vertical="center"/>
    </xf>
    <xf numFmtId="0" fontId="2" fillId="24" borderId="15" xfId="0" applyFont="1" applyFill="1" applyBorder="1" applyAlignment="1" applyProtection="1">
      <alignment/>
      <protection locked="0"/>
    </xf>
    <xf numFmtId="0" fontId="0" fillId="0" borderId="0" xfId="0" applyAlignment="1">
      <alignment/>
    </xf>
    <xf numFmtId="0" fontId="2" fillId="24" borderId="17" xfId="0" applyFont="1" applyFill="1" applyBorder="1" applyAlignment="1">
      <alignment/>
    </xf>
    <xf numFmtId="0" fontId="0" fillId="24" borderId="18" xfId="0" applyFont="1" applyFill="1" applyBorder="1" applyAlignment="1">
      <alignment/>
    </xf>
    <xf numFmtId="0" fontId="25" fillId="24" borderId="9" xfId="0" applyFont="1" applyFill="1" applyBorder="1" applyAlignment="1">
      <alignment horizontal="center" wrapText="1"/>
    </xf>
    <xf numFmtId="0" fontId="25" fillId="24" borderId="0" xfId="0" applyFont="1" applyFill="1" applyBorder="1" applyAlignment="1">
      <alignment horizontal="left" vertical="center"/>
    </xf>
    <xf numFmtId="0" fontId="44" fillId="24" borderId="0" xfId="0" applyFont="1" applyFill="1" applyAlignment="1">
      <alignment horizontal="left" vertical="center" wrapText="1"/>
    </xf>
    <xf numFmtId="0" fontId="2" fillId="24" borderId="16" xfId="0" applyFont="1" applyFill="1" applyBorder="1" applyAlignment="1">
      <alignment horizontal="left"/>
    </xf>
    <xf numFmtId="0" fontId="25" fillId="24" borderId="0" xfId="0" applyFont="1" applyFill="1" applyAlignment="1">
      <alignment horizontal="center" wrapText="1"/>
    </xf>
    <xf numFmtId="0" fontId="17" fillId="24" borderId="0" xfId="0" applyFont="1" applyFill="1" applyAlignment="1" applyProtection="1">
      <alignment horizontal="center" vertical="center"/>
      <protection locked="0"/>
    </xf>
    <xf numFmtId="0" fontId="22" fillId="4" borderId="9" xfId="0" applyFont="1" applyFill="1" applyBorder="1" applyAlignment="1" applyProtection="1">
      <alignment horizontal="left" vertical="center"/>
      <protection locked="0"/>
    </xf>
    <xf numFmtId="49" fontId="22" fillId="4" borderId="9" xfId="0" applyNumberFormat="1" applyFont="1" applyFill="1" applyBorder="1" applyAlignment="1" applyProtection="1">
      <alignment horizontal="left" vertical="center"/>
      <protection locked="0"/>
    </xf>
    <xf numFmtId="15" fontId="23" fillId="24" borderId="0" xfId="58" applyNumberFormat="1" applyFont="1" applyFill="1" applyBorder="1" applyAlignment="1" applyProtection="1">
      <alignment horizontal="left" vertical="center"/>
      <protection locked="0"/>
    </xf>
    <xf numFmtId="0" fontId="22" fillId="4" borderId="9" xfId="0" applyFont="1" applyFill="1" applyBorder="1" applyAlignment="1" applyProtection="1">
      <alignment horizontal="left" vertical="center" indent="2"/>
      <protection locked="0"/>
    </xf>
    <xf numFmtId="0" fontId="23" fillId="4" borderId="9" xfId="58" applyFont="1" applyFill="1" applyBorder="1" applyAlignment="1" applyProtection="1">
      <alignment horizontal="left" vertical="center"/>
      <protection locked="0"/>
    </xf>
    <xf numFmtId="0" fontId="49" fillId="24" borderId="0" xfId="0" applyFont="1" applyFill="1" applyAlignment="1">
      <alignment horizontal="left" vertical="center" wrapText="1"/>
    </xf>
    <xf numFmtId="0" fontId="2" fillId="24" borderId="15" xfId="0" applyFont="1" applyFill="1" applyBorder="1" applyAlignment="1" applyProtection="1">
      <alignment horizontal="left"/>
      <protection locked="0"/>
    </xf>
    <xf numFmtId="0" fontId="2" fillId="24" borderId="0" xfId="0" applyFont="1" applyFill="1" applyBorder="1" applyAlignment="1" applyProtection="1">
      <alignment horizontal="left"/>
      <protection locked="0"/>
    </xf>
    <xf numFmtId="0" fontId="2" fillId="24" borderId="0" xfId="0" applyFont="1" applyFill="1" applyBorder="1" applyAlignment="1">
      <alignment horizontal="left"/>
    </xf>
    <xf numFmtId="0" fontId="54" fillId="24" borderId="13" xfId="0" applyFont="1" applyFill="1" applyBorder="1" applyAlignment="1">
      <alignment horizontal="left" vertical="center"/>
    </xf>
    <xf numFmtId="15" fontId="55" fillId="24" borderId="0" xfId="58" applyNumberFormat="1" applyFont="1" applyFill="1" applyBorder="1" applyAlignment="1" applyProtection="1">
      <alignment horizontal="left"/>
      <protection/>
    </xf>
    <xf numFmtId="0" fontId="21" fillId="24" borderId="0" xfId="0" applyFont="1" applyFill="1" applyBorder="1" applyAlignment="1">
      <alignment horizontal="right"/>
    </xf>
    <xf numFmtId="0" fontId="21" fillId="24" borderId="60" xfId="0" applyFont="1" applyFill="1" applyBorder="1" applyAlignment="1">
      <alignment horizontal="right"/>
    </xf>
    <xf numFmtId="0" fontId="8" fillId="24" borderId="9" xfId="0" applyFont="1" applyFill="1" applyBorder="1" applyAlignment="1">
      <alignment horizontal="left"/>
    </xf>
    <xf numFmtId="15" fontId="15" fillId="24" borderId="0" xfId="58" applyNumberFormat="1" applyFont="1" applyFill="1" applyBorder="1" applyAlignment="1" applyProtection="1">
      <alignment horizontal="left"/>
      <protection/>
    </xf>
    <xf numFmtId="0" fontId="18" fillId="24" borderId="0" xfId="0" applyFont="1" applyFill="1" applyBorder="1" applyAlignment="1">
      <alignment horizontal="right"/>
    </xf>
    <xf numFmtId="0" fontId="18" fillId="24" borderId="60" xfId="0" applyFont="1" applyFill="1" applyBorder="1" applyAlignment="1">
      <alignment horizontal="right"/>
    </xf>
    <xf numFmtId="0" fontId="2" fillId="24" borderId="0" xfId="0" applyFont="1" applyFill="1" applyBorder="1" applyAlignment="1">
      <alignment horizontal="right"/>
    </xf>
    <xf numFmtId="0" fontId="2" fillId="24" borderId="16" xfId="0" applyFont="1" applyFill="1" applyBorder="1" applyAlignment="1">
      <alignment horizontal="right"/>
    </xf>
    <xf numFmtId="0" fontId="10" fillId="24" borderId="0" xfId="0" applyFont="1" applyFill="1" applyAlignment="1">
      <alignment horizontal="left"/>
    </xf>
    <xf numFmtId="0" fontId="28" fillId="27" borderId="0" xfId="0" applyFont="1" applyFill="1" applyAlignment="1">
      <alignment horizontal="center"/>
    </xf>
    <xf numFmtId="0" fontId="8" fillId="24" borderId="52" xfId="0" applyFont="1" applyFill="1" applyBorder="1" applyAlignment="1">
      <alignment horizontal="left" wrapText="1"/>
    </xf>
    <xf numFmtId="0" fontId="8" fillId="24" borderId="9" xfId="0" applyFont="1" applyFill="1" applyBorder="1" applyAlignment="1">
      <alignment horizontal="left" wrapText="1"/>
    </xf>
    <xf numFmtId="0" fontId="8" fillId="24" borderId="52" xfId="0" applyFont="1" applyFill="1" applyBorder="1" applyAlignment="1">
      <alignment horizontal="left"/>
    </xf>
    <xf numFmtId="0" fontId="11" fillId="24" borderId="8" xfId="0" applyFont="1" applyFill="1" applyBorder="1" applyAlignment="1">
      <alignment horizontal="left" vertical="center" wrapText="1"/>
    </xf>
    <xf numFmtId="0" fontId="11" fillId="24" borderId="9" xfId="0" applyFont="1" applyFill="1" applyBorder="1" applyAlignment="1">
      <alignment horizontal="left" vertical="center" wrapText="1"/>
    </xf>
    <xf numFmtId="0" fontId="0" fillId="0" borderId="18" xfId="0" applyBorder="1" applyAlignment="1">
      <alignment/>
    </xf>
    <xf numFmtId="0" fontId="22" fillId="24" borderId="25" xfId="0" applyFont="1" applyFill="1" applyBorder="1" applyAlignment="1">
      <alignment horizontal="center" vertical="center" wrapText="1"/>
    </xf>
    <xf numFmtId="0" fontId="22" fillId="24" borderId="26" xfId="0" applyFont="1" applyFill="1" applyBorder="1" applyAlignment="1">
      <alignment horizontal="center" vertical="center" wrapText="1"/>
    </xf>
    <xf numFmtId="0" fontId="22" fillId="24" borderId="12" xfId="0" applyFont="1" applyFill="1" applyBorder="1" applyAlignment="1">
      <alignment horizontal="left" vertical="center"/>
    </xf>
    <xf numFmtId="0" fontId="22" fillId="24" borderId="15" xfId="0" applyFont="1" applyFill="1" applyBorder="1" applyAlignment="1">
      <alignment horizontal="left" vertical="center"/>
    </xf>
    <xf numFmtId="0" fontId="51" fillId="24" borderId="0" xfId="0" applyFont="1" applyFill="1" applyAlignment="1">
      <alignment horizontal="left" vertical="center" wrapText="1"/>
    </xf>
    <xf numFmtId="0" fontId="2" fillId="24" borderId="12" xfId="0" applyFont="1" applyFill="1" applyBorder="1" applyAlignment="1" applyProtection="1">
      <alignment/>
      <protection locked="0"/>
    </xf>
    <xf numFmtId="0" fontId="0" fillId="24" borderId="13" xfId="0" applyFont="1" applyFill="1" applyBorder="1" applyAlignment="1">
      <alignment/>
    </xf>
    <xf numFmtId="0" fontId="0" fillId="0" borderId="13" xfId="0" applyBorder="1" applyAlignment="1">
      <alignment/>
    </xf>
    <xf numFmtId="0" fontId="0" fillId="24" borderId="0" xfId="0" applyFont="1" applyFill="1" applyBorder="1" applyAlignment="1">
      <alignment/>
    </xf>
    <xf numFmtId="0" fontId="0" fillId="0" borderId="0" xfId="0" applyBorder="1" applyAlignment="1">
      <alignment/>
    </xf>
    <xf numFmtId="0" fontId="2" fillId="24" borderId="15" xfId="0" applyFont="1" applyFill="1" applyBorder="1" applyAlignment="1">
      <alignment/>
    </xf>
    <xf numFmtId="0" fontId="2" fillId="24" borderId="0" xfId="0" applyFont="1" applyFill="1" applyAlignment="1">
      <alignment horizontal="center"/>
    </xf>
    <xf numFmtId="0" fontId="26" fillId="24" borderId="0" xfId="0" applyFont="1" applyFill="1" applyAlignment="1">
      <alignment horizontal="center"/>
    </xf>
    <xf numFmtId="0" fontId="25" fillId="24" borderId="0" xfId="0" applyFont="1" applyFill="1" applyAlignment="1">
      <alignment horizontal="left" vertical="center" wrapText="1"/>
    </xf>
    <xf numFmtId="0" fontId="42" fillId="24" borderId="0" xfId="0" applyFont="1" applyFill="1" applyAlignment="1">
      <alignment horizontal="left"/>
    </xf>
    <xf numFmtId="0" fontId="5" fillId="0" borderId="18" xfId="0" applyFont="1" applyBorder="1" applyAlignment="1">
      <alignment/>
    </xf>
    <xf numFmtId="0" fontId="2" fillId="24" borderId="15" xfId="0" applyFont="1" applyFill="1" applyBorder="1" applyAlignment="1">
      <alignment horizontal="left"/>
    </xf>
    <xf numFmtId="0" fontId="5" fillId="0" borderId="13" xfId="0" applyFont="1" applyBorder="1" applyAlignment="1">
      <alignment/>
    </xf>
    <xf numFmtId="0" fontId="5" fillId="0" borderId="0" xfId="0" applyFont="1" applyBorder="1" applyAlignment="1">
      <alignment/>
    </xf>
    <xf numFmtId="0" fontId="44" fillId="24" borderId="13" xfId="0" applyFont="1" applyFill="1" applyBorder="1" applyAlignment="1">
      <alignment horizontal="right"/>
    </xf>
    <xf numFmtId="0" fontId="44" fillId="24" borderId="14" xfId="0" applyFont="1" applyFill="1" applyBorder="1" applyAlignment="1">
      <alignment horizontal="right"/>
    </xf>
    <xf numFmtId="0" fontId="2" fillId="20" borderId="0" xfId="0" applyFont="1" applyFill="1" applyBorder="1" applyAlignment="1">
      <alignment horizontal="center"/>
    </xf>
    <xf numFmtId="0" fontId="4" fillId="22" borderId="12" xfId="0" applyFont="1" applyFill="1" applyBorder="1" applyAlignment="1">
      <alignment horizontal="center" vertical="center"/>
    </xf>
    <xf numFmtId="0" fontId="4" fillId="22" borderId="13" xfId="0" applyFont="1" applyFill="1" applyBorder="1" applyAlignment="1">
      <alignment horizontal="center" vertical="center"/>
    </xf>
    <xf numFmtId="0" fontId="4" fillId="22" borderId="14"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0" xfId="0" applyFont="1" applyFill="1" applyBorder="1" applyAlignment="1">
      <alignment horizontal="center" vertical="center"/>
    </xf>
    <xf numFmtId="0" fontId="4" fillId="22" borderId="16" xfId="0" applyFont="1" applyFill="1" applyBorder="1" applyAlignment="1">
      <alignment horizontal="center" vertical="center"/>
    </xf>
    <xf numFmtId="0" fontId="3" fillId="24" borderId="69" xfId="0" applyFont="1" applyFill="1" applyBorder="1" applyAlignment="1">
      <alignment horizontal="center" vertical="center"/>
    </xf>
    <xf numFmtId="0" fontId="3" fillId="24" borderId="66" xfId="0" applyFont="1" applyFill="1" applyBorder="1" applyAlignment="1">
      <alignment horizontal="center" vertical="center"/>
    </xf>
    <xf numFmtId="0" fontId="3" fillId="24" borderId="70" xfId="0" applyFont="1" applyFill="1" applyBorder="1" applyAlignment="1">
      <alignment horizontal="center" vertical="center" wrapText="1"/>
    </xf>
    <xf numFmtId="0" fontId="3" fillId="24" borderId="56" xfId="0" applyFont="1" applyFill="1" applyBorder="1" applyAlignment="1">
      <alignment horizontal="center" vertical="center" wrapText="1"/>
    </xf>
    <xf numFmtId="2" fontId="3" fillId="24" borderId="71" xfId="0" applyNumberFormat="1" applyFont="1" applyFill="1" applyBorder="1" applyAlignment="1">
      <alignment horizontal="center" vertical="center" wrapText="1"/>
    </xf>
    <xf numFmtId="2" fontId="3" fillId="24" borderId="72" xfId="0" applyNumberFormat="1" applyFont="1" applyFill="1" applyBorder="1" applyAlignment="1">
      <alignment horizontal="center" vertical="center" wrapText="1"/>
    </xf>
    <xf numFmtId="0" fontId="0" fillId="24" borderId="73" xfId="0" applyFill="1" applyBorder="1" applyAlignment="1">
      <alignment horizontal="center"/>
    </xf>
    <xf numFmtId="0" fontId="0" fillId="24" borderId="60" xfId="0" applyFill="1" applyBorder="1" applyAlignment="1">
      <alignment horizontal="center"/>
    </xf>
    <xf numFmtId="0" fontId="0" fillId="24" borderId="53"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36" xfId="0" applyFont="1" applyFill="1" applyBorder="1" applyAlignment="1">
      <alignment horizontal="center" wrapText="1"/>
    </xf>
    <xf numFmtId="0" fontId="0" fillId="24" borderId="58" xfId="0" applyFont="1" applyFill="1" applyBorder="1" applyAlignment="1">
      <alignment horizontal="center" wrapText="1"/>
    </xf>
    <xf numFmtId="0" fontId="0" fillId="24" borderId="22" xfId="0" applyFill="1" applyBorder="1" applyAlignment="1">
      <alignment horizontal="center" wrapText="1"/>
    </xf>
    <xf numFmtId="0" fontId="0" fillId="24" borderId="23" xfId="0" applyFill="1" applyBorder="1" applyAlignment="1">
      <alignment horizontal="center" wrapText="1"/>
    </xf>
    <xf numFmtId="0" fontId="0" fillId="24" borderId="24" xfId="0" applyFill="1" applyBorder="1" applyAlignment="1">
      <alignment horizontal="center" wrapText="1"/>
    </xf>
    <xf numFmtId="0" fontId="3" fillId="24" borderId="64" xfId="0" applyFont="1" applyFill="1" applyBorder="1" applyAlignment="1">
      <alignment horizontal="center" vertical="center"/>
    </xf>
    <xf numFmtId="0" fontId="3" fillId="24" borderId="65"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3" fillId="24" borderId="48" xfId="0" applyFont="1" applyFill="1" applyBorder="1" applyAlignment="1">
      <alignment horizontal="center" vertical="center" wrapText="1"/>
    </xf>
    <xf numFmtId="10" fontId="3" fillId="24" borderId="25" xfId="0" applyNumberFormat="1" applyFont="1" applyFill="1" applyBorder="1" applyAlignment="1">
      <alignment horizontal="center" vertical="center" wrapText="1"/>
    </xf>
    <xf numFmtId="10" fontId="3" fillId="24" borderId="48" xfId="0" applyNumberFormat="1" applyFont="1" applyFill="1" applyBorder="1" applyAlignment="1">
      <alignment horizontal="center" vertical="center" wrapText="1"/>
    </xf>
    <xf numFmtId="170" fontId="0" fillId="24" borderId="12" xfId="47" applyFill="1" applyBorder="1" applyAlignment="1">
      <alignment horizontal="center"/>
    </xf>
    <xf numFmtId="170" fontId="0" fillId="24" borderId="14" xfId="47" applyFill="1" applyBorder="1" applyAlignment="1">
      <alignment horizontal="center"/>
    </xf>
    <xf numFmtId="170" fontId="0" fillId="24" borderId="17" xfId="47" applyFill="1" applyBorder="1" applyAlignment="1">
      <alignment horizontal="center"/>
    </xf>
    <xf numFmtId="170" fontId="0" fillId="24" borderId="19" xfId="47" applyFill="1" applyBorder="1" applyAlignment="1">
      <alignment horizontal="center"/>
    </xf>
    <xf numFmtId="170" fontId="0" fillId="24" borderId="15" xfId="47" applyFill="1" applyBorder="1" applyAlignment="1">
      <alignment horizontal="center"/>
    </xf>
    <xf numFmtId="170" fontId="0" fillId="24" borderId="16" xfId="47" applyFill="1" applyBorder="1" applyAlignment="1">
      <alignment horizontal="center"/>
    </xf>
    <xf numFmtId="0" fontId="0" fillId="24" borderId="53" xfId="0" applyFont="1" applyFill="1" applyBorder="1" applyAlignment="1">
      <alignment horizontal="center" wrapText="1"/>
    </xf>
    <xf numFmtId="0" fontId="0" fillId="24" borderId="10" xfId="0" applyFont="1" applyFill="1" applyBorder="1" applyAlignment="1">
      <alignment horizontal="center" wrapText="1"/>
    </xf>
    <xf numFmtId="0" fontId="3" fillId="7" borderId="23" xfId="0" applyFont="1" applyFill="1" applyBorder="1" applyAlignment="1">
      <alignment horizontal="left"/>
    </xf>
    <xf numFmtId="0" fontId="0" fillId="24" borderId="63" xfId="0" applyFont="1" applyFill="1" applyBorder="1" applyAlignment="1">
      <alignment horizontal="center" wrapText="1"/>
    </xf>
    <xf numFmtId="0" fontId="0" fillId="24" borderId="14" xfId="0" applyFill="1" applyBorder="1" applyAlignment="1">
      <alignment horizontal="center"/>
    </xf>
    <xf numFmtId="0" fontId="0" fillId="24" borderId="19" xfId="0" applyFill="1" applyBorder="1" applyAlignment="1">
      <alignment horizontal="center"/>
    </xf>
    <xf numFmtId="0" fontId="0" fillId="24" borderId="32" xfId="0" applyFont="1" applyFill="1" applyBorder="1" applyAlignment="1">
      <alignment horizontal="center" wrapText="1"/>
    </xf>
    <xf numFmtId="0" fontId="43" fillId="24" borderId="0" xfId="0" applyFont="1" applyFill="1" applyAlignment="1">
      <alignment horizontal="left"/>
    </xf>
    <xf numFmtId="0" fontId="57" fillId="0" borderId="29" xfId="0" applyFont="1" applyBorder="1" applyAlignment="1">
      <alignment horizontal="center"/>
    </xf>
    <xf numFmtId="0" fontId="57" fillId="0" borderId="49" xfId="0" applyFont="1" applyBorder="1" applyAlignment="1">
      <alignment horizontal="center"/>
    </xf>
    <xf numFmtId="0" fontId="3" fillId="0" borderId="58" xfId="0" applyFont="1" applyBorder="1" applyAlignment="1">
      <alignment horizontal="center"/>
    </xf>
    <xf numFmtId="0" fontId="3" fillId="0" borderId="36" xfId="0" applyFont="1" applyBorder="1" applyAlignment="1">
      <alignment horizontal="center"/>
    </xf>
    <xf numFmtId="0" fontId="3" fillId="0" borderId="63"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91627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an\Desktop\Client%20Files\Brant%20County\1562%20Deferred%20PILS\Data%20Files\Rate%20Models\2005\2005BrantEB-0009_RD%20Revised%20Feb%2023,%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NFO"/>
      <sheetName val="TAXCALC"/>
      <sheetName val="TAXRATES"/>
      <sheetName val="C&amp;DM TAX FORECAST"/>
    </sheetNames>
    <sheetDataSet>
      <sheetData sheetId="1">
        <row r="95">
          <cell r="C95">
            <v>202209.51604310345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75" zoomScaleNormal="75" zoomScalePageLayoutView="0" workbookViewId="0" topLeftCell="A1">
      <pane xSplit="12" ySplit="28" topLeftCell="M29" activePane="bottomRight" state="frozen"/>
      <selection pane="topLeft" activeCell="A1" sqref="A1"/>
      <selection pane="topRight" activeCell="M1" sqref="M1"/>
      <selection pane="bottomLeft" activeCell="A29" sqref="A29"/>
      <selection pane="bottomRight" activeCell="I21" sqref="I21"/>
    </sheetView>
  </sheetViews>
  <sheetFormatPr defaultColWidth="9.140625" defaultRowHeight="12.75"/>
  <cols>
    <col min="1" max="1" width="20.57421875" style="471" bestFit="1" customWidth="1"/>
    <col min="2" max="3" width="15.7109375" style="471" customWidth="1"/>
    <col min="4" max="16384" width="9.140625" style="471" customWidth="1"/>
  </cols>
  <sheetData>
    <row r="1" spans="1:7" ht="27.75">
      <c r="A1" s="643" t="s">
        <v>201</v>
      </c>
      <c r="B1" s="643"/>
      <c r="C1" s="643"/>
      <c r="D1" s="643"/>
      <c r="E1" s="643"/>
      <c r="F1" s="643"/>
      <c r="G1" s="643"/>
    </row>
    <row r="2" spans="1:6" ht="27.75">
      <c r="A2" s="472"/>
      <c r="B2" s="472"/>
      <c r="C2" s="472"/>
      <c r="D2" s="472"/>
      <c r="E2" s="472"/>
      <c r="F2" s="472"/>
    </row>
    <row r="4" spans="1:5" ht="15.75" customHeight="1">
      <c r="A4" s="33" t="s">
        <v>59</v>
      </c>
      <c r="B4" s="644" t="s">
        <v>247</v>
      </c>
      <c r="C4" s="644"/>
      <c r="D4" s="644"/>
      <c r="E4" s="644"/>
    </row>
    <row r="5" spans="1:5" ht="15.75" customHeight="1">
      <c r="A5" s="474"/>
      <c r="B5" s="475"/>
      <c r="C5" s="475"/>
      <c r="D5" s="475"/>
      <c r="E5" s="475"/>
    </row>
    <row r="6" spans="1:5" ht="15.75" customHeight="1">
      <c r="A6" s="33" t="s">
        <v>62</v>
      </c>
      <c r="B6" s="644" t="s">
        <v>248</v>
      </c>
      <c r="C6" s="644"/>
      <c r="D6" s="644"/>
      <c r="E6" s="644"/>
    </row>
    <row r="7" spans="1:5" ht="15.75" customHeight="1">
      <c r="A7" s="33"/>
      <c r="B7" s="476"/>
      <c r="C7" s="476"/>
      <c r="D7" s="476"/>
      <c r="E7" s="476"/>
    </row>
    <row r="8" spans="1:5" ht="15.75" customHeight="1">
      <c r="A8" s="33" t="s">
        <v>212</v>
      </c>
      <c r="B8" s="644" t="s">
        <v>249</v>
      </c>
      <c r="C8" s="644"/>
      <c r="D8" s="644"/>
      <c r="E8" s="644"/>
    </row>
    <row r="9" spans="1:5" ht="15.75" customHeight="1">
      <c r="A9" s="33"/>
      <c r="B9" s="476"/>
      <c r="C9" s="476"/>
      <c r="D9" s="476"/>
      <c r="E9" s="476"/>
    </row>
    <row r="10" spans="1:5" ht="15.75" customHeight="1">
      <c r="A10" s="33"/>
      <c r="B10" s="644" t="s">
        <v>250</v>
      </c>
      <c r="C10" s="644"/>
      <c r="D10" s="644"/>
      <c r="E10" s="644"/>
    </row>
    <row r="11" spans="1:6" ht="15.75" customHeight="1">
      <c r="A11" s="474"/>
      <c r="B11" s="476"/>
      <c r="C11" s="476"/>
      <c r="D11" s="477"/>
      <c r="E11" s="477"/>
      <c r="F11" s="478"/>
    </row>
    <row r="12" spans="1:6" ht="15.75" customHeight="1">
      <c r="A12" s="33" t="s">
        <v>60</v>
      </c>
      <c r="B12" s="644" t="s">
        <v>251</v>
      </c>
      <c r="C12" s="644"/>
      <c r="D12" s="644"/>
      <c r="E12" s="644"/>
      <c r="F12" s="478"/>
    </row>
    <row r="13" spans="1:6" ht="15.75" customHeight="1">
      <c r="A13" s="474"/>
      <c r="B13" s="646"/>
      <c r="C13" s="646"/>
      <c r="D13" s="477"/>
      <c r="E13" s="477"/>
      <c r="F13" s="478"/>
    </row>
    <row r="14" spans="1:6" ht="15.75" customHeight="1">
      <c r="A14" s="33" t="s">
        <v>61</v>
      </c>
      <c r="B14" s="648" t="s">
        <v>252</v>
      </c>
      <c r="C14" s="644"/>
      <c r="D14" s="644"/>
      <c r="E14" s="644"/>
      <c r="F14" s="478"/>
    </row>
    <row r="15" spans="1:6" ht="15.75" customHeight="1">
      <c r="A15" s="474"/>
      <c r="B15" s="476"/>
      <c r="C15" s="477"/>
      <c r="D15" s="477"/>
      <c r="E15" s="477"/>
      <c r="F15" s="478"/>
    </row>
    <row r="16" spans="1:6" ht="15.75" customHeight="1">
      <c r="A16" s="33" t="s">
        <v>63</v>
      </c>
      <c r="B16" s="473" t="s">
        <v>268</v>
      </c>
      <c r="C16" s="479" t="s">
        <v>194</v>
      </c>
      <c r="D16" s="647">
        <v>734</v>
      </c>
      <c r="E16" s="647"/>
      <c r="F16" s="478"/>
    </row>
    <row r="17" spans="1:6" ht="15.75" customHeight="1">
      <c r="A17" s="474"/>
      <c r="B17" s="477"/>
      <c r="C17" s="477"/>
      <c r="D17" s="477"/>
      <c r="E17" s="477"/>
      <c r="F17" s="478"/>
    </row>
    <row r="18" spans="1:5" ht="15.75" customHeight="1">
      <c r="A18" s="33" t="s">
        <v>64</v>
      </c>
      <c r="B18" s="645" t="s">
        <v>269</v>
      </c>
      <c r="C18" s="645"/>
      <c r="D18" s="645"/>
      <c r="E18" s="645"/>
    </row>
    <row r="19" spans="2:5" ht="12.75">
      <c r="B19" s="480"/>
      <c r="C19" s="480"/>
      <c r="D19" s="480"/>
      <c r="E19" s="480"/>
    </row>
    <row r="20" spans="3:5" ht="12.75">
      <c r="C20" s="480"/>
      <c r="D20" s="480"/>
      <c r="E20" s="480"/>
    </row>
    <row r="21" spans="1:5" ht="15.75">
      <c r="A21" s="481" t="s">
        <v>163</v>
      </c>
      <c r="B21" s="483" t="s">
        <v>192</v>
      </c>
      <c r="C21" s="482"/>
      <c r="D21" s="482"/>
      <c r="E21" s="482"/>
    </row>
  </sheetData>
  <sheetProtection sheet="1" objects="1" scenarios="1"/>
  <mergeCells count="10">
    <mergeCell ref="B18:E18"/>
    <mergeCell ref="B13:C13"/>
    <mergeCell ref="B8:E8"/>
    <mergeCell ref="B10:E10"/>
    <mergeCell ref="D16:E16"/>
    <mergeCell ref="B14:E14"/>
    <mergeCell ref="A1:G1"/>
    <mergeCell ref="B4:E4"/>
    <mergeCell ref="B6:E6"/>
    <mergeCell ref="B12:E12"/>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18"/>
  <sheetViews>
    <sheetView zoomScale="75" zoomScaleNormal="75" zoomScalePageLayoutView="0" workbookViewId="0" topLeftCell="A1">
      <selection activeCell="B58" sqref="B5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185</v>
      </c>
    </row>
    <row r="2" ht="13.5" thickBot="1"/>
    <row r="3" spans="1:5" ht="18">
      <c r="A3" s="300" t="str">
        <f>"Name of Utility:      "&amp;'Info Sheet'!B4</f>
        <v>Name of Utility:      Brant County Power</v>
      </c>
      <c r="B3" s="301"/>
      <c r="C3" s="389"/>
      <c r="D3" s="455" t="str">
        <f>'Info Sheet'!$B$21</f>
        <v>2005.V1.0</v>
      </c>
      <c r="E3" s="36"/>
    </row>
    <row r="4" spans="1:5" ht="18">
      <c r="A4" s="302" t="str">
        <f>"License Number:   "&amp;'Info Sheet'!B6</f>
        <v>License Number:   ED 1999-0191</v>
      </c>
      <c r="B4" s="27"/>
      <c r="C4" s="390"/>
      <c r="D4" s="394" t="str">
        <f>'Info Sheet'!B8</f>
        <v>RP-2005-0013</v>
      </c>
      <c r="E4" s="36"/>
    </row>
    <row r="5" spans="1:4" ht="15.75">
      <c r="A5" s="302" t="str">
        <f>"Name of Contact:  "&amp;'Info Sheet'!B12</f>
        <v>Name of Contact:  Grant Brooker</v>
      </c>
      <c r="B5" s="658"/>
      <c r="C5" s="658"/>
      <c r="D5" s="394" t="str">
        <f>'Info Sheet'!B10</f>
        <v>EB-2005-0009</v>
      </c>
    </row>
    <row r="6" spans="1:4" ht="18" customHeight="1">
      <c r="A6" s="303" t="str">
        <f>"E- Mail Address:    "&amp;'Info Sheet'!B14</f>
        <v>E- Mail Address:    gbrooker@brantcountypower.com</v>
      </c>
      <c r="B6" s="27"/>
      <c r="C6" s="391"/>
      <c r="D6" s="100"/>
    </row>
    <row r="7" spans="1:4" ht="15.75">
      <c r="A7" s="302" t="str">
        <f>"Phone Number:     "&amp;'Info Sheet'!B16</f>
        <v>Phone Number:     519 442 2215</v>
      </c>
      <c r="B7" s="652" t="str">
        <f>'Info Sheet'!$C$16&amp;" "&amp;'Info Sheet'!$D$16</f>
        <v>Extension: 734</v>
      </c>
      <c r="C7" s="652"/>
      <c r="D7" s="100"/>
    </row>
    <row r="8" spans="1:4" ht="16.5" thickBot="1">
      <c r="A8" s="304" t="str">
        <f>"Date:                      "&amp;('Info Sheet'!B18)</f>
        <v>Date:                      January 17, 2005</v>
      </c>
      <c r="B8" s="305"/>
      <c r="C8" s="392"/>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215</v>
      </c>
      <c r="B14" s="52"/>
      <c r="C14" s="53"/>
      <c r="E14" s="15"/>
      <c r="G14" s="15"/>
    </row>
    <row r="15" spans="2:7" ht="12.75">
      <c r="B15" s="15"/>
      <c r="C15" s="15"/>
      <c r="D15" s="49"/>
      <c r="E15" s="15"/>
      <c r="F15" s="15"/>
      <c r="G15" s="15"/>
    </row>
    <row r="16" spans="1:8" ht="12.75">
      <c r="A16" s="9" t="s">
        <v>1</v>
      </c>
      <c r="B16" s="15">
        <f>IF('5. 2005 Rate Sch. with PILs'!B16="","",'5. 2005 Rate Sch. with PILs'!B16+'7. 2003 Data &amp; add RSVA'!B54+'8. 2003 Data &amp; Non-RSVA'!B54)</f>
        <v>0.017723745596173617</v>
      </c>
      <c r="C16" s="15"/>
      <c r="D16" s="49"/>
      <c r="E16" s="15"/>
      <c r="F16" s="297"/>
      <c r="G16" s="297"/>
      <c r="H16" s="297"/>
    </row>
    <row r="17" spans="2:7" ht="12.75">
      <c r="B17" s="15"/>
      <c r="C17" s="15"/>
      <c r="D17" s="49"/>
      <c r="E17" s="15"/>
      <c r="F17" s="15"/>
      <c r="G17" s="15"/>
    </row>
    <row r="18" spans="1:8" ht="12.75">
      <c r="A18" s="9" t="s">
        <v>18</v>
      </c>
      <c r="B18" s="49">
        <f>IF('5. 2005 Rate Sch. with PILs'!B18="","",'5. 2005 Rate Sch. with PILs'!B18)</f>
        <v>10.139451099306044</v>
      </c>
      <c r="C18" s="15"/>
      <c r="D18" s="49"/>
      <c r="E18" s="15"/>
      <c r="F18" s="297"/>
      <c r="G18" s="134"/>
      <c r="H18" s="297"/>
    </row>
    <row r="19" spans="2:7" ht="12.75">
      <c r="B19" s="15"/>
      <c r="C19" s="15"/>
      <c r="D19" s="49"/>
      <c r="E19" s="15"/>
      <c r="F19" s="15"/>
      <c r="G19" s="15"/>
    </row>
    <row r="20" spans="2:7" ht="12.75">
      <c r="B20" s="15"/>
      <c r="C20" s="15"/>
      <c r="D20" s="15"/>
      <c r="E20" s="15"/>
      <c r="F20" s="15"/>
      <c r="G20" s="15"/>
    </row>
    <row r="21" spans="1:7" ht="18">
      <c r="A21" s="55" t="s">
        <v>2</v>
      </c>
      <c r="B21" s="52"/>
      <c r="C21" s="53"/>
      <c r="D21" s="15"/>
      <c r="E21" s="15"/>
      <c r="F21" s="15"/>
      <c r="G21" s="15"/>
    </row>
    <row r="22" spans="2:7" ht="12.75">
      <c r="B22" s="15"/>
      <c r="C22" s="15"/>
      <c r="D22" s="15"/>
      <c r="E22" s="15"/>
      <c r="F22" s="15"/>
      <c r="G22" s="15"/>
    </row>
    <row r="23" spans="1:7" ht="12.75">
      <c r="A23" s="9" t="s">
        <v>1</v>
      </c>
      <c r="B23" s="15">
        <f>IF('5. 2005 Rate Sch. with PILs'!B23="","",'5. 2005 Rate Sch. with PILs'!B23+'7. 2003 Data &amp; add RSVA'!B54+'8. 2003 Data &amp; Non-RSVA'!B54)</f>
      </c>
      <c r="C23" s="15"/>
      <c r="D23" s="15"/>
      <c r="E23" s="15"/>
      <c r="F23" s="15"/>
      <c r="G23" s="15"/>
    </row>
    <row r="24" spans="2:7" ht="12.75">
      <c r="B24" s="15"/>
      <c r="C24" s="15"/>
      <c r="D24" s="15"/>
      <c r="E24" s="15"/>
      <c r="F24" s="15"/>
      <c r="G24" s="15"/>
    </row>
    <row r="25" spans="1:7" ht="12.75">
      <c r="A25" s="9" t="s">
        <v>18</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220</v>
      </c>
      <c r="B28" s="52"/>
      <c r="C28" s="53"/>
      <c r="D28" s="49"/>
      <c r="E28" s="15"/>
      <c r="F28" s="15"/>
      <c r="G28" s="15"/>
    </row>
    <row r="29" spans="2:7" ht="12.75">
      <c r="B29" s="15"/>
      <c r="C29" s="15"/>
      <c r="D29" s="49"/>
      <c r="E29" s="15"/>
      <c r="F29" s="15"/>
      <c r="G29" s="15"/>
    </row>
    <row r="30" spans="1:8" ht="12.75">
      <c r="A30" s="9" t="s">
        <v>1</v>
      </c>
      <c r="B30" s="15">
        <f>IF('5. 2005 Rate Sch. with PILs'!B30="","",'5. 2005 Rate Sch. with PILs'!B30+'7. 2003 Data &amp; add RSVA'!B71+'8. 2003 Data &amp; Non-RSVA'!B71)</f>
        <v>0.01751342830579469</v>
      </c>
      <c r="C30" s="15"/>
      <c r="D30" s="49"/>
      <c r="E30" s="15"/>
      <c r="F30" s="15"/>
      <c r="G30" s="298"/>
      <c r="H30" s="297"/>
    </row>
    <row r="31" spans="2:7" ht="12.75">
      <c r="B31" s="15"/>
      <c r="C31" s="15"/>
      <c r="D31" s="49"/>
      <c r="E31" s="15"/>
      <c r="F31" s="15"/>
      <c r="G31" s="298"/>
    </row>
    <row r="32" spans="1:8" ht="12.75">
      <c r="A32" s="9" t="s">
        <v>18</v>
      </c>
      <c r="B32" s="49">
        <f>IF('5. 2005 Rate Sch. with PILs'!B32="","",'5. 2005 Rate Sch. with PILs'!B32)</f>
        <v>12.185831699634123</v>
      </c>
      <c r="C32" s="15"/>
      <c r="D32" s="49"/>
      <c r="E32" s="15"/>
      <c r="F32" s="15"/>
      <c r="G32" s="298"/>
      <c r="H32" s="297"/>
    </row>
    <row r="33" spans="2:7" ht="12.75">
      <c r="B33" s="15"/>
      <c r="C33" s="15"/>
      <c r="D33" s="49"/>
      <c r="E33" s="15"/>
      <c r="F33" s="15"/>
      <c r="G33" s="15"/>
    </row>
    <row r="34" spans="2:7" ht="12.75">
      <c r="B34" s="15"/>
      <c r="C34" s="15"/>
      <c r="D34" s="49"/>
      <c r="E34" s="15"/>
      <c r="F34" s="15"/>
      <c r="G34" s="15"/>
    </row>
    <row r="35" spans="1:7" ht="18">
      <c r="A35" s="55" t="s">
        <v>221</v>
      </c>
      <c r="B35" s="52"/>
      <c r="C35" s="53"/>
      <c r="D35" s="49"/>
      <c r="E35" s="15"/>
      <c r="F35" s="15"/>
      <c r="G35" s="15"/>
    </row>
    <row r="36" spans="2:7" ht="12.75">
      <c r="B36" s="15"/>
      <c r="C36" s="15"/>
      <c r="D36" s="49"/>
      <c r="E36" s="15"/>
      <c r="F36" s="15"/>
      <c r="G36" s="15"/>
    </row>
    <row r="37" spans="1:7" ht="12.75">
      <c r="A37" s="9" t="s">
        <v>3</v>
      </c>
      <c r="B37" s="15">
        <f>IF('5. 2005 Rate Sch. with PILs'!B37="","",'5. 2005 Rate Sch. with PILs'!B37+'7. 2003 Data &amp; add RSVA'!B88+'8. 2003 Data &amp; Non-RSVA'!B88)</f>
        <v>4.627584442789339</v>
      </c>
      <c r="C37" s="15"/>
      <c r="D37" s="49"/>
      <c r="E37" s="15"/>
      <c r="F37" s="15"/>
      <c r="G37" s="15"/>
    </row>
    <row r="38" spans="2:7" ht="12.75">
      <c r="B38" s="15"/>
      <c r="C38" s="15"/>
      <c r="D38" s="49"/>
      <c r="E38" s="15"/>
      <c r="F38" s="15"/>
      <c r="G38" s="15"/>
    </row>
    <row r="39" spans="1:7" ht="12.75">
      <c r="A39" s="9" t="s">
        <v>18</v>
      </c>
      <c r="B39" s="49">
        <f>IF('5. 2005 Rate Sch. with PILs'!B39="","",'5. 2005 Rate Sch. with PILs'!B39)</f>
        <v>21.7006919519267</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4</v>
      </c>
      <c r="B42" s="52"/>
      <c r="C42" s="53"/>
      <c r="D42" s="49"/>
      <c r="E42" s="15"/>
      <c r="F42" s="15"/>
      <c r="G42" s="15"/>
    </row>
    <row r="43" spans="1:7" ht="18">
      <c r="A43" s="8"/>
      <c r="B43" s="15"/>
      <c r="C43" s="15"/>
      <c r="D43" s="49"/>
      <c r="E43" s="15"/>
      <c r="F43" s="15"/>
      <c r="G43" s="15"/>
    </row>
    <row r="44" spans="1:7" ht="12.75">
      <c r="A44" s="9" t="s">
        <v>3</v>
      </c>
      <c r="B44" s="15">
        <f>IF('5. 2005 Rate Sch. with PILs'!B44="","",'5. 2005 Rate Sch. with PILs'!B44+'7. 2003 Data &amp; add RSVA'!B105+'8. 2003 Data &amp; Non-RSVA'!B105)</f>
      </c>
      <c r="C44" s="15"/>
      <c r="D44" s="49"/>
      <c r="E44" s="15"/>
      <c r="F44" s="15"/>
      <c r="G44" s="15"/>
    </row>
    <row r="45" spans="2:7" ht="12.75">
      <c r="B45" s="15"/>
      <c r="C45" s="15"/>
      <c r="D45" s="49"/>
      <c r="E45" s="15"/>
      <c r="F45" s="15"/>
      <c r="G45" s="15"/>
    </row>
    <row r="46" spans="1:7" ht="12.75">
      <c r="A46" s="9" t="s">
        <v>18</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299" t="s">
        <v>213</v>
      </c>
      <c r="B49" s="15"/>
      <c r="C49" s="15"/>
      <c r="D49" s="49"/>
      <c r="E49" s="15"/>
      <c r="F49" s="15"/>
      <c r="G49" s="15"/>
    </row>
    <row r="50" spans="2:7" ht="12.75">
      <c r="B50" s="15"/>
      <c r="C50" s="15"/>
      <c r="D50" s="49"/>
      <c r="E50" s="15"/>
      <c r="F50" s="15"/>
      <c r="G50" s="15"/>
    </row>
    <row r="51" spans="1:7" ht="12.75">
      <c r="A51" s="9" t="s">
        <v>3</v>
      </c>
      <c r="B51" s="15">
        <f>IF('5. 2005 Rate Sch. with PILs'!B51="","",'5. 2005 Rate Sch. with PILs'!B51+'7. 2003 Data &amp; add RSVA'!B122+'8. 2003 Data &amp; Non-RSVA'!B122)</f>
        <v>0.896610141588599</v>
      </c>
      <c r="C51" s="15"/>
      <c r="D51" s="49"/>
      <c r="E51" s="15"/>
      <c r="F51" s="15"/>
      <c r="G51" s="15"/>
    </row>
    <row r="52" spans="2:7" ht="12.75">
      <c r="B52" s="15"/>
      <c r="C52" s="15"/>
      <c r="D52" s="49"/>
      <c r="E52" s="15"/>
      <c r="F52" s="15"/>
      <c r="G52" s="15"/>
    </row>
    <row r="53" spans="1:7" ht="12.75">
      <c r="A53" s="9" t="s">
        <v>18</v>
      </c>
      <c r="B53" s="49">
        <f>IF('5. 2005 Rate Sch. with PILs'!B53="","",'5. 2005 Rate Sch. with PILs'!B53)</f>
        <v>37.96940217025832</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0</v>
      </c>
      <c r="B56" s="15"/>
      <c r="C56" s="15"/>
      <c r="D56" s="49"/>
      <c r="E56" s="15"/>
      <c r="F56" s="15"/>
      <c r="G56" s="15"/>
    </row>
    <row r="57" spans="2:7" ht="12.75">
      <c r="B57" s="15"/>
      <c r="C57" s="15"/>
      <c r="D57" s="49"/>
      <c r="E57" s="15"/>
      <c r="F57" s="15"/>
      <c r="G57" s="15"/>
    </row>
    <row r="58" spans="1:7" ht="12.75">
      <c r="A58" s="9" t="s">
        <v>3</v>
      </c>
      <c r="B58" s="15">
        <f>IF('5. 2005 Rate Sch. with PILs'!B58="","",'5. 2005 Rate Sch. with PILs'!B58+'7. 2003 Data &amp; add RSVA'!B139+'8. 2003 Data &amp; Non-RSVA'!B139)</f>
        <v>0.5506026269669638</v>
      </c>
      <c r="C58" s="15"/>
      <c r="D58" s="49"/>
      <c r="E58" s="15"/>
      <c r="F58" s="15"/>
      <c r="G58" s="15"/>
    </row>
    <row r="59" spans="2:7" ht="12.75">
      <c r="B59" s="15"/>
      <c r="C59" s="15"/>
      <c r="D59" s="49"/>
      <c r="E59" s="15"/>
      <c r="F59" s="15"/>
      <c r="G59" s="15"/>
    </row>
    <row r="60" spans="1:7" ht="12.75">
      <c r="A60" s="9" t="s">
        <v>18</v>
      </c>
      <c r="B60" s="49">
        <f>IF('5. 2005 Rate Sch. with PILs'!B60="","",'5. 2005 Rate Sch. with PILs'!B60)</f>
        <v>179.8940168853936</v>
      </c>
      <c r="C60" s="15"/>
      <c r="D60" s="49"/>
      <c r="E60" s="15"/>
      <c r="F60" s="15"/>
      <c r="G60" s="15"/>
    </row>
    <row r="61" spans="2:7" ht="12.75">
      <c r="B61" s="15"/>
      <c r="C61" s="15"/>
      <c r="D61" s="49"/>
      <c r="E61" s="15"/>
      <c r="F61" s="15"/>
      <c r="G61" s="15"/>
    </row>
    <row r="62" spans="3:7" ht="12.75">
      <c r="C62" s="15"/>
      <c r="E62" s="15"/>
      <c r="F62" s="15"/>
      <c r="G62" s="15"/>
    </row>
    <row r="63" spans="1:7" ht="18">
      <c r="A63" s="55" t="s">
        <v>5</v>
      </c>
      <c r="B63" s="15"/>
      <c r="C63" s="15"/>
      <c r="D63" s="49"/>
      <c r="E63" s="15"/>
      <c r="F63" s="15"/>
      <c r="G63" s="15"/>
    </row>
    <row r="64" spans="2:7" ht="12.75">
      <c r="B64" s="15"/>
      <c r="C64" s="15"/>
      <c r="D64" s="49"/>
      <c r="E64" s="15"/>
      <c r="F64" s="15"/>
      <c r="G64" s="15"/>
    </row>
    <row r="65" spans="1:7" ht="12.75">
      <c r="A65" s="9" t="s">
        <v>3</v>
      </c>
      <c r="B65" s="15">
        <f>IF('5. 2005 Rate Sch. with PILs'!B65="","",'5. 2005 Rate Sch. with PILs'!B65+'7. 2003 Data &amp; add RSVA'!B156+'8. 2003 Data &amp; Non-RSVA'!B156)</f>
        <v>5.275840000167736</v>
      </c>
      <c r="C65" s="15"/>
      <c r="D65" s="49"/>
      <c r="E65" s="15"/>
      <c r="F65" s="15"/>
      <c r="G65" s="15"/>
    </row>
    <row r="66" spans="2:7" ht="12.75">
      <c r="B66" s="15"/>
      <c r="C66" s="15"/>
      <c r="D66" s="49"/>
      <c r="E66" s="15"/>
      <c r="F66" s="15"/>
      <c r="G66" s="15"/>
    </row>
    <row r="67" spans="1:7" ht="12.75">
      <c r="A67" s="9" t="s">
        <v>19</v>
      </c>
      <c r="B67" s="49">
        <f>IF('5. 2005 Rate Sch. with PILs'!B67="","",'5. 2005 Rate Sch. with PILs'!B67)</f>
        <v>1.6063870698855058</v>
      </c>
      <c r="C67" s="15"/>
      <c r="D67" s="49"/>
      <c r="E67" s="15"/>
      <c r="F67" s="15"/>
      <c r="G67" s="15"/>
    </row>
    <row r="68" spans="2:7" ht="12.75">
      <c r="B68" s="15"/>
      <c r="C68" s="15"/>
      <c r="D68" s="49"/>
      <c r="E68" s="15"/>
      <c r="F68" s="15"/>
      <c r="G68" s="15"/>
    </row>
    <row r="69" spans="1:7" ht="12.75">
      <c r="A69" s="12" t="s">
        <v>6</v>
      </c>
      <c r="B69" s="15"/>
      <c r="C69" s="15"/>
      <c r="D69" s="49"/>
      <c r="E69" s="15"/>
      <c r="F69" s="15"/>
      <c r="G69" s="15"/>
    </row>
    <row r="70" spans="2:7" ht="12.75">
      <c r="B70" s="15"/>
      <c r="C70" s="15"/>
      <c r="D70" s="49"/>
      <c r="E70" s="15"/>
      <c r="F70" s="15"/>
      <c r="G70" s="15"/>
    </row>
    <row r="71" spans="1:7" ht="18">
      <c r="A71" s="55" t="s">
        <v>7</v>
      </c>
      <c r="B71" s="15"/>
      <c r="C71" s="15"/>
      <c r="D71" s="49"/>
      <c r="E71" s="15"/>
      <c r="F71" s="15"/>
      <c r="G71" s="15"/>
    </row>
    <row r="72" spans="2:7" ht="12.75">
      <c r="B72" s="15"/>
      <c r="C72" s="15"/>
      <c r="D72" s="49"/>
      <c r="E72" s="15"/>
      <c r="F72" s="15"/>
      <c r="G72" s="15"/>
    </row>
    <row r="73" spans="1:7" ht="12.75">
      <c r="A73" s="9" t="s">
        <v>3</v>
      </c>
      <c r="B73" s="15">
        <f>IF('5. 2005 Rate Sch. with PILs'!B73="","",'5. 2005 Rate Sch. with PILs'!B73+'7. 2003 Data &amp; add RSVA'!B156+'8. 2003 Data &amp; Non-RSVA'!B156)</f>
      </c>
      <c r="C73" s="15"/>
      <c r="D73" s="49"/>
      <c r="E73" s="15"/>
      <c r="F73" s="15"/>
      <c r="G73" s="15"/>
    </row>
    <row r="74" spans="2:7" ht="12.75">
      <c r="B74" s="15"/>
      <c r="C74" s="15"/>
      <c r="D74" s="49"/>
      <c r="E74" s="15"/>
      <c r="F74" s="15"/>
      <c r="G74" s="15"/>
    </row>
    <row r="75" spans="1:7" ht="12.75">
      <c r="A75" s="9" t="s">
        <v>19</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8</v>
      </c>
      <c r="B78" s="15"/>
      <c r="C78" s="15"/>
      <c r="D78" s="49"/>
      <c r="E78" s="15"/>
      <c r="F78" s="15"/>
      <c r="G78" s="15"/>
    </row>
    <row r="79" spans="2:7" ht="12.75">
      <c r="B79" s="15"/>
      <c r="C79" s="15"/>
      <c r="D79" s="49"/>
      <c r="E79" s="15"/>
      <c r="F79" s="15"/>
      <c r="G79" s="15"/>
    </row>
    <row r="80" spans="1:7" ht="12.75">
      <c r="A80" s="9" t="s">
        <v>3</v>
      </c>
      <c r="B80" s="15">
        <f>IF('5. 2005 Rate Sch. with PILs'!B80="","",'5. 2005 Rate Sch. with PILs'!B80+'7. 2003 Data &amp; add RSVA'!B173+'8. 2003 Data &amp; Non-RSVA'!B173)</f>
        <v>4.913649066518502</v>
      </c>
      <c r="C80" s="15"/>
      <c r="D80" s="49"/>
      <c r="E80" s="15"/>
      <c r="F80" s="15"/>
      <c r="G80" s="15"/>
    </row>
    <row r="81" spans="2:7" ht="12.75">
      <c r="B81" s="15"/>
      <c r="C81" s="15"/>
      <c r="D81" s="49"/>
      <c r="E81" s="15"/>
      <c r="F81" s="15"/>
      <c r="G81" s="15"/>
    </row>
    <row r="82" spans="1:7" ht="12.75">
      <c r="A82" s="9" t="s">
        <v>19</v>
      </c>
      <c r="B82" s="49">
        <f>IF('5. 2005 Rate Sch. with PILs'!B82="","",'5. 2005 Rate Sch. with PILs'!B82)</f>
        <v>0.6047071450819254</v>
      </c>
      <c r="C82" s="15"/>
      <c r="D82" s="49"/>
      <c r="E82" s="15"/>
      <c r="F82" s="15"/>
      <c r="G82" s="15"/>
    </row>
    <row r="83" spans="2:7" ht="12.75">
      <c r="B83" s="15"/>
      <c r="C83" s="15"/>
      <c r="D83" s="49"/>
      <c r="E83" s="15"/>
      <c r="F83" s="15"/>
      <c r="G83" s="15"/>
    </row>
    <row r="84" spans="1:7" ht="12.75">
      <c r="A84" s="12" t="s">
        <v>6</v>
      </c>
      <c r="B84" s="15"/>
      <c r="C84" s="15"/>
      <c r="D84" s="49"/>
      <c r="E84" s="15"/>
      <c r="F84" s="15"/>
      <c r="G84" s="15"/>
    </row>
    <row r="85" spans="2:7" ht="12.75">
      <c r="B85" s="15"/>
      <c r="C85" s="15"/>
      <c r="D85" s="49"/>
      <c r="E85" s="15"/>
      <c r="F85" s="15"/>
      <c r="G85" s="15"/>
    </row>
    <row r="86" spans="1:7" ht="18">
      <c r="A86" s="55" t="s">
        <v>9</v>
      </c>
      <c r="B86" s="15"/>
      <c r="C86" s="15"/>
      <c r="D86" s="49"/>
      <c r="E86" s="15"/>
      <c r="F86" s="15"/>
      <c r="G86" s="15"/>
    </row>
    <row r="87" spans="2:7" ht="12.75">
      <c r="B87" s="15"/>
      <c r="C87" s="15"/>
      <c r="D87" s="49"/>
      <c r="E87" s="15"/>
      <c r="F87" s="15"/>
      <c r="G87" s="15"/>
    </row>
    <row r="88" spans="1:7" ht="12.75">
      <c r="A88" s="9" t="s">
        <v>3</v>
      </c>
      <c r="B88" s="15">
        <f>IF('5. 2005 Rate Sch. with PILs'!B88="","",'5. 2005 Rate Sch. with PILs'!B88+'7. 2003 Data &amp; add RSVA'!B173+'8. 2003 Data &amp; Non-RSVA'!B173)</f>
      </c>
      <c r="C88" s="15"/>
      <c r="D88" s="49"/>
      <c r="E88" s="15"/>
      <c r="F88" s="15"/>
      <c r="G88" s="15"/>
    </row>
    <row r="89" spans="2:7" ht="12.75">
      <c r="B89" s="15"/>
      <c r="C89" s="15"/>
      <c r="D89" s="49"/>
      <c r="E89" s="15"/>
      <c r="F89" s="15"/>
      <c r="G89" s="15"/>
    </row>
    <row r="90" spans="1:7" ht="12.75">
      <c r="A90" s="9" t="s">
        <v>19</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1:7" ht="18">
      <c r="A93" s="55" t="s">
        <v>216</v>
      </c>
      <c r="B93" s="52"/>
      <c r="C93" s="16"/>
      <c r="D93" s="49"/>
      <c r="E93" s="15"/>
      <c r="F93" s="15"/>
      <c r="G93" s="15"/>
    </row>
    <row r="94" spans="2:7" ht="12.75">
      <c r="B94" s="15"/>
      <c r="C94" s="16"/>
      <c r="E94" s="15"/>
      <c r="F94" s="15"/>
      <c r="G94" s="15"/>
    </row>
    <row r="95" spans="1:7" ht="12.75">
      <c r="A95" s="9" t="s">
        <v>1</v>
      </c>
      <c r="B95" s="494">
        <f>IF('5. 2005 Rate Sch. with PILs'!B95="","",'5. 2005 Rate Sch. with PILs'!B95+'7. 2003 Data &amp; add RSVA'!B190+'8. 2003 Data &amp; Non-RSVA'!B190)</f>
      </c>
      <c r="C95" s="15"/>
      <c r="D95" s="49"/>
      <c r="E95" s="15"/>
      <c r="F95" s="15"/>
      <c r="G95" s="15"/>
    </row>
    <row r="96" ht="12.75">
      <c r="B96" s="15"/>
    </row>
    <row r="97" spans="1:2" ht="12.75">
      <c r="A97" s="9" t="s">
        <v>18</v>
      </c>
      <c r="B97" s="495">
        <f>IF('5. 2005 Rate Sch. with PILs'!B97="","",'5. 2005 Rate Sch. with PILs'!B97)</f>
      </c>
    </row>
    <row r="100" spans="1:2" ht="18">
      <c r="A100" s="55" t="s">
        <v>217</v>
      </c>
      <c r="B100" s="52"/>
    </row>
    <row r="101" ht="12.75">
      <c r="B101" s="15"/>
    </row>
    <row r="102" spans="1:2" ht="12.75">
      <c r="A102" s="9" t="s">
        <v>1</v>
      </c>
      <c r="B102" s="494">
        <f>IF('5. 2005 Rate Sch. with PILs'!B102="","",'5. 2005 Rate Sch. with PILs'!B102+'7. 2003 Data &amp; add RSVA'!B207+'8. 2003 Data &amp; Non-RSVA'!B207)</f>
      </c>
    </row>
    <row r="103" ht="12.75">
      <c r="B103" s="15"/>
    </row>
    <row r="104" spans="1:2" ht="12.75">
      <c r="A104" s="9" t="s">
        <v>18</v>
      </c>
      <c r="B104" s="495">
        <f>IF('5. 2005 Rate Sch. with PILs'!B104="","",'5. 2005 Rate Sch. with PILs'!B104)</f>
      </c>
    </row>
    <row r="105" ht="12.75">
      <c r="B105" s="15"/>
    </row>
    <row r="106" ht="12.75">
      <c r="B106" s="15"/>
    </row>
    <row r="107" spans="1:2" ht="18">
      <c r="A107" s="55" t="s">
        <v>218</v>
      </c>
      <c r="B107" s="52"/>
    </row>
    <row r="108" ht="12.75">
      <c r="B108" s="15"/>
    </row>
    <row r="109" spans="1:2" ht="12.75">
      <c r="A109" s="9" t="s">
        <v>3</v>
      </c>
      <c r="B109" s="494">
        <f>IF('5. 2005 Rate Sch. with PILs'!B109="","",'5. 2005 Rate Sch. with PILs'!B109+'7. 2003 Data &amp; add RSVA'!B224+'8. 2003 Data &amp; Non-RSVA'!B224)</f>
      </c>
    </row>
    <row r="110" ht="12.75">
      <c r="B110" s="15"/>
    </row>
    <row r="111" spans="1:2" ht="12.75">
      <c r="A111" s="9" t="s">
        <v>18</v>
      </c>
      <c r="B111" s="495">
        <f>IF('5. 2005 Rate Sch. with PILs'!B111="","",'5. 2005 Rate Sch. with PILs'!B111)</f>
      </c>
    </row>
    <row r="114" spans="1:2" ht="18">
      <c r="A114" s="55" t="s">
        <v>219</v>
      </c>
      <c r="B114" s="52"/>
    </row>
    <row r="115" ht="12.75">
      <c r="B115" s="15"/>
    </row>
    <row r="116" spans="1:2" ht="12.75">
      <c r="A116" s="9" t="s">
        <v>1</v>
      </c>
      <c r="B116" s="494">
        <f>IF('5. 2005 Rate Sch. with PILs'!B116="","",'5. 2005 Rate Sch. with PILs'!B116+'7. 2003 Data &amp; add RSVA'!B241+'8. 2003 Data &amp; Non-RSVA'!B241)</f>
      </c>
    </row>
    <row r="117" ht="12.75">
      <c r="B117" s="15"/>
    </row>
    <row r="118" spans="1:2" ht="12.75">
      <c r="A118" s="9" t="s">
        <v>18</v>
      </c>
      <c r="B118" s="495">
        <f>IF('5. 2005 Rate Sch. with PILs'!B118="","",'5. 2005 Rate Sch. with PILs'!B118)</f>
      </c>
    </row>
  </sheetData>
  <sheetProtection/>
  <mergeCells count="2">
    <mergeCell ref="B5:C5"/>
    <mergeCell ref="B7:C7"/>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9"/>
  <sheetViews>
    <sheetView zoomScale="75" zoomScaleNormal="75" zoomScalePageLayoutView="0" workbookViewId="0" topLeftCell="A1">
      <selection activeCell="G33" sqref="G33"/>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161</v>
      </c>
    </row>
    <row r="2" ht="15" thickBot="1"/>
    <row r="3" spans="1:8" s="9" customFormat="1" ht="15.75">
      <c r="A3" s="676" t="str">
        <f>"Name of Utility:      "&amp;'Info Sheet'!B4</f>
        <v>Name of Utility:      Brant County Power</v>
      </c>
      <c r="B3" s="677"/>
      <c r="C3" s="677"/>
      <c r="D3" s="677"/>
      <c r="E3" s="677"/>
      <c r="F3" s="678"/>
      <c r="G3" s="678"/>
      <c r="H3" s="393" t="str">
        <f>'Info Sheet'!$B$21</f>
        <v>2005.V1.0</v>
      </c>
    </row>
    <row r="4" spans="1:8" s="9" customFormat="1" ht="15.75">
      <c r="A4" s="634" t="str">
        <f>"License Number:   "&amp;'Info Sheet'!B6</f>
        <v>License Number:   ED 1999-0191</v>
      </c>
      <c r="B4" s="679"/>
      <c r="C4" s="679"/>
      <c r="D4" s="679"/>
      <c r="E4" s="679"/>
      <c r="F4" s="680"/>
      <c r="G4" s="680"/>
      <c r="H4" s="394" t="str">
        <f>'Info Sheet'!B8</f>
        <v>RP-2005-0013</v>
      </c>
    </row>
    <row r="5" spans="1:8" s="9" customFormat="1" ht="15.75">
      <c r="A5" s="634" t="str">
        <f>"Name of Contact:  "&amp;'Info Sheet'!B12</f>
        <v>Name of Contact:  Grant Brooker</v>
      </c>
      <c r="B5" s="679"/>
      <c r="C5" s="679"/>
      <c r="D5" s="679"/>
      <c r="E5" s="679"/>
      <c r="F5" s="680"/>
      <c r="G5" s="680"/>
      <c r="H5" s="394" t="str">
        <f>'Info Sheet'!B10</f>
        <v>EB-2005-0009</v>
      </c>
    </row>
    <row r="6" spans="1:12" s="9" customFormat="1" ht="15.75">
      <c r="A6" s="681" t="str">
        <f>"E- Mail Address:    "&amp;'Info Sheet'!B14</f>
        <v>E- Mail Address:    gbrooker@brantcountypower.com</v>
      </c>
      <c r="B6" s="679"/>
      <c r="C6" s="679"/>
      <c r="D6" s="679"/>
      <c r="E6" s="679"/>
      <c r="F6" s="680"/>
      <c r="G6" s="680"/>
      <c r="H6" s="100"/>
      <c r="K6" s="652"/>
      <c r="L6" s="652"/>
    </row>
    <row r="7" spans="1:8" s="9" customFormat="1" ht="15.75">
      <c r="A7" s="634" t="str">
        <f>"Phone Number:     "&amp;'Info Sheet'!B16</f>
        <v>Phone Number:     519 442 2215</v>
      </c>
      <c r="B7" s="635"/>
      <c r="C7" s="635"/>
      <c r="D7" s="635"/>
      <c r="E7" s="635"/>
      <c r="F7" s="652" t="str">
        <f>'Info Sheet'!$C$16&amp;" "&amp;'Info Sheet'!$D$16</f>
        <v>Extension: 734</v>
      </c>
      <c r="G7" s="652"/>
      <c r="H7" s="100"/>
    </row>
    <row r="8" spans="1:8" s="9" customFormat="1" ht="16.5" thickBot="1">
      <c r="A8" s="636" t="str">
        <f>"Date:                      "&amp;('Info Sheet'!B18)</f>
        <v>Date:                      January 17, 2005</v>
      </c>
      <c r="B8" s="637"/>
      <c r="C8" s="637"/>
      <c r="D8" s="637"/>
      <c r="E8" s="637"/>
      <c r="F8" s="670"/>
      <c r="G8" s="670"/>
      <c r="H8" s="150"/>
    </row>
    <row r="9" spans="6:8" ht="14.25">
      <c r="F9" s="357"/>
      <c r="G9" s="357"/>
      <c r="H9" s="357"/>
    </row>
    <row r="10" spans="1:9" ht="15" customHeight="1">
      <c r="A10" s="675" t="s">
        <v>210</v>
      </c>
      <c r="B10" s="675"/>
      <c r="C10" s="675"/>
      <c r="D10" s="675"/>
      <c r="E10" s="675"/>
      <c r="F10" s="675"/>
      <c r="G10" s="675"/>
      <c r="H10" s="675"/>
      <c r="I10" s="675"/>
    </row>
    <row r="11" spans="1:9" ht="33.75" customHeight="1">
      <c r="A11" s="675"/>
      <c r="B11" s="675"/>
      <c r="C11" s="675"/>
      <c r="D11" s="675"/>
      <c r="E11" s="675"/>
      <c r="F11" s="675"/>
      <c r="G11" s="675"/>
      <c r="H11" s="675"/>
      <c r="I11" s="675"/>
    </row>
    <row r="14" ht="15" thickBot="1"/>
    <row r="15" spans="2:8" ht="14.25">
      <c r="B15" s="673" t="s">
        <v>151</v>
      </c>
      <c r="C15" s="362"/>
      <c r="D15" s="362"/>
      <c r="E15" s="362"/>
      <c r="F15" s="362"/>
      <c r="G15" s="362"/>
      <c r="H15" s="671" t="s">
        <v>186</v>
      </c>
    </row>
    <row r="16" spans="2:8" ht="11.25" customHeight="1">
      <c r="B16" s="674"/>
      <c r="C16" s="363"/>
      <c r="D16" s="363"/>
      <c r="E16" s="363"/>
      <c r="F16" s="363"/>
      <c r="G16" s="363"/>
      <c r="H16" s="672"/>
    </row>
    <row r="17" spans="2:8" ht="15" thickBot="1">
      <c r="B17" s="674"/>
      <c r="C17" s="363"/>
      <c r="D17" s="363"/>
      <c r="E17" s="363"/>
      <c r="F17" s="363"/>
      <c r="G17" s="363"/>
      <c r="H17" s="672"/>
    </row>
    <row r="18" spans="2:8" ht="14.25">
      <c r="B18" s="496" t="s">
        <v>222</v>
      </c>
      <c r="C18" s="497"/>
      <c r="D18" s="497"/>
      <c r="E18" s="497"/>
      <c r="F18" s="497"/>
      <c r="G18" s="497"/>
      <c r="H18" s="498"/>
    </row>
    <row r="19" spans="2:8" ht="14.25">
      <c r="B19" s="148" t="s">
        <v>223</v>
      </c>
      <c r="C19" s="357"/>
      <c r="D19" s="357"/>
      <c r="E19" s="357"/>
      <c r="F19" s="357"/>
      <c r="G19" s="357"/>
      <c r="H19" s="426"/>
    </row>
    <row r="20" spans="2:8" ht="14.25">
      <c r="B20" s="148" t="s">
        <v>224</v>
      </c>
      <c r="C20" s="357"/>
      <c r="D20" s="357"/>
      <c r="E20" s="357"/>
      <c r="F20" s="357"/>
      <c r="G20" s="357"/>
      <c r="H20" s="426"/>
    </row>
    <row r="21" spans="2:8" ht="14.25">
      <c r="B21" s="148" t="s">
        <v>71</v>
      </c>
      <c r="C21" s="357"/>
      <c r="D21" s="357"/>
      <c r="E21" s="357"/>
      <c r="F21" s="357"/>
      <c r="G21" s="357"/>
      <c r="H21" s="426"/>
    </row>
    <row r="22" spans="2:8" ht="14.25">
      <c r="B22" s="148" t="s">
        <v>152</v>
      </c>
      <c r="C22" s="357"/>
      <c r="D22" s="357"/>
      <c r="E22" s="357"/>
      <c r="F22" s="357"/>
      <c r="G22" s="357"/>
      <c r="H22" s="426"/>
    </row>
    <row r="23" spans="2:8" ht="14.25">
      <c r="B23" s="148" t="s">
        <v>72</v>
      </c>
      <c r="C23" s="357"/>
      <c r="D23" s="357"/>
      <c r="E23" s="357"/>
      <c r="F23" s="357"/>
      <c r="G23" s="357"/>
      <c r="H23" s="426"/>
    </row>
    <row r="24" spans="2:8" ht="14.25">
      <c r="B24" s="148" t="s">
        <v>73</v>
      </c>
      <c r="C24" s="357"/>
      <c r="D24" s="357"/>
      <c r="E24" s="357"/>
      <c r="F24" s="357"/>
      <c r="G24" s="357"/>
      <c r="H24" s="426"/>
    </row>
    <row r="25" spans="2:8" ht="14.25">
      <c r="B25" s="148" t="s">
        <v>74</v>
      </c>
      <c r="C25" s="357"/>
      <c r="D25" s="357"/>
      <c r="E25" s="357"/>
      <c r="F25" s="357"/>
      <c r="G25" s="357"/>
      <c r="H25" s="426"/>
    </row>
    <row r="26" spans="2:8" ht="14.25">
      <c r="B26" s="148" t="s">
        <v>225</v>
      </c>
      <c r="C26" s="357"/>
      <c r="D26" s="357"/>
      <c r="E26" s="357"/>
      <c r="F26" s="357"/>
      <c r="G26" s="357"/>
      <c r="H26" s="426"/>
    </row>
    <row r="27" spans="2:8" ht="14.25">
      <c r="B27" s="148" t="s">
        <v>226</v>
      </c>
      <c r="C27" s="357"/>
      <c r="D27" s="357"/>
      <c r="E27" s="357"/>
      <c r="F27" s="357"/>
      <c r="G27" s="357"/>
      <c r="H27" s="426"/>
    </row>
    <row r="28" spans="2:8" ht="14.25">
      <c r="B28" s="148" t="s">
        <v>227</v>
      </c>
      <c r="C28" s="357"/>
      <c r="D28" s="357"/>
      <c r="E28" s="357"/>
      <c r="F28" s="357"/>
      <c r="G28" s="357"/>
      <c r="H28" s="426"/>
    </row>
    <row r="29" spans="2:8" ht="15" thickBot="1">
      <c r="B29" s="364" t="s">
        <v>228</v>
      </c>
      <c r="C29" s="358"/>
      <c r="D29" s="358"/>
      <c r="E29" s="358"/>
      <c r="F29" s="358"/>
      <c r="G29" s="358"/>
      <c r="H29" s="427"/>
    </row>
  </sheetData>
  <sheetProtection/>
  <mergeCells count="11">
    <mergeCell ref="H15:H17"/>
    <mergeCell ref="B15:B17"/>
    <mergeCell ref="A10:I11"/>
    <mergeCell ref="A3:G3"/>
    <mergeCell ref="A4:G4"/>
    <mergeCell ref="A5:G5"/>
    <mergeCell ref="A6:G6"/>
    <mergeCell ref="K6:L6"/>
    <mergeCell ref="A7:E7"/>
    <mergeCell ref="F7:G7"/>
    <mergeCell ref="A8:G8"/>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99"/>
  <sheetViews>
    <sheetView zoomScale="75" zoomScaleNormal="75" zoomScalePageLayoutView="0" workbookViewId="0" topLeftCell="A1">
      <selection activeCell="F50" sqref="F50"/>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682" t="str">
        <f>IF(ISBLANK('Info Sheet'!B4),"",'Info Sheet'!B4)</f>
        <v>Brant County Power</v>
      </c>
      <c r="B1" s="682"/>
      <c r="C1" s="682"/>
      <c r="D1" s="682"/>
      <c r="E1" s="682"/>
      <c r="F1" s="682"/>
      <c r="G1" s="682"/>
      <c r="H1" s="682"/>
    </row>
    <row r="2" spans="1:8" ht="15.75">
      <c r="A2" s="682" t="str">
        <f>IF(ISBLANK('Info Sheet'!B6),"",'Info Sheet'!B8&amp;"    "&amp;'Info Sheet'!B10)</f>
        <v>RP-2005-0013    EB-2005-0009</v>
      </c>
      <c r="B2" s="682"/>
      <c r="C2" s="682"/>
      <c r="D2" s="682"/>
      <c r="E2" s="682"/>
      <c r="F2" s="682"/>
      <c r="G2" s="682"/>
      <c r="H2" s="682"/>
    </row>
    <row r="3" spans="1:8" ht="15.75">
      <c r="A3" s="682" t="s">
        <v>187</v>
      </c>
      <c r="B3" s="682"/>
      <c r="C3" s="682"/>
      <c r="D3" s="682"/>
      <c r="E3" s="682"/>
      <c r="F3" s="682"/>
      <c r="G3" s="682"/>
      <c r="H3" s="682"/>
    </row>
    <row r="4" spans="1:8" ht="15.75" customHeight="1">
      <c r="A4" s="683" t="s">
        <v>188</v>
      </c>
      <c r="B4" s="683"/>
      <c r="C4" s="683"/>
      <c r="D4" s="683"/>
      <c r="E4" s="683"/>
      <c r="F4" s="683"/>
      <c r="G4" s="683"/>
      <c r="H4" s="683"/>
    </row>
    <row r="5" spans="1:8" ht="15.75" customHeight="1">
      <c r="A5" s="371"/>
      <c r="B5" s="371"/>
      <c r="C5" s="371"/>
      <c r="D5" s="371"/>
      <c r="E5" s="371"/>
      <c r="F5" s="371"/>
      <c r="G5" s="371"/>
      <c r="H5" s="371"/>
    </row>
    <row r="6" spans="1:5" ht="15.75">
      <c r="A6" s="36"/>
      <c r="D6" s="132"/>
      <c r="E6" s="36"/>
    </row>
    <row r="7" spans="1:5" ht="15.75">
      <c r="A7" s="384" t="s">
        <v>155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215</v>
      </c>
      <c r="B11" s="365"/>
      <c r="C11" s="366"/>
      <c r="D11" s="131"/>
      <c r="E11" s="307"/>
      <c r="G11" s="15"/>
    </row>
    <row r="12" spans="1:7" ht="15">
      <c r="A12" s="132"/>
      <c r="B12" s="307"/>
      <c r="C12" s="307"/>
      <c r="D12" s="367"/>
      <c r="E12" s="307"/>
      <c r="F12" s="15"/>
      <c r="G12" s="15"/>
    </row>
    <row r="13" spans="1:8" ht="15">
      <c r="A13" s="132"/>
      <c r="B13" s="368"/>
      <c r="C13" s="367" t="s">
        <v>21</v>
      </c>
      <c r="E13" s="369" t="s">
        <v>23</v>
      </c>
      <c r="F13" s="25">
        <f>IF('9. 2005 Rate Sch. Reg. Assets'!$B$18="","",'9. 2005 Rate Sch. Reg. Assets'!$B$18)</f>
        <v>10.139451099306044</v>
      </c>
      <c r="G13" s="297"/>
      <c r="H13" s="297"/>
    </row>
    <row r="14" spans="1:7" ht="15">
      <c r="A14" s="132"/>
      <c r="B14" s="307"/>
      <c r="C14" s="367" t="s">
        <v>22</v>
      </c>
      <c r="E14" s="369" t="s">
        <v>24</v>
      </c>
      <c r="F14" s="16">
        <f>IF('9. 2005 Rate Sch. Reg. Assets'!$B$16="","",'9. 2005 Rate Sch. Reg. Assets'!$B$16+'10. Rate Rider Calculations'!$H$18)</f>
        <v>0.017723745596173617</v>
      </c>
      <c r="G14" s="15"/>
    </row>
    <row r="15" spans="1:8" ht="15">
      <c r="A15" s="132"/>
      <c r="B15" s="368"/>
      <c r="C15" s="367"/>
      <c r="E15" s="369"/>
      <c r="F15" s="15"/>
      <c r="G15" s="277"/>
      <c r="H15" s="297"/>
    </row>
    <row r="16" spans="1:7" ht="15">
      <c r="A16" s="132"/>
      <c r="B16" s="307"/>
      <c r="C16" s="307"/>
      <c r="D16" s="307"/>
      <c r="E16" s="307"/>
      <c r="F16" s="15"/>
      <c r="G16" s="15"/>
    </row>
    <row r="17" spans="1:7" ht="15.75">
      <c r="A17" s="54" t="s">
        <v>25</v>
      </c>
      <c r="B17" s="365"/>
      <c r="C17" s="366"/>
      <c r="D17" s="307"/>
      <c r="E17" s="307"/>
      <c r="F17" s="15"/>
      <c r="G17" s="15"/>
    </row>
    <row r="18" spans="1:7" ht="15">
      <c r="A18" s="132"/>
      <c r="B18" s="307"/>
      <c r="C18" s="307"/>
      <c r="D18" s="307"/>
      <c r="E18" s="307"/>
      <c r="F18" s="15"/>
      <c r="G18" s="15"/>
    </row>
    <row r="19" spans="1:7" ht="15">
      <c r="A19" s="132"/>
      <c r="B19" s="368"/>
      <c r="C19" s="367" t="s">
        <v>21</v>
      </c>
      <c r="E19" s="369" t="s">
        <v>23</v>
      </c>
      <c r="F19" s="25">
        <f>IF('9. 2005 Rate Sch. Reg. Assets'!$B$25="","",'9. 2005 Rate Sch. Reg. Assets'!$B$25)</f>
      </c>
      <c r="G19" s="15"/>
    </row>
    <row r="20" spans="1:7" ht="15">
      <c r="A20" s="132"/>
      <c r="B20" s="307"/>
      <c r="C20" s="367" t="s">
        <v>22</v>
      </c>
      <c r="E20" s="369" t="s">
        <v>24</v>
      </c>
      <c r="F20" s="16">
        <f>IF('9. 2005 Rate Sch. Reg. Assets'!$B$23="","",'9. 2005 Rate Sch. Reg. Assets'!$B$23+'10. Rate Rider Calculations'!$H$18)</f>
      </c>
      <c r="G20" s="15"/>
    </row>
    <row r="21" spans="1:7" ht="15">
      <c r="A21" s="132"/>
      <c r="B21" s="368"/>
      <c r="C21" s="307"/>
      <c r="D21" s="307"/>
      <c r="E21" s="307"/>
      <c r="F21" s="15"/>
      <c r="G21" s="15"/>
    </row>
    <row r="22" spans="1:7" ht="15">
      <c r="A22" s="132"/>
      <c r="B22" s="307"/>
      <c r="C22" s="307"/>
      <c r="D22" s="367"/>
      <c r="E22" s="307"/>
      <c r="F22" s="15"/>
      <c r="G22" s="15"/>
    </row>
    <row r="23" spans="1:7" ht="15.75">
      <c r="A23" s="54" t="s">
        <v>220</v>
      </c>
      <c r="B23" s="365"/>
      <c r="C23" s="366"/>
      <c r="D23" s="367"/>
      <c r="E23" s="307"/>
      <c r="F23" s="15"/>
      <c r="G23" s="15"/>
    </row>
    <row r="24" spans="1:7" ht="15">
      <c r="A24" s="132"/>
      <c r="B24" s="307"/>
      <c r="C24" s="307"/>
      <c r="D24" s="367"/>
      <c r="E24" s="307"/>
      <c r="F24" s="15"/>
      <c r="G24" s="15"/>
    </row>
    <row r="25" spans="1:8" ht="15">
      <c r="A25" s="132"/>
      <c r="B25" s="368"/>
      <c r="C25" s="367" t="s">
        <v>21</v>
      </c>
      <c r="E25" s="369" t="s">
        <v>23</v>
      </c>
      <c r="F25" s="25">
        <f>IF('9. 2005 Rate Sch. Reg. Assets'!$B$32="","",'9. 2005 Rate Sch. Reg. Assets'!$B$32)</f>
        <v>12.185831699634123</v>
      </c>
      <c r="G25" s="298"/>
      <c r="H25" s="297"/>
    </row>
    <row r="26" spans="1:7" ht="15">
      <c r="A26" s="132"/>
      <c r="B26" s="307"/>
      <c r="C26" s="367" t="s">
        <v>22</v>
      </c>
      <c r="E26" s="369" t="s">
        <v>24</v>
      </c>
      <c r="F26" s="16">
        <f>IF('9. 2005 Rate Sch. Reg. Assets'!$B$30="","",'9. 2005 Rate Sch. Reg. Assets'!$B$30+'10. Rate Rider Calculations'!$H$19)</f>
        <v>0.01751342830579469</v>
      </c>
      <c r="G26" s="298"/>
    </row>
    <row r="27" spans="1:8" ht="15">
      <c r="A27" s="132"/>
      <c r="B27" s="368"/>
      <c r="C27" s="367"/>
      <c r="E27" s="369"/>
      <c r="F27" s="15"/>
      <c r="G27" s="298"/>
      <c r="H27" s="297"/>
    </row>
    <row r="28" spans="1:7" ht="15">
      <c r="A28" s="132"/>
      <c r="B28" s="307"/>
      <c r="C28" s="307"/>
      <c r="D28" s="367"/>
      <c r="E28" s="307"/>
      <c r="F28" s="15"/>
      <c r="G28" s="15"/>
    </row>
    <row r="29" spans="1:7" ht="15.75">
      <c r="A29" s="54" t="s">
        <v>240</v>
      </c>
      <c r="B29" s="365"/>
      <c r="C29" s="366"/>
      <c r="D29" s="367"/>
      <c r="E29" s="307"/>
      <c r="F29" s="15"/>
      <c r="G29" s="15"/>
    </row>
    <row r="30" spans="1:7" ht="15">
      <c r="A30" s="132"/>
      <c r="B30" s="307"/>
      <c r="C30" s="307"/>
      <c r="D30" s="367"/>
      <c r="E30" s="307"/>
      <c r="F30" s="15"/>
      <c r="G30" s="15"/>
    </row>
    <row r="31" spans="1:7" ht="15">
      <c r="A31" s="132"/>
      <c r="B31" s="368"/>
      <c r="C31" s="367" t="s">
        <v>21</v>
      </c>
      <c r="E31" s="369" t="s">
        <v>23</v>
      </c>
      <c r="F31" s="25">
        <f>IF('9. 2005 Rate Sch. Reg. Assets'!$B$39="","",'9. 2005 Rate Sch. Reg. Assets'!$B$39)</f>
        <v>21.7006919519267</v>
      </c>
      <c r="G31" s="15"/>
    </row>
    <row r="32" spans="1:7" ht="15">
      <c r="A32" s="132"/>
      <c r="B32" s="307"/>
      <c r="C32" s="367" t="s">
        <v>22</v>
      </c>
      <c r="E32" s="369" t="s">
        <v>26</v>
      </c>
      <c r="F32" s="16">
        <f>IF('9. 2005 Rate Sch. Reg. Assets'!$B$37="","",'9. 2005 Rate Sch. Reg. Assets'!$B$37+'10. Rate Rider Calculations'!$H$20)</f>
        <v>4.627584442789339</v>
      </c>
      <c r="G32" s="15"/>
    </row>
    <row r="33" spans="1:7" ht="15">
      <c r="A33" s="132"/>
      <c r="B33" s="368"/>
      <c r="C33" s="367"/>
      <c r="E33" s="369"/>
      <c r="F33" s="15"/>
      <c r="G33" s="15"/>
    </row>
    <row r="34" spans="1:7" ht="15">
      <c r="A34" s="132"/>
      <c r="B34" s="307"/>
      <c r="C34" s="307"/>
      <c r="D34" s="367"/>
      <c r="E34" s="307"/>
      <c r="F34" s="15"/>
      <c r="G34" s="15"/>
    </row>
    <row r="35" spans="1:7" ht="15.75">
      <c r="A35" s="54" t="s">
        <v>27</v>
      </c>
      <c r="B35" s="307"/>
      <c r="C35" s="307"/>
      <c r="D35" s="367"/>
      <c r="E35" s="307"/>
      <c r="F35" s="15"/>
      <c r="G35" s="15"/>
    </row>
    <row r="36" spans="2:7" ht="15">
      <c r="B36" s="365"/>
      <c r="C36" s="366"/>
      <c r="D36" s="367"/>
      <c r="E36" s="307"/>
      <c r="F36" s="15"/>
      <c r="G36" s="15"/>
    </row>
    <row r="37" spans="1:7" ht="15.75">
      <c r="A37" s="131"/>
      <c r="B37" s="307"/>
      <c r="C37" s="367" t="s">
        <v>21</v>
      </c>
      <c r="E37" s="369" t="s">
        <v>23</v>
      </c>
      <c r="F37" s="25">
        <f>IF('9. 2005 Rate Sch. Reg. Assets'!$B$46="","",'9. 2005 Rate Sch. Reg. Assets'!$B$46)</f>
      </c>
      <c r="G37" s="15"/>
    </row>
    <row r="38" spans="1:7" ht="15">
      <c r="A38" s="132"/>
      <c r="B38" s="368"/>
      <c r="C38" s="367" t="s">
        <v>22</v>
      </c>
      <c r="E38" s="369" t="s">
        <v>26</v>
      </c>
      <c r="F38" s="16">
        <f>IF('9. 2005 Rate Sch. Reg. Assets'!$B$44="","",'9. 2005 Rate Sch. Reg. Assets'!$B$44+'10. Rate Rider Calculations'!$H$21)</f>
      </c>
      <c r="G38" s="15"/>
    </row>
    <row r="39" spans="1:7" ht="15">
      <c r="A39" s="132"/>
      <c r="B39" s="368"/>
      <c r="C39" s="367"/>
      <c r="E39" s="369"/>
      <c r="F39" s="15"/>
      <c r="G39" s="15"/>
    </row>
    <row r="40" spans="1:7" ht="15.75">
      <c r="A40" s="131"/>
      <c r="B40" s="369"/>
      <c r="C40" s="369"/>
      <c r="D40" s="369"/>
      <c r="E40" s="369"/>
      <c r="F40" s="16"/>
      <c r="G40" s="16"/>
    </row>
    <row r="41" spans="1:7" ht="15.75" customHeight="1">
      <c r="A41" s="54" t="s">
        <v>213</v>
      </c>
      <c r="B41" s="369"/>
      <c r="C41" s="369"/>
      <c r="D41" s="369"/>
      <c r="E41" s="369"/>
      <c r="F41" s="16"/>
      <c r="G41" s="16"/>
    </row>
    <row r="42" spans="1:7" ht="12" customHeight="1">
      <c r="A42" s="131"/>
      <c r="B42" s="369"/>
      <c r="C42" s="369"/>
      <c r="D42" s="369"/>
      <c r="E42" s="369"/>
      <c r="F42" s="25"/>
      <c r="G42" s="16"/>
    </row>
    <row r="43" spans="1:7" ht="15" customHeight="1">
      <c r="A43" s="131"/>
      <c r="B43" s="307"/>
      <c r="C43" s="367" t="s">
        <v>21</v>
      </c>
      <c r="E43" s="369" t="s">
        <v>23</v>
      </c>
      <c r="F43" s="25">
        <f>IF('9. 2005 Rate Sch. Reg. Assets'!$B$53="","",'9. 2005 Rate Sch. Reg. Assets'!$B$53)</f>
        <v>37.96940217025832</v>
      </c>
      <c r="G43" s="15"/>
    </row>
    <row r="44" spans="2:7" ht="15">
      <c r="B44" s="307"/>
      <c r="C44" s="367" t="s">
        <v>22</v>
      </c>
      <c r="E44" s="369" t="s">
        <v>26</v>
      </c>
      <c r="F44" s="16">
        <f>IF('9. 2005 Rate Sch. Reg. Assets'!$B$51="","",'9. 2005 Rate Sch. Reg. Assets'!$B$51+'10. Rate Rider Calculations'!$H$22)</f>
        <v>0.896610141588599</v>
      </c>
      <c r="G44" s="15"/>
    </row>
    <row r="45" spans="1:7" ht="15">
      <c r="A45" s="132"/>
      <c r="B45" s="307"/>
      <c r="C45" s="367"/>
      <c r="E45" s="369"/>
      <c r="F45" s="15"/>
      <c r="G45" s="15"/>
    </row>
    <row r="46" spans="1:7" ht="15">
      <c r="A46" s="132"/>
      <c r="B46" s="307"/>
      <c r="C46" s="307"/>
      <c r="D46" s="367"/>
      <c r="E46" s="307"/>
      <c r="F46" s="15"/>
      <c r="G46" s="15"/>
    </row>
    <row r="47" spans="1:7" ht="15.75">
      <c r="A47" s="54" t="s">
        <v>0</v>
      </c>
      <c r="B47" s="307"/>
      <c r="C47" s="307"/>
      <c r="D47" s="367"/>
      <c r="E47" s="307"/>
      <c r="F47" s="15"/>
      <c r="G47" s="15"/>
    </row>
    <row r="48" spans="1:7" ht="15">
      <c r="A48" s="132"/>
      <c r="B48" s="307"/>
      <c r="C48" s="307"/>
      <c r="D48" s="367"/>
      <c r="E48" s="307"/>
      <c r="F48" s="15"/>
      <c r="G48" s="15"/>
    </row>
    <row r="49" spans="2:7" ht="15">
      <c r="B49" s="307"/>
      <c r="C49" s="367" t="s">
        <v>21</v>
      </c>
      <c r="E49" s="369" t="s">
        <v>23</v>
      </c>
      <c r="F49" s="25">
        <f>IF('9. 2005 Rate Sch. Reg. Assets'!$B$60="","",'9. 2005 Rate Sch. Reg. Assets'!$B$60)</f>
        <v>179.8940168853936</v>
      </c>
      <c r="G49" s="15"/>
    </row>
    <row r="50" spans="1:7" ht="15">
      <c r="A50" s="132"/>
      <c r="B50" s="307"/>
      <c r="C50" s="367" t="s">
        <v>22</v>
      </c>
      <c r="E50" s="369" t="s">
        <v>26</v>
      </c>
      <c r="F50" s="16">
        <f>IF('9. 2005 Rate Sch. Reg. Assets'!$B$58="","",'9. 2005 Rate Sch. Reg. Assets'!$B$58+'10. Rate Rider Calculations'!$H$23)</f>
        <v>0.5506026269669638</v>
      </c>
      <c r="G50" s="15"/>
    </row>
    <row r="51" spans="1:7" ht="15">
      <c r="A51" s="132"/>
      <c r="B51" s="368"/>
      <c r="C51" s="367"/>
      <c r="E51" s="369"/>
      <c r="F51" s="15"/>
      <c r="G51" s="15"/>
    </row>
    <row r="52" spans="1:7" ht="15">
      <c r="A52" s="132"/>
      <c r="B52" s="307"/>
      <c r="C52" s="307"/>
      <c r="D52" s="370"/>
      <c r="E52" s="307"/>
      <c r="F52" s="15"/>
      <c r="G52" s="15"/>
    </row>
    <row r="53" spans="1:7" ht="15">
      <c r="A53" s="132"/>
      <c r="B53" s="307"/>
      <c r="C53" s="307"/>
      <c r="D53" s="367"/>
      <c r="E53" s="307"/>
      <c r="F53" s="15"/>
      <c r="G53" s="15"/>
    </row>
    <row r="54" spans="1:7" ht="15.75">
      <c r="A54" s="54" t="s">
        <v>28</v>
      </c>
      <c r="B54" s="368"/>
      <c r="C54" s="307"/>
      <c r="D54" s="367"/>
      <c r="E54" s="307"/>
      <c r="F54" s="15"/>
      <c r="G54" s="15"/>
    </row>
    <row r="55" spans="1:7" ht="15">
      <c r="A55" s="132"/>
      <c r="B55" s="307"/>
      <c r="C55" s="307"/>
      <c r="D55" s="367"/>
      <c r="E55" s="307"/>
      <c r="F55" s="15"/>
      <c r="G55" s="15"/>
    </row>
    <row r="56" spans="1:7" ht="15">
      <c r="A56" s="132"/>
      <c r="B56" s="368"/>
      <c r="C56" s="367" t="s">
        <v>21</v>
      </c>
      <c r="E56" s="369" t="s">
        <v>23</v>
      </c>
      <c r="F56" s="25">
        <f>IF('9. 2005 Rate Sch. Reg. Assets'!$B$67="","",'9. 2005 Rate Sch. Reg. Assets'!$B$67)</f>
        <v>1.6063870698855058</v>
      </c>
      <c r="G56" s="15"/>
    </row>
    <row r="57" spans="1:7" ht="15">
      <c r="A57" s="132"/>
      <c r="B57" s="307"/>
      <c r="C57" s="367" t="s">
        <v>22</v>
      </c>
      <c r="E57" s="369" t="s">
        <v>26</v>
      </c>
      <c r="F57" s="16">
        <f>IF('9. 2005 Rate Sch. Reg. Assets'!$B$65="","",'9. 2005 Rate Sch. Reg. Assets'!$B$65+'10. Rate Rider Calculations'!$H$24)</f>
        <v>5.275840000167736</v>
      </c>
      <c r="G57" s="15"/>
    </row>
    <row r="58" spans="1:7" ht="15">
      <c r="A58" s="132"/>
      <c r="B58" s="307"/>
      <c r="C58" s="367"/>
      <c r="E58" s="369"/>
      <c r="F58" s="15"/>
      <c r="G58" s="15"/>
    </row>
    <row r="59" spans="1:7" ht="15.75">
      <c r="A59" s="131"/>
      <c r="B59" s="307"/>
      <c r="C59" s="307"/>
      <c r="D59" s="367"/>
      <c r="E59" s="307"/>
      <c r="F59" s="15"/>
      <c r="G59" s="15"/>
    </row>
    <row r="60" spans="1:7" ht="15.75">
      <c r="A60" s="54" t="s">
        <v>29</v>
      </c>
      <c r="B60" s="307"/>
      <c r="C60" s="307"/>
      <c r="D60" s="367"/>
      <c r="E60" s="307"/>
      <c r="F60" s="15"/>
      <c r="G60" s="15"/>
    </row>
    <row r="61" spans="2:7" ht="15">
      <c r="B61" s="307"/>
      <c r="C61" s="307"/>
      <c r="D61" s="367"/>
      <c r="E61" s="307"/>
      <c r="F61" s="15"/>
      <c r="G61" s="15"/>
    </row>
    <row r="62" spans="1:7" ht="15">
      <c r="A62" s="132"/>
      <c r="B62" s="368"/>
      <c r="C62" s="367" t="s">
        <v>21</v>
      </c>
      <c r="E62" s="369" t="s">
        <v>23</v>
      </c>
      <c r="F62" s="25">
        <f>IF('9. 2005 Rate Sch. Reg. Assets'!$B$75="","",'9. 2005 Rate Sch. Reg. Assets'!$B$75)</f>
      </c>
      <c r="G62" s="15"/>
    </row>
    <row r="63" spans="1:7" ht="15">
      <c r="A63" s="132"/>
      <c r="B63" s="307"/>
      <c r="C63" s="367" t="s">
        <v>22</v>
      </c>
      <c r="E63" s="369" t="s">
        <v>26</v>
      </c>
      <c r="F63" s="16">
        <f>IF('9. 2005 Rate Sch. Reg. Assets'!$B$73="","",'9. 2005 Rate Sch. Reg. Assets'!$B$73+'10. Rate Rider Calculations'!$H$24)</f>
      </c>
      <c r="G63" s="15"/>
    </row>
    <row r="64" spans="1:7" ht="15">
      <c r="A64" s="132"/>
      <c r="B64" s="368"/>
      <c r="C64" s="307"/>
      <c r="E64" s="369"/>
      <c r="F64" s="15"/>
      <c r="G64" s="15"/>
    </row>
    <row r="65" spans="1:7" ht="15">
      <c r="A65" s="132"/>
      <c r="B65" s="369"/>
      <c r="C65" s="369"/>
      <c r="D65" s="367"/>
      <c r="E65" s="307"/>
      <c r="F65" s="15"/>
      <c r="G65" s="15"/>
    </row>
    <row r="66" spans="1:7" ht="15.75">
      <c r="A66" s="54" t="s">
        <v>30</v>
      </c>
      <c r="B66" s="368"/>
      <c r="C66" s="307"/>
      <c r="D66" s="367"/>
      <c r="E66" s="307"/>
      <c r="F66" s="15"/>
      <c r="G66" s="15"/>
    </row>
    <row r="67" spans="1:7" ht="15">
      <c r="A67" s="132"/>
      <c r="B67" s="307"/>
      <c r="C67" s="307"/>
      <c r="D67" s="367"/>
      <c r="E67" s="307"/>
      <c r="F67" s="15"/>
      <c r="G67" s="15"/>
    </row>
    <row r="68" spans="1:7" ht="12" customHeight="1">
      <c r="A68" s="132"/>
      <c r="B68" s="368"/>
      <c r="C68" s="367" t="s">
        <v>21</v>
      </c>
      <c r="E68" s="369" t="s">
        <v>23</v>
      </c>
      <c r="F68" s="25">
        <f>IF('9. 2005 Rate Sch. Reg. Assets'!$B$82="","",'9. 2005 Rate Sch. Reg. Assets'!$B$82)</f>
        <v>0.6047071450819254</v>
      </c>
      <c r="G68" s="15"/>
    </row>
    <row r="69" spans="1:7" ht="14.25" customHeight="1">
      <c r="A69" s="132"/>
      <c r="B69" s="307"/>
      <c r="C69" s="367" t="s">
        <v>22</v>
      </c>
      <c r="E69" s="369" t="s">
        <v>26</v>
      </c>
      <c r="F69" s="16">
        <f>IF('9. 2005 Rate Sch. Reg. Assets'!$B$80="","",'9. 2005 Rate Sch. Reg. Assets'!$B$80+'10. Rate Rider Calculations'!$H$25)</f>
        <v>4.913649066518502</v>
      </c>
      <c r="G69" s="15"/>
    </row>
    <row r="70" spans="1:7" ht="15">
      <c r="A70" s="132"/>
      <c r="B70" s="307"/>
      <c r="C70" s="367"/>
      <c r="E70" s="369"/>
      <c r="F70" s="15"/>
      <c r="G70" s="15"/>
    </row>
    <row r="71" spans="1:7" ht="15.75">
      <c r="A71" s="131"/>
      <c r="B71" s="307"/>
      <c r="C71" s="307"/>
      <c r="D71" s="367"/>
      <c r="E71" s="307"/>
      <c r="F71" s="15"/>
      <c r="G71" s="15"/>
    </row>
    <row r="72" spans="1:7" ht="15.75">
      <c r="A72" s="54" t="s">
        <v>31</v>
      </c>
      <c r="B72" s="307"/>
      <c r="C72" s="307"/>
      <c r="D72" s="367"/>
      <c r="E72" s="307"/>
      <c r="F72" s="15"/>
      <c r="G72" s="15"/>
    </row>
    <row r="73" spans="2:7" ht="15">
      <c r="B73" s="307"/>
      <c r="C73" s="307"/>
      <c r="D73" s="367"/>
      <c r="E73" s="307"/>
      <c r="F73" s="15"/>
      <c r="G73" s="15"/>
    </row>
    <row r="74" spans="1:7" ht="15">
      <c r="A74" s="132"/>
      <c r="B74" s="368"/>
      <c r="C74" s="367" t="s">
        <v>21</v>
      </c>
      <c r="E74" s="369" t="s">
        <v>23</v>
      </c>
      <c r="F74" s="25">
        <f>IF('9. 2005 Rate Sch. Reg. Assets'!$B$90="","",'9. 2005 Rate Sch. Reg. Assets'!$B$90)</f>
      </c>
      <c r="G74" s="15"/>
    </row>
    <row r="75" spans="1:7" ht="15">
      <c r="A75" s="132"/>
      <c r="B75" s="307"/>
      <c r="C75" s="367" t="s">
        <v>22</v>
      </c>
      <c r="E75" s="369" t="s">
        <v>26</v>
      </c>
      <c r="F75" s="16">
        <f>IF('9. 2005 Rate Sch. Reg. Assets'!$B$88="","",'9. 2005 Rate Sch. Reg. Assets'!$B$88+'10. Rate Rider Calculations'!$H$25)</f>
      </c>
      <c r="G75" s="15"/>
    </row>
    <row r="76" spans="1:7" ht="15">
      <c r="A76" s="132"/>
      <c r="B76" s="368"/>
      <c r="C76" s="307"/>
      <c r="E76" s="369"/>
      <c r="F76" s="15"/>
      <c r="G76" s="15"/>
    </row>
    <row r="77" spans="1:7" ht="15.75">
      <c r="A77" s="131"/>
      <c r="B77" s="307"/>
      <c r="C77" s="307"/>
      <c r="D77" s="367"/>
      <c r="E77" s="307"/>
      <c r="F77" s="15"/>
      <c r="G77" s="15"/>
    </row>
    <row r="78" spans="1:7" ht="15.75">
      <c r="A78" s="54" t="s">
        <v>216</v>
      </c>
      <c r="B78" s="365"/>
      <c r="C78" s="366"/>
      <c r="D78" s="131"/>
      <c r="E78" s="307"/>
      <c r="G78" s="15"/>
    </row>
    <row r="79" spans="1:6" ht="15">
      <c r="A79" s="132"/>
      <c r="B79" s="307"/>
      <c r="C79" s="307"/>
      <c r="D79" s="367"/>
      <c r="E79" s="307"/>
      <c r="F79" s="15"/>
    </row>
    <row r="80" spans="1:6" ht="15">
      <c r="A80" s="132"/>
      <c r="B80" s="368"/>
      <c r="C80" s="367" t="s">
        <v>21</v>
      </c>
      <c r="E80" s="369" t="s">
        <v>23</v>
      </c>
      <c r="F80" s="499">
        <f>IF('9. 2005 Rate Sch. Reg. Assets'!$B$97="","",'9. 2005 Rate Sch. Reg. Assets'!$B$97)</f>
      </c>
    </row>
    <row r="81" spans="1:6" ht="15">
      <c r="A81" s="132"/>
      <c r="B81" s="307"/>
      <c r="C81" s="367" t="s">
        <v>22</v>
      </c>
      <c r="E81" s="369" t="s">
        <v>24</v>
      </c>
      <c r="F81" s="500">
        <f>IF('9. 2005 Rate Sch. Reg. Assets'!$B$95="","",'9. 2005 Rate Sch. Reg. Assets'!$B$95+'10. Rate Rider Calculations'!$H$26)</f>
      </c>
    </row>
    <row r="84" spans="1:6" ht="15.75">
      <c r="A84" s="54" t="s">
        <v>217</v>
      </c>
      <c r="B84" s="365"/>
      <c r="C84" s="366"/>
      <c r="D84" s="367"/>
      <c r="E84" s="307"/>
      <c r="F84" s="15"/>
    </row>
    <row r="85" spans="1:6" ht="15">
      <c r="A85" s="132"/>
      <c r="B85" s="307"/>
      <c r="C85" s="307"/>
      <c r="D85" s="367"/>
      <c r="E85" s="307"/>
      <c r="F85" s="15"/>
    </row>
    <row r="86" spans="1:6" ht="15">
      <c r="A86" s="132"/>
      <c r="B86" s="368"/>
      <c r="C86" s="367" t="s">
        <v>21</v>
      </c>
      <c r="E86" s="369" t="s">
        <v>23</v>
      </c>
      <c r="F86" s="499">
        <f>IF('9. 2005 Rate Sch. Reg. Assets'!$B$104="","",'9. 2005 Rate Sch. Reg. Assets'!$B$104)</f>
      </c>
    </row>
    <row r="87" spans="1:6" ht="15">
      <c r="A87" s="132"/>
      <c r="B87" s="307"/>
      <c r="C87" s="367" t="s">
        <v>22</v>
      </c>
      <c r="E87" s="369" t="s">
        <v>24</v>
      </c>
      <c r="F87" s="500">
        <f>IF('9. 2005 Rate Sch. Reg. Assets'!$B$102="","",'9. 2005 Rate Sch. Reg. Assets'!$B$102+'10. Rate Rider Calculations'!$H$27)</f>
      </c>
    </row>
    <row r="88" spans="1:6" ht="15">
      <c r="A88" s="132"/>
      <c r="B88" s="368"/>
      <c r="C88" s="367"/>
      <c r="E88" s="369"/>
      <c r="F88" s="15"/>
    </row>
    <row r="89" spans="1:6" ht="15">
      <c r="A89" s="132"/>
      <c r="B89" s="307"/>
      <c r="C89" s="307"/>
      <c r="D89" s="367"/>
      <c r="E89" s="307"/>
      <c r="F89" s="15"/>
    </row>
    <row r="90" spans="1:6" ht="15.75">
      <c r="A90" s="54" t="s">
        <v>241</v>
      </c>
      <c r="B90" s="365"/>
      <c r="C90" s="366"/>
      <c r="D90" s="367"/>
      <c r="E90" s="307"/>
      <c r="F90" s="15"/>
    </row>
    <row r="91" spans="1:6" ht="15">
      <c r="A91" s="132"/>
      <c r="B91" s="307"/>
      <c r="C91" s="307"/>
      <c r="D91" s="367"/>
      <c r="E91" s="307"/>
      <c r="F91" s="15"/>
    </row>
    <row r="92" spans="1:6" ht="15">
      <c r="A92" s="132"/>
      <c r="B92" s="368"/>
      <c r="C92" s="367" t="s">
        <v>21</v>
      </c>
      <c r="E92" s="369" t="s">
        <v>23</v>
      </c>
      <c r="F92" s="499">
        <f>IF('9. 2005 Rate Sch. Reg. Assets'!$B$111="","",'9. 2005 Rate Sch. Reg. Assets'!$B$111)</f>
      </c>
    </row>
    <row r="93" spans="1:6" ht="15">
      <c r="A93" s="132"/>
      <c r="B93" s="307"/>
      <c r="C93" s="367" t="s">
        <v>22</v>
      </c>
      <c r="E93" s="369" t="s">
        <v>26</v>
      </c>
      <c r="F93" s="500">
        <f>IF('9. 2005 Rate Sch. Reg. Assets'!$B$109="","",'9. 2005 Rate Sch. Reg. Assets'!$B$109+'10. Rate Rider Calculations'!$H$28)</f>
      </c>
    </row>
    <row r="94" spans="1:6" ht="15">
      <c r="A94" s="132"/>
      <c r="B94" s="368"/>
      <c r="C94" s="367"/>
      <c r="E94" s="369"/>
      <c r="F94" s="15"/>
    </row>
    <row r="95" spans="1:6" ht="15">
      <c r="A95" s="132"/>
      <c r="B95" s="307"/>
      <c r="C95" s="307"/>
      <c r="D95" s="367"/>
      <c r="E95" s="307"/>
      <c r="F95" s="15"/>
    </row>
    <row r="96" spans="1:5" ht="15.75">
      <c r="A96" s="54" t="s">
        <v>219</v>
      </c>
      <c r="B96" s="365"/>
      <c r="C96" s="366"/>
      <c r="D96" s="131"/>
      <c r="E96" s="307"/>
    </row>
    <row r="97" spans="1:6" ht="15">
      <c r="A97" s="132"/>
      <c r="B97" s="307"/>
      <c r="C97" s="307"/>
      <c r="D97" s="367"/>
      <c r="E97" s="307"/>
      <c r="F97" s="15"/>
    </row>
    <row r="98" spans="1:6" ht="15">
      <c r="A98" s="132"/>
      <c r="B98" s="368"/>
      <c r="C98" s="367" t="s">
        <v>21</v>
      </c>
      <c r="E98" s="369" t="s">
        <v>23</v>
      </c>
      <c r="F98" s="499">
        <f>IF('9. 2005 Rate Sch. Reg. Assets'!$B$118="","",'9. 2005 Rate Sch. Reg. Assets'!$B$118)</f>
      </c>
    </row>
    <row r="99" spans="1:6" ht="15">
      <c r="A99" s="132"/>
      <c r="B99" s="307"/>
      <c r="C99" s="367" t="s">
        <v>22</v>
      </c>
      <c r="E99" s="369" t="s">
        <v>24</v>
      </c>
      <c r="F99" s="500">
        <f>IF('9. 2005 Rate Sch. Reg. Assets'!$B$116="","",'9. 2005 Rate Sch. Reg. Assets'!$B$116+'10. Rate Rider Calculations'!$H$29)</f>
      </c>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sheetPr>
    <pageSetUpPr fitToPage="1"/>
  </sheetPr>
  <dimension ref="A1:H67"/>
  <sheetViews>
    <sheetView zoomScale="75" zoomScaleNormal="75" zoomScalePageLayoutView="0" workbookViewId="0" topLeftCell="A14">
      <selection activeCell="F51" sqref="F51"/>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682" t="str">
        <f>IF(ISBLANK('Info Sheet'!B4),"",'Info Sheet'!B4)</f>
        <v>Brant County Power</v>
      </c>
      <c r="B1" s="682"/>
      <c r="C1" s="682"/>
      <c r="D1" s="682"/>
      <c r="E1" s="682"/>
      <c r="F1" s="682"/>
      <c r="G1" s="682"/>
      <c r="H1" s="682"/>
    </row>
    <row r="2" spans="1:8" ht="15.75">
      <c r="A2" s="682" t="str">
        <f>IF(ISBLANK('Info Sheet'!B6),"",'Info Sheet'!B8&amp;"    "&amp;'Info Sheet'!B10)</f>
        <v>RP-2005-0013    EB-2005-0009</v>
      </c>
      <c r="B2" s="682"/>
      <c r="C2" s="682"/>
      <c r="D2" s="682"/>
      <c r="E2" s="682"/>
      <c r="F2" s="682"/>
      <c r="G2" s="682"/>
      <c r="H2" s="682"/>
    </row>
    <row r="3" spans="1:8" ht="15.75">
      <c r="A3" s="682" t="s">
        <v>187</v>
      </c>
      <c r="B3" s="682"/>
      <c r="C3" s="682"/>
      <c r="D3" s="682"/>
      <c r="E3" s="682"/>
      <c r="F3" s="682"/>
      <c r="G3" s="682"/>
      <c r="H3" s="682"/>
    </row>
    <row r="4" spans="1:8" ht="15.75" customHeight="1">
      <c r="A4" s="683" t="s">
        <v>188</v>
      </c>
      <c r="B4" s="683"/>
      <c r="C4" s="683"/>
      <c r="D4" s="683"/>
      <c r="E4" s="683"/>
      <c r="F4" s="683"/>
      <c r="G4" s="683"/>
      <c r="H4" s="683"/>
    </row>
    <row r="5" spans="1:8" ht="15.75" customHeight="1">
      <c r="A5" s="371"/>
      <c r="B5" s="371"/>
      <c r="C5" s="371"/>
      <c r="D5" s="371"/>
      <c r="E5" s="371"/>
      <c r="F5" s="371"/>
      <c r="G5" s="371"/>
      <c r="H5" s="371"/>
    </row>
    <row r="6" spans="1:5" ht="15.75">
      <c r="A6" s="36"/>
      <c r="D6" s="132"/>
      <c r="E6" s="36"/>
    </row>
    <row r="7" spans="1:5" ht="15.75">
      <c r="A7" s="384"/>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215</v>
      </c>
      <c r="B11" s="365"/>
      <c r="C11" s="366"/>
      <c r="D11" s="131"/>
      <c r="E11" s="307"/>
      <c r="G11" s="15"/>
    </row>
    <row r="12" spans="1:7" ht="15">
      <c r="A12" s="132"/>
      <c r="B12" s="307"/>
      <c r="C12" s="307"/>
      <c r="D12" s="367"/>
      <c r="E12" s="307"/>
      <c r="F12" s="15"/>
      <c r="G12" s="15"/>
    </row>
    <row r="13" spans="1:8" ht="15">
      <c r="A13" s="132"/>
      <c r="B13" s="368"/>
      <c r="C13" s="367" t="s">
        <v>21</v>
      </c>
      <c r="E13" s="369" t="s">
        <v>23</v>
      </c>
      <c r="F13" s="25">
        <f>'11. 2005 Final Rate Schedule '!F13</f>
        <v>10.139451099306044</v>
      </c>
      <c r="G13" s="297"/>
      <c r="H13" s="297"/>
    </row>
    <row r="14" spans="1:7" ht="15">
      <c r="A14" s="132"/>
      <c r="B14" s="307"/>
      <c r="C14" s="367" t="s">
        <v>22</v>
      </c>
      <c r="E14" s="369" t="s">
        <v>24</v>
      </c>
      <c r="F14" s="16">
        <f>'11. 2005 Final Rate Schedule '!F14</f>
        <v>0.017723745596173617</v>
      </c>
      <c r="G14" s="15"/>
    </row>
    <row r="15" spans="1:8" ht="15">
      <c r="A15" s="132"/>
      <c r="B15" s="368"/>
      <c r="C15" s="367"/>
      <c r="E15" s="369"/>
      <c r="F15" s="15"/>
      <c r="G15" s="277"/>
      <c r="H15" s="297"/>
    </row>
    <row r="16" spans="1:7" ht="15">
      <c r="A16" s="132"/>
      <c r="B16" s="307"/>
      <c r="C16" s="307"/>
      <c r="D16" s="307"/>
      <c r="E16" s="307"/>
      <c r="F16" s="15"/>
      <c r="G16" s="15"/>
    </row>
    <row r="17" spans="1:7" ht="15.75">
      <c r="A17" s="54" t="s">
        <v>220</v>
      </c>
      <c r="B17" s="365"/>
      <c r="C17" s="366"/>
      <c r="D17" s="367"/>
      <c r="E17" s="307"/>
      <c r="F17" s="15"/>
      <c r="G17" s="15"/>
    </row>
    <row r="18" spans="1:7" ht="15">
      <c r="A18" s="132"/>
      <c r="B18" s="307"/>
      <c r="C18" s="307"/>
      <c r="D18" s="367"/>
      <c r="E18" s="307"/>
      <c r="F18" s="15"/>
      <c r="G18" s="15"/>
    </row>
    <row r="19" spans="1:8" ht="15">
      <c r="A19" s="132"/>
      <c r="B19" s="368"/>
      <c r="C19" s="367" t="s">
        <v>21</v>
      </c>
      <c r="E19" s="369" t="s">
        <v>23</v>
      </c>
      <c r="F19" s="25">
        <f>'11. 2005 Final Rate Schedule '!F25</f>
        <v>12.185831699634123</v>
      </c>
      <c r="G19" s="298"/>
      <c r="H19" s="297"/>
    </row>
    <row r="20" spans="1:7" ht="15">
      <c r="A20" s="132"/>
      <c r="B20" s="307"/>
      <c r="C20" s="367" t="s">
        <v>22</v>
      </c>
      <c r="E20" s="369" t="s">
        <v>24</v>
      </c>
      <c r="F20" s="16">
        <f>'11. 2005 Final Rate Schedule '!F26</f>
        <v>0.01751342830579469</v>
      </c>
      <c r="G20" s="298"/>
    </row>
    <row r="21" spans="1:8" ht="15">
      <c r="A21" s="132"/>
      <c r="B21" s="368"/>
      <c r="C21" s="367"/>
      <c r="E21" s="369"/>
      <c r="F21" s="15"/>
      <c r="G21" s="298"/>
      <c r="H21" s="297"/>
    </row>
    <row r="22" spans="1:7" ht="15">
      <c r="A22" s="132"/>
      <c r="B22" s="307"/>
      <c r="C22" s="307"/>
      <c r="D22" s="367"/>
      <c r="E22" s="307"/>
      <c r="F22" s="15"/>
      <c r="G22" s="15"/>
    </row>
    <row r="23" spans="1:7" ht="15.75">
      <c r="A23" s="54" t="s">
        <v>240</v>
      </c>
      <c r="B23" s="365"/>
      <c r="C23" s="366"/>
      <c r="D23" s="367"/>
      <c r="E23" s="307"/>
      <c r="F23" s="15"/>
      <c r="G23" s="15"/>
    </row>
    <row r="24" spans="1:7" ht="15">
      <c r="A24" s="132"/>
      <c r="B24" s="307"/>
      <c r="C24" s="307"/>
      <c r="D24" s="367"/>
      <c r="E24" s="307"/>
      <c r="F24" s="15"/>
      <c r="G24" s="15"/>
    </row>
    <row r="25" spans="1:7" ht="15">
      <c r="A25" s="132"/>
      <c r="B25" s="368"/>
      <c r="C25" s="367" t="s">
        <v>21</v>
      </c>
      <c r="E25" s="369" t="s">
        <v>23</v>
      </c>
      <c r="F25" s="25">
        <f>'11. 2005 Final Rate Schedule '!F31</f>
        <v>21.7006919519267</v>
      </c>
      <c r="G25" s="15"/>
    </row>
    <row r="26" spans="1:7" ht="15">
      <c r="A26" s="132"/>
      <c r="B26" s="307"/>
      <c r="C26" s="367" t="s">
        <v>22</v>
      </c>
      <c r="E26" s="369" t="s">
        <v>26</v>
      </c>
      <c r="F26" s="16">
        <f>'11. 2005 Final Rate Schedule '!F32</f>
        <v>4.627584442789339</v>
      </c>
      <c r="G26" s="15"/>
    </row>
    <row r="27" spans="1:7" ht="15">
      <c r="A27" s="132"/>
      <c r="B27" s="368"/>
      <c r="C27" s="367"/>
      <c r="E27" s="369"/>
      <c r="F27" s="15"/>
      <c r="G27" s="15"/>
    </row>
    <row r="28" spans="1:7" ht="15">
      <c r="A28" s="132"/>
      <c r="B28" s="307"/>
      <c r="C28" s="307"/>
      <c r="D28" s="367"/>
      <c r="E28" s="307"/>
      <c r="F28" s="15"/>
      <c r="G28" s="15"/>
    </row>
    <row r="29" spans="1:7" ht="15.75" customHeight="1">
      <c r="A29" s="54" t="s">
        <v>213</v>
      </c>
      <c r="B29" s="369"/>
      <c r="C29" s="369"/>
      <c r="D29" s="369"/>
      <c r="E29" s="369"/>
      <c r="F29" s="16"/>
      <c r="G29" s="16"/>
    </row>
    <row r="30" spans="1:7" ht="12" customHeight="1">
      <c r="A30" s="131"/>
      <c r="B30" s="369"/>
      <c r="C30" s="369"/>
      <c r="D30" s="369"/>
      <c r="E30" s="369"/>
      <c r="F30" s="25"/>
      <c r="G30" s="16"/>
    </row>
    <row r="31" spans="1:7" ht="15" customHeight="1">
      <c r="A31" s="131"/>
      <c r="B31" s="307"/>
      <c r="C31" s="367" t="s">
        <v>21</v>
      </c>
      <c r="E31" s="369" t="s">
        <v>23</v>
      </c>
      <c r="F31" s="25">
        <f>'11. 2005 Final Rate Schedule '!F43</f>
        <v>37.96940217025832</v>
      </c>
      <c r="G31" s="15"/>
    </row>
    <row r="32" spans="2:7" ht="15">
      <c r="B32" s="307"/>
      <c r="C32" s="367" t="s">
        <v>22</v>
      </c>
      <c r="E32" s="369" t="s">
        <v>26</v>
      </c>
      <c r="F32" s="16">
        <f>'11. 2005 Final Rate Schedule '!F44</f>
        <v>0.896610141588599</v>
      </c>
      <c r="G32" s="15"/>
    </row>
    <row r="33" spans="1:7" ht="15">
      <c r="A33" s="132"/>
      <c r="B33" s="307"/>
      <c r="C33" s="367"/>
      <c r="E33" s="369"/>
      <c r="F33" s="15"/>
      <c r="G33" s="15"/>
    </row>
    <row r="34" spans="1:7" ht="15">
      <c r="A34" s="132"/>
      <c r="B34" s="307"/>
      <c r="C34" s="307"/>
      <c r="D34" s="367"/>
      <c r="E34" s="307"/>
      <c r="F34" s="15"/>
      <c r="G34" s="15"/>
    </row>
    <row r="35" spans="1:7" ht="15.75">
      <c r="A35" s="54" t="s">
        <v>0</v>
      </c>
      <c r="B35" s="307"/>
      <c r="C35" s="307"/>
      <c r="D35" s="367"/>
      <c r="E35" s="307"/>
      <c r="F35" s="15"/>
      <c r="G35" s="15"/>
    </row>
    <row r="36" spans="1:7" ht="15">
      <c r="A36" s="132"/>
      <c r="B36" s="307"/>
      <c r="C36" s="307"/>
      <c r="D36" s="367"/>
      <c r="E36" s="307"/>
      <c r="F36" s="15"/>
      <c r="G36" s="15"/>
    </row>
    <row r="37" spans="2:7" ht="15">
      <c r="B37" s="307"/>
      <c r="C37" s="367" t="s">
        <v>21</v>
      </c>
      <c r="E37" s="369" t="s">
        <v>23</v>
      </c>
      <c r="F37" s="25">
        <f>'11. 2005 Final Rate Schedule '!F49</f>
        <v>179.8940168853936</v>
      </c>
      <c r="G37" s="15"/>
    </row>
    <row r="38" spans="1:7" ht="15">
      <c r="A38" s="132"/>
      <c r="B38" s="307"/>
      <c r="C38" s="367" t="s">
        <v>22</v>
      </c>
      <c r="E38" s="369" t="s">
        <v>26</v>
      </c>
      <c r="F38" s="16">
        <f>'11. 2005 Final Rate Schedule '!F50</f>
        <v>0.5506026269669638</v>
      </c>
      <c r="G38" s="15"/>
    </row>
    <row r="39" spans="1:7" ht="15">
      <c r="A39" s="132"/>
      <c r="B39" s="368"/>
      <c r="C39" s="367"/>
      <c r="E39" s="369"/>
      <c r="F39" s="15"/>
      <c r="G39" s="15"/>
    </row>
    <row r="40" spans="1:7" ht="15">
      <c r="A40" s="132"/>
      <c r="B40" s="307"/>
      <c r="C40" s="307"/>
      <c r="D40" s="370"/>
      <c r="E40" s="307"/>
      <c r="F40" s="15"/>
      <c r="G40" s="15"/>
    </row>
    <row r="41" spans="1:7" ht="15">
      <c r="A41" s="132"/>
      <c r="B41" s="307"/>
      <c r="C41" s="307"/>
      <c r="D41" s="367"/>
      <c r="E41" s="307"/>
      <c r="F41" s="15"/>
      <c r="G41" s="15"/>
    </row>
    <row r="42" spans="1:7" ht="15.75">
      <c r="A42" s="54" t="s">
        <v>28</v>
      </c>
      <c r="B42" s="368"/>
      <c r="C42" s="307"/>
      <c r="D42" s="367"/>
      <c r="E42" s="307"/>
      <c r="F42" s="15"/>
      <c r="G42" s="15"/>
    </row>
    <row r="43" spans="1:7" ht="15">
      <c r="A43" s="132"/>
      <c r="B43" s="307"/>
      <c r="C43" s="307"/>
      <c r="D43" s="367"/>
      <c r="E43" s="307"/>
      <c r="F43" s="15"/>
      <c r="G43" s="15"/>
    </row>
    <row r="44" spans="1:7" ht="15">
      <c r="A44" s="132"/>
      <c r="B44" s="368"/>
      <c r="C44" s="367" t="s">
        <v>21</v>
      </c>
      <c r="E44" s="369" t="s">
        <v>23</v>
      </c>
      <c r="F44" s="25">
        <f>'11. 2005 Final Rate Schedule '!F56</f>
        <v>1.6063870698855058</v>
      </c>
      <c r="G44" s="15"/>
    </row>
    <row r="45" spans="1:7" ht="15">
      <c r="A45" s="132"/>
      <c r="B45" s="307"/>
      <c r="C45" s="367" t="s">
        <v>22</v>
      </c>
      <c r="E45" s="369" t="s">
        <v>26</v>
      </c>
      <c r="F45" s="16">
        <f>'11. 2005 Final Rate Schedule '!F57</f>
        <v>5.275840000167736</v>
      </c>
      <c r="G45" s="15"/>
    </row>
    <row r="46" spans="1:7" ht="15">
      <c r="A46" s="132"/>
      <c r="B46" s="307"/>
      <c r="C46" s="367"/>
      <c r="E46" s="369"/>
      <c r="F46" s="15"/>
      <c r="G46" s="15"/>
    </row>
    <row r="47" spans="1:7" ht="15.75">
      <c r="A47" s="131"/>
      <c r="B47" s="307"/>
      <c r="C47" s="307"/>
      <c r="D47" s="367"/>
      <c r="E47" s="307"/>
      <c r="F47" s="15"/>
      <c r="G47" s="15"/>
    </row>
    <row r="48" spans="1:7" ht="15.75">
      <c r="A48" s="54" t="s">
        <v>30</v>
      </c>
      <c r="B48" s="368"/>
      <c r="C48" s="307"/>
      <c r="D48" s="367"/>
      <c r="E48" s="307"/>
      <c r="F48" s="15"/>
      <c r="G48" s="15"/>
    </row>
    <row r="49" spans="1:7" ht="15">
      <c r="A49" s="132"/>
      <c r="B49" s="307"/>
      <c r="C49" s="307"/>
      <c r="D49" s="367"/>
      <c r="E49" s="307"/>
      <c r="F49" s="15"/>
      <c r="G49" s="15"/>
    </row>
    <row r="50" spans="1:7" ht="12" customHeight="1">
      <c r="A50" s="132"/>
      <c r="B50" s="368"/>
      <c r="C50" s="367" t="s">
        <v>21</v>
      </c>
      <c r="E50" s="369" t="s">
        <v>23</v>
      </c>
      <c r="F50" s="25">
        <f>'11. 2005 Final Rate Schedule '!F68</f>
        <v>0.6047071450819254</v>
      </c>
      <c r="G50" s="15"/>
    </row>
    <row r="51" spans="1:7" ht="14.25" customHeight="1">
      <c r="A51" s="132"/>
      <c r="B51" s="307"/>
      <c r="C51" s="367" t="s">
        <v>22</v>
      </c>
      <c r="E51" s="369" t="s">
        <v>26</v>
      </c>
      <c r="F51" s="16">
        <f>'11. 2005 Final Rate Schedule '!F69</f>
        <v>4.913649066518502</v>
      </c>
      <c r="G51" s="15"/>
    </row>
    <row r="52" spans="1:7" ht="15">
      <c r="A52" s="132"/>
      <c r="B52" s="307"/>
      <c r="C52" s="367"/>
      <c r="E52" s="369"/>
      <c r="F52" s="15"/>
      <c r="G52" s="15"/>
    </row>
    <row r="53" spans="1:7" ht="15.75">
      <c r="A53" s="131"/>
      <c r="B53" s="307"/>
      <c r="C53" s="307"/>
      <c r="D53" s="367"/>
      <c r="E53" s="307"/>
      <c r="F53" s="15"/>
      <c r="G53" s="15"/>
    </row>
    <row r="54" spans="1:5" ht="18">
      <c r="A54" s="520" t="s">
        <v>254</v>
      </c>
      <c r="B54" s="521"/>
      <c r="C54" s="521"/>
      <c r="D54" s="522"/>
      <c r="E54" s="521"/>
    </row>
    <row r="55" spans="1:5" ht="15">
      <c r="A55" s="524"/>
      <c r="B55" s="523"/>
      <c r="C55" s="521"/>
      <c r="D55" s="522"/>
      <c r="E55" s="521"/>
    </row>
    <row r="56" spans="1:5" ht="51">
      <c r="A56" s="527" t="s">
        <v>255</v>
      </c>
      <c r="B56" s="528"/>
      <c r="C56" s="521"/>
      <c r="D56" s="525" t="s">
        <v>23</v>
      </c>
      <c r="E56" s="537">
        <v>0.015</v>
      </c>
    </row>
    <row r="57" spans="1:5" ht="15">
      <c r="A57" s="528"/>
      <c r="B57" s="528"/>
      <c r="C57" s="521"/>
      <c r="D57" t="s">
        <v>256</v>
      </c>
      <c r="E57" s="538">
        <v>19.56</v>
      </c>
    </row>
    <row r="58" spans="1:5" ht="15">
      <c r="A58" t="s">
        <v>257</v>
      </c>
      <c r="B58" s="526"/>
      <c r="C58" s="526"/>
      <c r="D58" s="4"/>
      <c r="E58" s="3">
        <v>8.55</v>
      </c>
    </row>
    <row r="59" spans="1:5" ht="15">
      <c r="A59" t="s">
        <v>258</v>
      </c>
      <c r="B59" s="526"/>
      <c r="C59" s="526"/>
      <c r="D59" s="4"/>
      <c r="E59" s="3">
        <v>8.8</v>
      </c>
    </row>
    <row r="60" spans="1:5" ht="15">
      <c r="A60" t="s">
        <v>259</v>
      </c>
      <c r="B60" s="521"/>
      <c r="C60" s="526"/>
      <c r="D60" s="4"/>
      <c r="E60" s="3">
        <v>8.8</v>
      </c>
    </row>
    <row r="61" spans="1:5" ht="15">
      <c r="A61" t="s">
        <v>260</v>
      </c>
      <c r="B61" s="524"/>
      <c r="C61" s="521"/>
      <c r="D61" s="4"/>
      <c r="E61" s="3">
        <v>8.8</v>
      </c>
    </row>
    <row r="62" spans="1:5" ht="15">
      <c r="A62" t="s">
        <v>261</v>
      </c>
      <c r="B62"/>
      <c r="C62" s="524"/>
      <c r="D62" s="4"/>
      <c r="E62" s="3">
        <v>10.7</v>
      </c>
    </row>
    <row r="63" spans="1:5" ht="12.75">
      <c r="A63" s="1" t="s">
        <v>262</v>
      </c>
      <c r="B63"/>
      <c r="C63"/>
      <c r="D63" s="4"/>
      <c r="E63" s="538"/>
    </row>
    <row r="64" spans="1:5" ht="12.75">
      <c r="A64" t="s">
        <v>263</v>
      </c>
      <c r="B64"/>
      <c r="C64"/>
      <c r="D64" s="4"/>
      <c r="E64" s="3" t="s">
        <v>264</v>
      </c>
    </row>
    <row r="65" spans="1:5" ht="12.75">
      <c r="A65" s="1"/>
      <c r="B65"/>
      <c r="C65"/>
      <c r="D65" s="4"/>
      <c r="E65"/>
    </row>
    <row r="66" spans="1:5" ht="12.75">
      <c r="A66"/>
      <c r="B66"/>
      <c r="C66"/>
      <c r="D66" s="4"/>
      <c r="E66"/>
    </row>
    <row r="67" spans="1:5" ht="12.75">
      <c r="A67"/>
      <c r="B67"/>
      <c r="C67"/>
      <c r="D67"/>
      <c r="E67"/>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worksheet>
</file>

<file path=xl/worksheets/sheet14.xml><?xml version="1.0" encoding="utf-8"?>
<worksheet xmlns="http://schemas.openxmlformats.org/spreadsheetml/2006/main" xmlns:r="http://schemas.openxmlformats.org/officeDocument/2006/relationships">
  <dimension ref="A1:G138"/>
  <sheetViews>
    <sheetView zoomScale="75" zoomScaleNormal="75" zoomScalePageLayoutView="0" workbookViewId="0" topLeftCell="A85">
      <selection activeCell="D93" activeCellId="13" sqref="D19 D21 D33 D35 D40 D42 D54 D56 D61 D63 D68 D70 D91 D93"/>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205</v>
      </c>
      <c r="D1" s="10"/>
    </row>
    <row r="2" ht="13.5" thickBot="1"/>
    <row r="3" spans="1:6" ht="15.75">
      <c r="A3" s="300" t="str">
        <f>"Name of Utility:      "&amp;'Info Sheet'!B4</f>
        <v>Name of Utility:      Brant County Power</v>
      </c>
      <c r="B3" s="456"/>
      <c r="C3" s="467"/>
      <c r="D3" s="455" t="str">
        <f>'Info Sheet'!$B$21</f>
        <v>2005.V1.0</v>
      </c>
      <c r="E3" s="36"/>
      <c r="F3" s="14"/>
    </row>
    <row r="4" spans="1:6" ht="15.75">
      <c r="A4" s="302" t="str">
        <f>"License Number:   "&amp;'Info Sheet'!B6</f>
        <v>License Number:   ED 1999-0191</v>
      </c>
      <c r="B4" s="458"/>
      <c r="C4" s="388"/>
      <c r="D4" s="394" t="str">
        <f>'Info Sheet'!B8</f>
        <v>RP-2005-0013</v>
      </c>
      <c r="E4" s="36"/>
      <c r="F4" s="14"/>
    </row>
    <row r="5" spans="1:4" ht="15.75">
      <c r="A5" s="650" t="str">
        <f>"Name of Contact:  "&amp;'Info Sheet'!B12</f>
        <v>Name of Contact:  Grant Brooker</v>
      </c>
      <c r="B5" s="651"/>
      <c r="C5" s="651"/>
      <c r="D5" s="394" t="str">
        <f>'Info Sheet'!B10</f>
        <v>EB-2005-0009</v>
      </c>
    </row>
    <row r="6" spans="1:4" ht="15.75">
      <c r="A6" s="303" t="str">
        <f>"E- Mail Address:    "&amp;'Info Sheet'!B14</f>
        <v>E- Mail Address:    gbrooker@brantcountypower.com</v>
      </c>
      <c r="B6" s="458"/>
      <c r="C6" s="28"/>
      <c r="D6" s="463"/>
    </row>
    <row r="7" spans="1:4" ht="15.75">
      <c r="A7" s="302" t="str">
        <f>"Phone Number:     "&amp;'Info Sheet'!B16</f>
        <v>Phone Number:     519 442 2215</v>
      </c>
      <c r="B7" s="652" t="str">
        <f>'Info Sheet'!$C$16&amp;" "&amp;'Info Sheet'!$D$16</f>
        <v>Extension: 734</v>
      </c>
      <c r="C7" s="652"/>
      <c r="D7" s="463"/>
    </row>
    <row r="8" spans="1:4" ht="16.5" thickBot="1">
      <c r="A8" s="304" t="str">
        <f>"Date:                      "&amp;('Info Sheet'!B18)</f>
        <v>Date:                      January 17, 2005</v>
      </c>
      <c r="B8" s="460"/>
      <c r="C8" s="461"/>
      <c r="D8" s="464"/>
    </row>
    <row r="9" spans="1:3" ht="15.75">
      <c r="A9" s="28"/>
      <c r="B9" s="29"/>
      <c r="C9" s="27"/>
    </row>
    <row r="10" spans="1:5" ht="16.5" customHeight="1">
      <c r="A10" s="684" t="s">
        <v>189</v>
      </c>
      <c r="B10" s="684"/>
      <c r="C10" s="684"/>
      <c r="D10" s="684"/>
      <c r="E10" s="35"/>
    </row>
    <row r="11" spans="1:5" ht="16.5" customHeight="1">
      <c r="A11" s="684"/>
      <c r="B11" s="684"/>
      <c r="C11" s="684"/>
      <c r="D11" s="684"/>
      <c r="E11" s="35"/>
    </row>
    <row r="12" spans="1:5" ht="14.25" customHeight="1">
      <c r="A12" s="312" t="s">
        <v>57</v>
      </c>
      <c r="B12" s="385"/>
      <c r="C12" s="40"/>
      <c r="D12" s="310"/>
      <c r="E12" s="35"/>
    </row>
    <row r="13" spans="1:5" ht="6" customHeight="1">
      <c r="A13" s="649"/>
      <c r="B13" s="649"/>
      <c r="C13" s="649"/>
      <c r="D13" s="649"/>
      <c r="E13" s="649"/>
    </row>
    <row r="14" spans="1:5" ht="6" customHeight="1">
      <c r="A14" s="649"/>
      <c r="B14" s="649"/>
      <c r="C14" s="649"/>
      <c r="D14" s="649"/>
      <c r="E14" s="649"/>
    </row>
    <row r="15" spans="2:4" ht="6" customHeight="1">
      <c r="B15" s="39"/>
      <c r="C15" s="40"/>
      <c r="D15" s="310"/>
    </row>
    <row r="16" spans="2:6" ht="6" customHeight="1">
      <c r="B16" s="14"/>
      <c r="C16" s="14"/>
      <c r="D16" s="14"/>
      <c r="E16" s="14"/>
      <c r="F16" s="14"/>
    </row>
    <row r="17" spans="1:7" ht="18">
      <c r="A17" s="55" t="s">
        <v>215</v>
      </c>
      <c r="B17" s="52"/>
      <c r="C17" s="53"/>
      <c r="E17" s="15"/>
      <c r="G17" s="15"/>
    </row>
    <row r="18" spans="2:7" ht="12.75">
      <c r="B18" s="15"/>
      <c r="C18" s="15"/>
      <c r="D18" s="49"/>
      <c r="E18" s="15"/>
      <c r="F18" s="15"/>
      <c r="G18" s="15"/>
    </row>
    <row r="19" spans="1:7" ht="12.75">
      <c r="A19" s="109" t="s">
        <v>67</v>
      </c>
      <c r="B19" s="109"/>
      <c r="C19" s="110"/>
      <c r="D19" s="111">
        <v>0.016144395592515386</v>
      </c>
      <c r="E19" s="15"/>
      <c r="F19" s="15"/>
      <c r="G19" s="15"/>
    </row>
    <row r="20" spans="1:7" ht="12.75">
      <c r="A20" s="112"/>
      <c r="B20" s="112"/>
      <c r="C20" s="113"/>
      <c r="D20" s="113"/>
      <c r="E20" s="15"/>
      <c r="F20" s="15"/>
      <c r="G20" s="15"/>
    </row>
    <row r="21" spans="1:7" ht="12.75">
      <c r="A21" s="109" t="s">
        <v>68</v>
      </c>
      <c r="B21" s="109"/>
      <c r="C21" s="110"/>
      <c r="D21" s="114">
        <v>10.99</v>
      </c>
      <c r="E21" s="15"/>
      <c r="F21" s="15"/>
      <c r="G21" s="15"/>
    </row>
    <row r="22" spans="3:7" ht="12.75">
      <c r="C22" s="15"/>
      <c r="D22" s="15"/>
      <c r="E22" s="15"/>
      <c r="F22" s="15"/>
      <c r="G22" s="15"/>
    </row>
    <row r="23" spans="3:7" ht="12.75">
      <c r="C23" s="15"/>
      <c r="D23" s="15"/>
      <c r="E23" s="15"/>
      <c r="F23" s="15"/>
      <c r="G23" s="15"/>
    </row>
    <row r="24" spans="1:7" ht="18">
      <c r="A24" s="55" t="s">
        <v>2</v>
      </c>
      <c r="C24" s="53"/>
      <c r="D24" s="52"/>
      <c r="E24" s="15"/>
      <c r="F24" s="15"/>
      <c r="G24" s="15"/>
    </row>
    <row r="25" spans="3:7" ht="12.75">
      <c r="C25" s="15"/>
      <c r="D25" s="15"/>
      <c r="E25" s="15"/>
      <c r="F25" s="15"/>
      <c r="G25" s="15"/>
    </row>
    <row r="26" spans="1:7" ht="12.75">
      <c r="A26" s="109" t="s">
        <v>67</v>
      </c>
      <c r="B26" s="109"/>
      <c r="C26" s="110"/>
      <c r="D26" s="111"/>
      <c r="E26" s="15"/>
      <c r="F26" s="15"/>
      <c r="G26" s="15"/>
    </row>
    <row r="27" spans="1:7" ht="12.75">
      <c r="A27" s="112"/>
      <c r="B27" s="112"/>
      <c r="C27" s="113"/>
      <c r="D27" s="113"/>
      <c r="E27" s="15"/>
      <c r="F27" s="15"/>
      <c r="G27" s="15"/>
    </row>
    <row r="28" spans="1:7" ht="12.75">
      <c r="A28" s="109" t="s">
        <v>68</v>
      </c>
      <c r="B28" s="109"/>
      <c r="C28" s="110"/>
      <c r="D28" s="114"/>
      <c r="E28" s="15"/>
      <c r="F28" s="15"/>
      <c r="G28" s="15"/>
    </row>
    <row r="29" spans="3:7" ht="12.75">
      <c r="C29" s="15"/>
      <c r="D29" s="49"/>
      <c r="E29" s="15"/>
      <c r="F29" s="15"/>
      <c r="G29" s="15"/>
    </row>
    <row r="30" spans="3:7" ht="12.75">
      <c r="C30" s="15"/>
      <c r="D30" s="15"/>
      <c r="E30" s="15"/>
      <c r="F30" s="15"/>
      <c r="G30" s="15"/>
    </row>
    <row r="31" spans="1:7" ht="18">
      <c r="A31" s="55" t="s">
        <v>220</v>
      </c>
      <c r="C31" s="53"/>
      <c r="D31" s="52"/>
      <c r="E31" s="15"/>
      <c r="F31" s="15"/>
      <c r="G31" s="15"/>
    </row>
    <row r="32" spans="3:7" ht="12.75">
      <c r="C32" s="15"/>
      <c r="D32" s="15"/>
      <c r="E32" s="15"/>
      <c r="F32" s="15"/>
      <c r="G32" s="15"/>
    </row>
    <row r="33" spans="1:7" ht="12.75">
      <c r="A33" s="109" t="s">
        <v>67</v>
      </c>
      <c r="B33" s="34"/>
      <c r="C33" s="23"/>
      <c r="D33" s="107">
        <v>0.016708132186006242</v>
      </c>
      <c r="E33" s="15"/>
      <c r="F33" s="15"/>
      <c r="G33" s="15"/>
    </row>
    <row r="34" spans="1:7" ht="12.75">
      <c r="A34" s="112"/>
      <c r="C34" s="15"/>
      <c r="D34" s="15"/>
      <c r="E34" s="15"/>
      <c r="F34" s="15"/>
      <c r="G34" s="15"/>
    </row>
    <row r="35" spans="1:7" ht="12.75">
      <c r="A35" s="109" t="s">
        <v>68</v>
      </c>
      <c r="B35" s="34"/>
      <c r="C35" s="23"/>
      <c r="D35" s="108">
        <v>13.43</v>
      </c>
      <c r="E35" s="15"/>
      <c r="F35" s="15"/>
      <c r="G35" s="15"/>
    </row>
    <row r="36" spans="3:7" ht="12.75">
      <c r="C36" s="15"/>
      <c r="D36" s="15"/>
      <c r="E36" s="15"/>
      <c r="F36" s="15"/>
      <c r="G36" s="15"/>
    </row>
    <row r="37" spans="2:7" ht="12.75">
      <c r="B37" s="15"/>
      <c r="C37" s="15"/>
      <c r="D37" s="49"/>
      <c r="E37" s="15"/>
      <c r="F37" s="15"/>
      <c r="G37" s="15"/>
    </row>
    <row r="38" spans="1:7" ht="18">
      <c r="A38" s="55" t="s">
        <v>221</v>
      </c>
      <c r="B38" s="52"/>
      <c r="C38" s="53"/>
      <c r="D38" s="49"/>
      <c r="E38" s="15"/>
      <c r="F38" s="15"/>
      <c r="G38" s="15"/>
    </row>
    <row r="39" spans="2:7" ht="12.75">
      <c r="B39" s="15"/>
      <c r="C39" s="15"/>
      <c r="D39" s="49"/>
      <c r="E39" s="15"/>
      <c r="F39" s="15"/>
      <c r="G39" s="15"/>
    </row>
    <row r="40" spans="1:7" ht="12.75">
      <c r="A40" s="109" t="s">
        <v>69</v>
      </c>
      <c r="B40" s="34"/>
      <c r="C40" s="23"/>
      <c r="D40" s="107">
        <v>5.033051012484996</v>
      </c>
      <c r="E40" s="15"/>
      <c r="F40" s="15"/>
      <c r="G40" s="15"/>
    </row>
    <row r="41" spans="1:7" ht="12.75">
      <c r="A41" s="112"/>
      <c r="C41" s="15"/>
      <c r="D41" s="15"/>
      <c r="E41" s="15"/>
      <c r="F41" s="15"/>
      <c r="G41" s="15"/>
    </row>
    <row r="42" spans="1:7" ht="12.75">
      <c r="A42" s="109" t="s">
        <v>68</v>
      </c>
      <c r="B42" s="34"/>
      <c r="C42" s="23"/>
      <c r="D42" s="108">
        <v>24.9</v>
      </c>
      <c r="E42" s="15"/>
      <c r="F42" s="15"/>
      <c r="G42" s="15"/>
    </row>
    <row r="43" spans="2:7" ht="12.75">
      <c r="B43" s="15"/>
      <c r="C43" s="15"/>
      <c r="D43" s="49"/>
      <c r="E43" s="15"/>
      <c r="F43" s="15"/>
      <c r="G43" s="15"/>
    </row>
    <row r="44" spans="2:7" ht="12.75">
      <c r="B44" s="15"/>
      <c r="C44" s="15"/>
      <c r="D44" s="49"/>
      <c r="E44" s="15"/>
      <c r="F44" s="15"/>
      <c r="G44" s="15"/>
    </row>
    <row r="45" spans="1:7" ht="18">
      <c r="A45" s="55" t="s">
        <v>4</v>
      </c>
      <c r="B45" s="52"/>
      <c r="C45" s="53"/>
      <c r="D45" s="49"/>
      <c r="E45" s="15"/>
      <c r="F45" s="15"/>
      <c r="G45" s="15"/>
    </row>
    <row r="46" spans="1:7" ht="18">
      <c r="A46" s="8"/>
      <c r="B46" s="15"/>
      <c r="C46" s="15"/>
      <c r="D46" s="49"/>
      <c r="E46" s="15"/>
      <c r="F46" s="15"/>
      <c r="G46" s="15"/>
    </row>
    <row r="47" spans="1:7" ht="12.75">
      <c r="A47" s="109" t="s">
        <v>69</v>
      </c>
      <c r="B47" s="23"/>
      <c r="C47" s="23"/>
      <c r="D47" s="107"/>
      <c r="E47" s="15"/>
      <c r="F47" s="15"/>
      <c r="G47" s="15"/>
    </row>
    <row r="48" spans="1:7" ht="12.75">
      <c r="A48" s="112"/>
      <c r="B48" s="15"/>
      <c r="C48" s="15"/>
      <c r="D48" s="49"/>
      <c r="E48" s="15"/>
      <c r="F48" s="15"/>
      <c r="G48" s="15"/>
    </row>
    <row r="49" spans="1:7" ht="12.75">
      <c r="A49" s="109" t="s">
        <v>68</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213</v>
      </c>
      <c r="B52" s="15"/>
      <c r="C52" s="15"/>
      <c r="D52" s="49"/>
      <c r="E52" s="15"/>
      <c r="F52" s="15"/>
      <c r="G52" s="15"/>
    </row>
    <row r="53" spans="2:7" ht="12.75">
      <c r="B53" s="15"/>
      <c r="C53" s="15"/>
      <c r="D53" s="49"/>
      <c r="E53" s="15"/>
      <c r="F53" s="15"/>
      <c r="G53" s="15"/>
    </row>
    <row r="54" spans="1:7" ht="12.75">
      <c r="A54" s="109" t="s">
        <v>69</v>
      </c>
      <c r="B54" s="34"/>
      <c r="C54" s="23"/>
      <c r="D54" s="107">
        <v>1.0733</v>
      </c>
      <c r="E54" s="15"/>
      <c r="F54" s="15"/>
      <c r="G54" s="15"/>
    </row>
    <row r="55" spans="1:7" ht="12.75">
      <c r="A55" s="112"/>
      <c r="C55" s="15"/>
      <c r="D55" s="15"/>
      <c r="E55" s="15"/>
      <c r="F55" s="15"/>
      <c r="G55" s="15"/>
    </row>
    <row r="56" spans="1:7" ht="12.75">
      <c r="A56" s="109" t="s">
        <v>68</v>
      </c>
      <c r="B56" s="34"/>
      <c r="C56" s="23"/>
      <c r="D56" s="108">
        <v>40.04</v>
      </c>
      <c r="E56" s="15"/>
      <c r="F56" s="15"/>
      <c r="G56" s="15"/>
    </row>
    <row r="57" spans="2:7" ht="12.75">
      <c r="B57" s="15"/>
      <c r="C57" s="15"/>
      <c r="D57" s="49"/>
      <c r="E57" s="15"/>
      <c r="F57" s="15"/>
      <c r="G57" s="15"/>
    </row>
    <row r="58" spans="2:7" ht="12.75">
      <c r="B58" s="15"/>
      <c r="C58" s="15"/>
      <c r="D58" s="49"/>
      <c r="E58" s="15"/>
      <c r="F58" s="15"/>
      <c r="G58" s="15"/>
    </row>
    <row r="59" spans="1:7" ht="18">
      <c r="A59" s="55" t="s">
        <v>0</v>
      </c>
      <c r="B59" s="15"/>
      <c r="C59" s="15"/>
      <c r="D59" s="49"/>
      <c r="E59" s="15"/>
      <c r="F59" s="15"/>
      <c r="G59" s="15"/>
    </row>
    <row r="60" spans="2:7" ht="12.75">
      <c r="B60" s="15"/>
      <c r="C60" s="15"/>
      <c r="D60" s="49"/>
      <c r="E60" s="15"/>
      <c r="F60" s="15"/>
      <c r="G60" s="15"/>
    </row>
    <row r="61" spans="1:7" ht="12.75">
      <c r="A61" s="109" t="s">
        <v>69</v>
      </c>
      <c r="B61" s="23"/>
      <c r="C61" s="23"/>
      <c r="D61" s="107">
        <v>1.3827629215119934</v>
      </c>
      <c r="E61" s="15"/>
      <c r="F61" s="15"/>
      <c r="G61" s="15"/>
    </row>
    <row r="62" spans="1:7" ht="12.75">
      <c r="A62" s="112"/>
      <c r="B62" s="15"/>
      <c r="C62" s="15"/>
      <c r="D62" s="49"/>
      <c r="E62" s="15"/>
      <c r="F62" s="15"/>
      <c r="G62" s="15"/>
    </row>
    <row r="63" spans="1:7" ht="12.75">
      <c r="A63" s="109" t="s">
        <v>68</v>
      </c>
      <c r="B63" s="51"/>
      <c r="C63" s="23"/>
      <c r="D63" s="108">
        <v>224.71</v>
      </c>
      <c r="E63" s="15"/>
      <c r="F63" s="15"/>
      <c r="G63" s="15"/>
    </row>
    <row r="64" spans="2:7" ht="12.75">
      <c r="B64" s="15"/>
      <c r="C64" s="15"/>
      <c r="D64" s="49"/>
      <c r="E64" s="15"/>
      <c r="F64" s="15"/>
      <c r="G64" s="15"/>
    </row>
    <row r="65" spans="3:7" ht="12.75">
      <c r="C65" s="15"/>
      <c r="E65" s="15"/>
      <c r="F65" s="15"/>
      <c r="G65" s="15"/>
    </row>
    <row r="66" spans="1:7" ht="18">
      <c r="A66" s="55" t="s">
        <v>5</v>
      </c>
      <c r="B66" s="15"/>
      <c r="C66" s="15"/>
      <c r="D66" s="49"/>
      <c r="E66" s="15"/>
      <c r="F66" s="15"/>
      <c r="G66" s="15"/>
    </row>
    <row r="67" spans="2:7" ht="12.75">
      <c r="B67" s="15"/>
      <c r="C67" s="15"/>
      <c r="D67" s="49"/>
      <c r="E67" s="15"/>
      <c r="F67" s="15"/>
      <c r="G67" s="15"/>
    </row>
    <row r="68" spans="1:7" ht="12.75">
      <c r="A68" s="109" t="s">
        <v>69</v>
      </c>
      <c r="B68" s="34"/>
      <c r="C68" s="23"/>
      <c r="D68" s="107">
        <v>6.734506682583109</v>
      </c>
      <c r="E68" s="15"/>
      <c r="F68" s="15"/>
      <c r="G68" s="15"/>
    </row>
    <row r="69" spans="1:7" ht="12.75">
      <c r="A69" s="112"/>
      <c r="C69" s="15"/>
      <c r="D69" s="15"/>
      <c r="E69" s="15"/>
      <c r="F69" s="15"/>
      <c r="G69" s="15"/>
    </row>
    <row r="70" spans="1:7" ht="12.75">
      <c r="A70" s="109" t="s">
        <v>68</v>
      </c>
      <c r="B70" s="34"/>
      <c r="C70" s="23"/>
      <c r="D70" s="108">
        <v>1.71</v>
      </c>
      <c r="E70" s="15"/>
      <c r="F70" s="15"/>
      <c r="G70" s="15"/>
    </row>
    <row r="71" spans="2:7" ht="12.75">
      <c r="B71" s="15"/>
      <c r="C71" s="15"/>
      <c r="D71" s="49"/>
      <c r="E71" s="15"/>
      <c r="F71" s="15"/>
      <c r="G71" s="15"/>
    </row>
    <row r="72" spans="1:7" ht="12.75">
      <c r="A72" s="12" t="s">
        <v>6</v>
      </c>
      <c r="B72" s="15"/>
      <c r="C72" s="15"/>
      <c r="D72" s="49"/>
      <c r="E72" s="15"/>
      <c r="F72" s="15"/>
      <c r="G72" s="15"/>
    </row>
    <row r="73" spans="2:7" ht="12.75">
      <c r="B73" s="15"/>
      <c r="C73" s="15"/>
      <c r="D73" s="49"/>
      <c r="E73" s="15"/>
      <c r="F73" s="15"/>
      <c r="G73" s="15"/>
    </row>
    <row r="74" spans="1:7" ht="18">
      <c r="A74" s="55" t="s">
        <v>7</v>
      </c>
      <c r="B74" s="15"/>
      <c r="C74" s="15"/>
      <c r="D74" s="49"/>
      <c r="E74" s="15"/>
      <c r="F74" s="15"/>
      <c r="G74" s="15"/>
    </row>
    <row r="75" spans="2:7" ht="12.75">
      <c r="B75" s="15"/>
      <c r="C75" s="15"/>
      <c r="D75" s="49"/>
      <c r="E75" s="15"/>
      <c r="F75" s="15"/>
      <c r="G75" s="15"/>
    </row>
    <row r="76" spans="1:7" ht="12.75">
      <c r="A76" s="109" t="s">
        <v>69</v>
      </c>
      <c r="B76" s="23"/>
      <c r="C76" s="23"/>
      <c r="D76" s="107"/>
      <c r="E76" s="15"/>
      <c r="F76" s="15"/>
      <c r="G76" s="15"/>
    </row>
    <row r="77" spans="1:7" ht="12.75">
      <c r="A77" s="112"/>
      <c r="B77" s="15"/>
      <c r="C77" s="15"/>
      <c r="D77" s="49"/>
      <c r="E77" s="15"/>
      <c r="F77" s="15"/>
      <c r="G77" s="15"/>
    </row>
    <row r="78" spans="1:7" ht="12.75">
      <c r="A78" s="109" t="s">
        <v>68</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8</v>
      </c>
      <c r="B81" s="15"/>
      <c r="C81" s="15"/>
      <c r="D81" s="49"/>
      <c r="E81" s="15"/>
      <c r="F81" s="15"/>
      <c r="G81" s="15"/>
    </row>
    <row r="82" spans="2:7" ht="12.75">
      <c r="B82" s="15"/>
      <c r="C82" s="15"/>
      <c r="D82" s="49"/>
      <c r="E82" s="15"/>
      <c r="F82" s="15"/>
      <c r="G82" s="15"/>
    </row>
    <row r="83" spans="1:7" ht="12.75">
      <c r="A83" s="109" t="s">
        <v>69</v>
      </c>
      <c r="B83" s="34"/>
      <c r="C83" s="23"/>
      <c r="D83" s="107"/>
      <c r="E83" s="15"/>
      <c r="F83" s="15"/>
      <c r="G83" s="15"/>
    </row>
    <row r="84" spans="1:7" ht="12.75">
      <c r="A84" s="112"/>
      <c r="C84" s="15"/>
      <c r="D84" s="15"/>
      <c r="E84" s="15"/>
      <c r="F84" s="15"/>
      <c r="G84" s="15"/>
    </row>
    <row r="85" spans="1:7" ht="12.75">
      <c r="A85" s="109" t="s">
        <v>68</v>
      </c>
      <c r="B85" s="34"/>
      <c r="C85" s="23"/>
      <c r="D85" s="108"/>
      <c r="E85" s="15"/>
      <c r="F85" s="15"/>
      <c r="G85" s="15"/>
    </row>
    <row r="86" spans="2:7" ht="12.75">
      <c r="B86" s="15"/>
      <c r="C86" s="15"/>
      <c r="D86" s="49"/>
      <c r="E86" s="15"/>
      <c r="F86" s="15"/>
      <c r="G86" s="15"/>
    </row>
    <row r="87" spans="1:7" ht="12.75">
      <c r="A87" s="12" t="s">
        <v>6</v>
      </c>
      <c r="B87" s="15"/>
      <c r="C87" s="15"/>
      <c r="D87" s="49"/>
      <c r="E87" s="15"/>
      <c r="F87" s="15"/>
      <c r="G87" s="15"/>
    </row>
    <row r="88" spans="2:7" ht="12.75">
      <c r="B88" s="15"/>
      <c r="C88" s="15"/>
      <c r="D88" s="49"/>
      <c r="E88" s="15"/>
      <c r="F88" s="15"/>
      <c r="G88" s="15"/>
    </row>
    <row r="89" spans="1:7" ht="18">
      <c r="A89" s="55" t="s">
        <v>9</v>
      </c>
      <c r="B89" s="15"/>
      <c r="C89" s="15"/>
      <c r="D89" s="49"/>
      <c r="E89" s="15"/>
      <c r="F89" s="15"/>
      <c r="G89" s="15"/>
    </row>
    <row r="90" spans="2:7" ht="12.75">
      <c r="B90" s="15"/>
      <c r="C90" s="15"/>
      <c r="D90" s="6"/>
      <c r="E90" s="15"/>
      <c r="F90" s="15"/>
      <c r="G90" s="15"/>
    </row>
    <row r="91" spans="1:7" ht="12.75">
      <c r="A91" s="109" t="s">
        <v>69</v>
      </c>
      <c r="B91" s="23"/>
      <c r="C91" s="23"/>
      <c r="D91" s="107">
        <v>4.751157415336349</v>
      </c>
      <c r="E91" s="15"/>
      <c r="F91" s="15"/>
      <c r="G91" s="15"/>
    </row>
    <row r="92" spans="1:7" ht="12.75">
      <c r="A92" s="112"/>
      <c r="B92" s="15"/>
      <c r="C92" s="15"/>
      <c r="D92" s="49"/>
      <c r="E92" s="15"/>
      <c r="F92" s="15"/>
      <c r="G92" s="15"/>
    </row>
    <row r="93" spans="1:7" ht="12.75">
      <c r="A93" s="109" t="s">
        <v>68</v>
      </c>
      <c r="B93" s="51"/>
      <c r="C93" s="23"/>
      <c r="D93" s="108">
        <v>0.67</v>
      </c>
      <c r="E93" s="15"/>
      <c r="F93" s="15"/>
      <c r="G93" s="15"/>
    </row>
    <row r="94" spans="2:7" ht="12.75">
      <c r="B94" s="15"/>
      <c r="C94" s="15"/>
      <c r="D94" s="49"/>
      <c r="E94" s="15"/>
      <c r="F94" s="15"/>
      <c r="G94" s="15"/>
    </row>
    <row r="96" spans="1:3" ht="18">
      <c r="A96" s="55" t="s">
        <v>216</v>
      </c>
      <c r="B96" s="52"/>
      <c r="C96" s="53"/>
    </row>
    <row r="97" spans="2:4" ht="12.75">
      <c r="B97" s="15"/>
      <c r="C97" s="15"/>
      <c r="D97" s="49"/>
    </row>
    <row r="98" spans="1:4" ht="12.75">
      <c r="A98" s="109" t="s">
        <v>67</v>
      </c>
      <c r="B98" s="109"/>
      <c r="C98" s="110"/>
      <c r="D98" s="111"/>
    </row>
    <row r="99" spans="1:4" ht="12.75">
      <c r="A99" s="112"/>
      <c r="B99" s="112"/>
      <c r="C99" s="113"/>
      <c r="D99" s="113"/>
    </row>
    <row r="100" spans="1:4" ht="12.75">
      <c r="A100" s="109" t="s">
        <v>68</v>
      </c>
      <c r="B100" s="109"/>
      <c r="C100" s="110"/>
      <c r="D100" s="114"/>
    </row>
    <row r="103" spans="1:4" ht="18">
      <c r="A103" s="55" t="s">
        <v>217</v>
      </c>
      <c r="C103" s="53"/>
      <c r="D103" s="52"/>
    </row>
    <row r="104" spans="3:4" ht="12.75">
      <c r="C104" s="15"/>
      <c r="D104" s="15"/>
    </row>
    <row r="105" spans="1:4" ht="12.75">
      <c r="A105" s="109" t="s">
        <v>67</v>
      </c>
      <c r="B105" s="34"/>
      <c r="C105" s="23"/>
      <c r="D105" s="107"/>
    </row>
    <row r="106" spans="1:4" ht="12.75">
      <c r="A106" s="112"/>
      <c r="C106" s="15"/>
      <c r="D106" s="15"/>
    </row>
    <row r="107" spans="1:4" ht="12.75">
      <c r="A107" s="109" t="s">
        <v>68</v>
      </c>
      <c r="B107" s="34"/>
      <c r="C107" s="23"/>
      <c r="D107" s="108"/>
    </row>
    <row r="108" spans="3:4" ht="12.75">
      <c r="C108" s="15"/>
      <c r="D108" s="15"/>
    </row>
    <row r="109" spans="2:4" ht="12.75">
      <c r="B109" s="15"/>
      <c r="C109" s="15"/>
      <c r="D109" s="49"/>
    </row>
    <row r="110" spans="1:4" ht="18">
      <c r="A110" s="55" t="s">
        <v>218</v>
      </c>
      <c r="B110" s="52"/>
      <c r="C110" s="53"/>
      <c r="D110" s="49"/>
    </row>
    <row r="111" spans="2:4" ht="12.75">
      <c r="B111" s="15"/>
      <c r="C111" s="15"/>
      <c r="D111" s="49"/>
    </row>
    <row r="112" spans="1:4" ht="12.75">
      <c r="A112" s="109" t="s">
        <v>69</v>
      </c>
      <c r="B112" s="34"/>
      <c r="C112" s="23"/>
      <c r="D112" s="107"/>
    </row>
    <row r="113" spans="1:4" ht="12.75">
      <c r="A113" s="112"/>
      <c r="C113" s="15"/>
      <c r="D113" s="15"/>
    </row>
    <row r="114" spans="1:4" ht="12.75">
      <c r="A114" s="109" t="s">
        <v>68</v>
      </c>
      <c r="B114" s="34"/>
      <c r="C114" s="23"/>
      <c r="D114" s="108"/>
    </row>
    <row r="117" spans="1:3" ht="18">
      <c r="A117" s="55" t="s">
        <v>219</v>
      </c>
      <c r="B117" s="52"/>
      <c r="C117" s="53"/>
    </row>
    <row r="118" spans="2:4" ht="12.75">
      <c r="B118" s="15"/>
      <c r="C118" s="15"/>
      <c r="D118" s="49"/>
    </row>
    <row r="119" spans="1:4" ht="12.75">
      <c r="A119" s="109" t="s">
        <v>67</v>
      </c>
      <c r="B119" s="109"/>
      <c r="C119" s="110"/>
      <c r="D119" s="111"/>
    </row>
    <row r="120" spans="1:4" ht="12.75">
      <c r="A120" s="112"/>
      <c r="B120" s="112"/>
      <c r="C120" s="113"/>
      <c r="D120" s="113"/>
    </row>
    <row r="121" spans="1:4" ht="12.75">
      <c r="A121" s="109" t="s">
        <v>68</v>
      </c>
      <c r="B121" s="109"/>
      <c r="C121" s="110"/>
      <c r="D121" s="114"/>
    </row>
    <row r="125" spans="1:5" ht="18">
      <c r="A125" s="520" t="s">
        <v>254</v>
      </c>
      <c r="B125" s="521"/>
      <c r="C125" s="521"/>
      <c r="D125" s="522"/>
      <c r="E125" s="521"/>
    </row>
    <row r="126" spans="1:5" ht="15">
      <c r="A126" s="524"/>
      <c r="B126" s="523"/>
      <c r="C126" s="521"/>
      <c r="D126" s="522"/>
      <c r="E126" s="521"/>
    </row>
    <row r="127" spans="1:5" ht="25.5">
      <c r="A127" s="527" t="s">
        <v>255</v>
      </c>
      <c r="B127" s="528"/>
      <c r="C127" s="521"/>
      <c r="D127" s="525" t="s">
        <v>23</v>
      </c>
      <c r="E127" s="537">
        <v>0.015</v>
      </c>
    </row>
    <row r="128" spans="1:5" ht="15">
      <c r="A128" s="528"/>
      <c r="B128" s="528"/>
      <c r="C128" s="521"/>
      <c r="D128" t="s">
        <v>256</v>
      </c>
      <c r="E128" s="538">
        <v>19.56</v>
      </c>
    </row>
    <row r="129" spans="1:5" ht="15" customHeight="1">
      <c r="A129" t="s">
        <v>257</v>
      </c>
      <c r="B129" s="526"/>
      <c r="C129" s="526"/>
      <c r="D129" s="4"/>
      <c r="E129" s="3">
        <v>8.55</v>
      </c>
    </row>
    <row r="130" spans="1:5" ht="15">
      <c r="A130" t="s">
        <v>258</v>
      </c>
      <c r="B130" s="526"/>
      <c r="C130" s="526"/>
      <c r="D130" s="4"/>
      <c r="E130" s="3">
        <v>8.8</v>
      </c>
    </row>
    <row r="131" spans="1:5" ht="15">
      <c r="A131" t="s">
        <v>259</v>
      </c>
      <c r="B131" s="521"/>
      <c r="C131" s="526"/>
      <c r="D131" s="4"/>
      <c r="E131" s="3">
        <v>8.8</v>
      </c>
    </row>
    <row r="132" spans="1:5" ht="15">
      <c r="A132" t="s">
        <v>260</v>
      </c>
      <c r="B132" s="524"/>
      <c r="C132" s="521"/>
      <c r="D132" s="4"/>
      <c r="E132" s="3">
        <v>8.8</v>
      </c>
    </row>
    <row r="133" spans="1:5" ht="15">
      <c r="A133" t="s">
        <v>261</v>
      </c>
      <c r="B133"/>
      <c r="C133" s="524"/>
      <c r="D133" s="4"/>
      <c r="E133" s="3">
        <v>10.7</v>
      </c>
    </row>
    <row r="134" spans="1:5" ht="12.75">
      <c r="A134" s="1" t="s">
        <v>262</v>
      </c>
      <c r="B134"/>
      <c r="C134"/>
      <c r="D134" s="4"/>
      <c r="E134" s="538"/>
    </row>
    <row r="135" spans="1:5" ht="12.75">
      <c r="A135" t="s">
        <v>263</v>
      </c>
      <c r="B135"/>
      <c r="C135"/>
      <c r="D135" s="4"/>
      <c r="E135" s="3" t="s">
        <v>264</v>
      </c>
    </row>
    <row r="136" spans="1:5" ht="12.75">
      <c r="A136" s="1"/>
      <c r="B136"/>
      <c r="C136"/>
      <c r="D136" s="4"/>
      <c r="E136"/>
    </row>
    <row r="137" spans="1:5" ht="12.75">
      <c r="A137"/>
      <c r="B137"/>
      <c r="C137"/>
      <c r="D137" s="4"/>
      <c r="E137"/>
    </row>
    <row r="138" spans="1:5" ht="12.75">
      <c r="A138"/>
      <c r="B138"/>
      <c r="C138"/>
      <c r="D138"/>
      <c r="E138"/>
    </row>
  </sheetData>
  <sheetProtection/>
  <mergeCells count="4">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5.xml><?xml version="1.0" encoding="utf-8"?>
<worksheet xmlns="http://schemas.openxmlformats.org/spreadsheetml/2006/main" xmlns:r="http://schemas.openxmlformats.org/officeDocument/2006/relationships">
  <dimension ref="A1:O638"/>
  <sheetViews>
    <sheetView tabSelected="1" zoomScale="75" zoomScaleNormal="75" zoomScalePageLayoutView="0" workbookViewId="0" topLeftCell="A305">
      <selection activeCell="P332" sqref="P332"/>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2.7109375" style="9" bestFit="1" customWidth="1"/>
    <col min="6" max="6" width="17.28125" style="9" bestFit="1" customWidth="1"/>
    <col min="7" max="7" width="1.57421875" style="9" customWidth="1"/>
    <col min="8" max="8" width="16.140625" style="9" customWidth="1"/>
    <col min="9" max="9" width="11.57421875" style="9" bestFit="1" customWidth="1"/>
    <col min="10" max="10" width="12.57421875" style="9" bestFit="1" customWidth="1"/>
    <col min="11" max="11" width="17.7109375" style="9" bestFit="1" customWidth="1"/>
    <col min="12" max="12" width="0.85546875" style="9" customWidth="1"/>
    <col min="13" max="13" width="16.57421875" style="9" bestFit="1" customWidth="1"/>
    <col min="14" max="14" width="10.421875" style="157" bestFit="1" customWidth="1"/>
    <col min="15" max="16384" width="9.140625" style="9" customWidth="1"/>
  </cols>
  <sheetData>
    <row r="1" spans="1:14" ht="28.5" customHeight="1">
      <c r="A1" s="685" t="s">
        <v>190</v>
      </c>
      <c r="B1" s="685"/>
      <c r="C1" s="685"/>
      <c r="D1" s="685"/>
      <c r="E1" s="685"/>
      <c r="F1" s="685"/>
      <c r="G1" s="685"/>
      <c r="H1" s="685"/>
      <c r="I1" s="685"/>
      <c r="J1" s="685"/>
      <c r="K1" s="685"/>
      <c r="L1" s="685"/>
      <c r="M1" s="685"/>
      <c r="N1" s="685"/>
    </row>
    <row r="2" spans="1:14" ht="3.75" customHeight="1">
      <c r="A2" s="376"/>
      <c r="B2" s="376"/>
      <c r="C2" s="376"/>
      <c r="D2" s="376"/>
      <c r="E2" s="692"/>
      <c r="F2" s="692"/>
      <c r="G2" s="376"/>
      <c r="H2" s="376"/>
      <c r="I2" s="158"/>
      <c r="J2" s="158"/>
      <c r="K2" s="159"/>
      <c r="L2" s="158"/>
      <c r="M2" s="158"/>
      <c r="N2" s="160"/>
    </row>
    <row r="3" spans="1:14" ht="18.75" thickBot="1">
      <c r="A3" s="377"/>
      <c r="B3" s="31"/>
      <c r="C3" s="31"/>
      <c r="D3" s="31"/>
      <c r="E3" s="31"/>
      <c r="F3" s="31"/>
      <c r="G3" s="31"/>
      <c r="H3" s="31"/>
      <c r="N3" s="9"/>
    </row>
    <row r="4" spans="1:14" ht="15.75">
      <c r="A4" s="676" t="str">
        <f>"Name of Utility:      "&amp;'Info Sheet'!B4</f>
        <v>Name of Utility:      Brant County Power</v>
      </c>
      <c r="B4" s="688"/>
      <c r="C4" s="688"/>
      <c r="D4" s="688"/>
      <c r="E4" s="688"/>
      <c r="F4" s="468"/>
      <c r="G4" s="690" t="s">
        <v>192</v>
      </c>
      <c r="H4" s="691"/>
      <c r="N4" s="9"/>
    </row>
    <row r="5" spans="1:14" ht="15.75">
      <c r="A5" s="634" t="str">
        <f>"License Number:   "&amp;'Info Sheet'!B6</f>
        <v>License Number:   ED 1999-0191</v>
      </c>
      <c r="B5" s="689"/>
      <c r="C5" s="689"/>
      <c r="D5" s="689"/>
      <c r="E5" s="689"/>
      <c r="F5" s="26"/>
      <c r="G5" s="469"/>
      <c r="H5" s="394" t="str">
        <f>'Info Sheet'!B8</f>
        <v>RP-2005-0013</v>
      </c>
      <c r="N5" s="9"/>
    </row>
    <row r="6" spans="1:14" ht="15.75">
      <c r="A6" s="634" t="str">
        <f>"Name of Contact:  "&amp;'Info Sheet'!B12</f>
        <v>Name of Contact:  Grant Brooker</v>
      </c>
      <c r="B6" s="689"/>
      <c r="C6" s="689"/>
      <c r="D6" s="689"/>
      <c r="E6" s="689"/>
      <c r="F6" s="459"/>
      <c r="G6" s="459"/>
      <c r="H6" s="394" t="str">
        <f>'Info Sheet'!B10</f>
        <v>EB-2005-0009</v>
      </c>
      <c r="N6" s="9"/>
    </row>
    <row r="7" spans="1:14" ht="15.75">
      <c r="A7" s="687" t="str">
        <f>"E- Mail Address:    "&amp;'Info Sheet'!B14</f>
        <v>E- Mail Address:    gbrooker@brantcountypower.com</v>
      </c>
      <c r="B7" s="652"/>
      <c r="C7" s="652"/>
      <c r="D7" s="652"/>
      <c r="E7" s="652"/>
      <c r="F7" s="652"/>
      <c r="G7" s="459"/>
      <c r="H7" s="463"/>
      <c r="N7" s="9"/>
    </row>
    <row r="8" spans="1:14" ht="15.75">
      <c r="A8" s="650" t="str">
        <f>"Phone Number:     "&amp;'Info Sheet'!B16</f>
        <v>Phone Number:     519 442 2215</v>
      </c>
      <c r="B8" s="651"/>
      <c r="C8" s="651"/>
      <c r="D8" s="651"/>
      <c r="E8" s="652" t="str">
        <f>'Info Sheet'!$C$16&amp;" "&amp;'Info Sheet'!$D$16</f>
        <v>Extension: 734</v>
      </c>
      <c r="F8" s="652"/>
      <c r="G8" s="459"/>
      <c r="H8" s="463"/>
      <c r="N8" s="9"/>
    </row>
    <row r="9" spans="1:14" ht="16.5" thickBot="1">
      <c r="A9" s="636" t="str">
        <f>"Date:                         "&amp;('Info Sheet'!B18)</f>
        <v>Date:                         January 17, 2005</v>
      </c>
      <c r="B9" s="686"/>
      <c r="C9" s="686"/>
      <c r="D9" s="686"/>
      <c r="E9" s="686"/>
      <c r="F9" s="470"/>
      <c r="G9" s="470"/>
      <c r="H9" s="464"/>
      <c r="N9" s="9"/>
    </row>
    <row r="10" spans="1:14" ht="15.75">
      <c r="A10" s="355"/>
      <c r="B10" s="356"/>
      <c r="C10" s="356"/>
      <c r="D10" s="356"/>
      <c r="E10" s="356"/>
      <c r="N10" s="9"/>
    </row>
    <row r="11" spans="1:11" ht="25.5">
      <c r="A11" s="386" t="s">
        <v>191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733" t="s">
        <v>242</v>
      </c>
      <c r="B13" s="733"/>
      <c r="C13" s="733"/>
      <c r="D13" s="733"/>
      <c r="E13" s="635"/>
      <c r="F13" s="163"/>
      <c r="H13" s="163"/>
      <c r="I13" s="163"/>
      <c r="J13" s="163"/>
      <c r="K13" s="163"/>
      <c r="L13" s="163"/>
      <c r="M13" s="163"/>
      <c r="N13" s="163"/>
    </row>
    <row r="14" spans="1:11" ht="18">
      <c r="A14" s="55"/>
      <c r="B14" s="131"/>
      <c r="D14" s="31"/>
      <c r="E14" s="682"/>
      <c r="F14" s="682"/>
      <c r="K14" s="162"/>
    </row>
    <row r="15" spans="1:11" ht="15.75">
      <c r="A15" s="141" t="s">
        <v>90</v>
      </c>
      <c r="B15" s="164"/>
      <c r="C15" s="140"/>
      <c r="D15" s="69"/>
      <c r="E15" s="165"/>
      <c r="F15" s="165"/>
      <c r="G15" s="140"/>
      <c r="H15" s="140"/>
      <c r="I15" s="140"/>
      <c r="J15" s="140"/>
      <c r="K15" s="166"/>
    </row>
    <row r="16" spans="1:11" ht="15.75">
      <c r="A16" s="141" t="s">
        <v>47</v>
      </c>
      <c r="B16" s="164"/>
      <c r="C16" s="140"/>
      <c r="D16" s="69"/>
      <c r="E16" s="165"/>
      <c r="F16" s="165"/>
      <c r="G16" s="140"/>
      <c r="H16" s="140"/>
      <c r="I16" s="140"/>
      <c r="J16" s="140"/>
      <c r="K16" s="166"/>
    </row>
    <row r="17" spans="1:11" ht="15.75">
      <c r="A17" s="141" t="s">
        <v>49</v>
      </c>
      <c r="B17" s="164"/>
      <c r="C17" s="140"/>
      <c r="D17" s="69"/>
      <c r="E17" s="165"/>
      <c r="F17" s="165"/>
      <c r="G17" s="69"/>
      <c r="H17" s="140"/>
      <c r="I17" s="140"/>
      <c r="J17" s="140"/>
      <c r="K17" s="166"/>
    </row>
    <row r="18" spans="5:11" ht="9" customHeight="1" thickBot="1">
      <c r="E18" s="682"/>
      <c r="F18" s="682"/>
      <c r="G18" s="31"/>
      <c r="K18" s="162"/>
    </row>
    <row r="19" spans="1:14" ht="15.75" customHeight="1">
      <c r="A19" s="11"/>
      <c r="C19" s="693" t="s">
        <v>94</v>
      </c>
      <c r="D19" s="694"/>
      <c r="E19" s="694"/>
      <c r="F19" s="695"/>
      <c r="G19" s="167"/>
      <c r="H19" s="693" t="s">
        <v>95</v>
      </c>
      <c r="I19" s="694"/>
      <c r="J19" s="694"/>
      <c r="K19" s="694"/>
      <c r="L19" s="694"/>
      <c r="M19" s="694"/>
      <c r="N19" s="695"/>
    </row>
    <row r="20" spans="1:15" ht="13.5" customHeight="1" thickBot="1">
      <c r="A20"/>
      <c r="C20" s="696"/>
      <c r="D20" s="697"/>
      <c r="E20" s="697"/>
      <c r="F20" s="698"/>
      <c r="G20" s="168"/>
      <c r="H20" s="696"/>
      <c r="I20" s="697"/>
      <c r="J20" s="697"/>
      <c r="K20" s="697"/>
      <c r="L20" s="697"/>
      <c r="M20" s="697"/>
      <c r="N20" s="698"/>
      <c r="O20" s="31"/>
    </row>
    <row r="21" spans="1:14" ht="48.75" customHeight="1" thickBot="1">
      <c r="A21" s="169" t="s">
        <v>75</v>
      </c>
      <c r="B21" s="170"/>
      <c r="C21" s="705"/>
      <c r="D21" s="699" t="s">
        <v>11</v>
      </c>
      <c r="E21" s="701" t="s">
        <v>76</v>
      </c>
      <c r="F21" s="703" t="s">
        <v>197</v>
      </c>
      <c r="G21" s="167"/>
      <c r="H21" s="171"/>
      <c r="I21" s="699" t="s">
        <v>11</v>
      </c>
      <c r="J21" s="701" t="s">
        <v>76</v>
      </c>
      <c r="K21" s="703" t="s">
        <v>197</v>
      </c>
      <c r="L21" s="170"/>
      <c r="M21" s="716" t="s">
        <v>196</v>
      </c>
      <c r="N21" s="718" t="s">
        <v>77</v>
      </c>
    </row>
    <row r="22" spans="1:14" ht="13.5" thickBot="1">
      <c r="A22" s="172">
        <v>100</v>
      </c>
      <c r="B22" s="31"/>
      <c r="C22" s="706"/>
      <c r="D22" s="700"/>
      <c r="E22" s="702"/>
      <c r="F22" s="704"/>
      <c r="G22" s="168"/>
      <c r="H22" s="31"/>
      <c r="I22" s="714"/>
      <c r="J22" s="715"/>
      <c r="K22" s="704"/>
      <c r="L22" s="32"/>
      <c r="M22" s="717"/>
      <c r="N22" s="719"/>
    </row>
    <row r="23" spans="1:14" ht="25.5">
      <c r="A23" s="173"/>
      <c r="B23" s="31"/>
      <c r="C23" s="449" t="s">
        <v>21</v>
      </c>
      <c r="D23" s="175" t="s">
        <v>78</v>
      </c>
      <c r="E23" s="176" t="s">
        <v>78</v>
      </c>
      <c r="F23" s="235">
        <f>'12. Current Rates'!D21</f>
        <v>10.99</v>
      </c>
      <c r="G23" s="168"/>
      <c r="H23" s="452" t="s">
        <v>21</v>
      </c>
      <c r="I23" s="175" t="s">
        <v>78</v>
      </c>
      <c r="J23" s="175" t="s">
        <v>78</v>
      </c>
      <c r="K23" s="235">
        <f>'11. 2005 Final Rate Schedule '!F13</f>
        <v>10.139451099306044</v>
      </c>
      <c r="L23" s="180"/>
      <c r="M23" s="720"/>
      <c r="N23" s="721"/>
    </row>
    <row r="24" spans="1:14" ht="26.25" thickBot="1">
      <c r="A24" s="86"/>
      <c r="B24" s="31"/>
      <c r="C24" s="450" t="s">
        <v>79</v>
      </c>
      <c r="D24" s="236">
        <f>A22</f>
        <v>100</v>
      </c>
      <c r="E24" s="438">
        <f>'12. Current Rates'!D19</f>
        <v>0.016144395592515386</v>
      </c>
      <c r="F24" s="351">
        <f>D24*E24</f>
        <v>1.6144395592515386</v>
      </c>
      <c r="G24" s="168"/>
      <c r="H24" s="453" t="s">
        <v>79</v>
      </c>
      <c r="I24" s="182">
        <f>D24</f>
        <v>100</v>
      </c>
      <c r="J24" s="444">
        <f>'11. 2005 Final Rate Schedule '!F14</f>
        <v>0.017723745596173617</v>
      </c>
      <c r="K24" s="237">
        <f>I24*J24</f>
        <v>1.7723745596173617</v>
      </c>
      <c r="L24" s="180"/>
      <c r="M24" s="722"/>
      <c r="N24" s="723"/>
    </row>
    <row r="25" spans="1:14" ht="13.5" thickBot="1">
      <c r="A25" s="86"/>
      <c r="B25" s="31"/>
      <c r="C25" s="707"/>
      <c r="D25" s="708"/>
      <c r="E25" s="188" t="s">
        <v>51</v>
      </c>
      <c r="F25" s="372">
        <f>SUM(F23:F24)</f>
        <v>12.604439559251539</v>
      </c>
      <c r="G25" s="168"/>
      <c r="H25" s="709"/>
      <c r="I25" s="710"/>
      <c r="J25" s="188" t="s">
        <v>80</v>
      </c>
      <c r="K25" s="190">
        <f>SUM(K23:K24)</f>
        <v>11.911825658923405</v>
      </c>
      <c r="L25" s="180"/>
      <c r="M25" s="191">
        <f>K25-F25</f>
        <v>-0.6926139003281335</v>
      </c>
      <c r="N25" s="192">
        <f>M25/F25</f>
        <v>-0.05494999575921339</v>
      </c>
    </row>
    <row r="26" spans="1:14" ht="27" customHeight="1">
      <c r="A26" s="86"/>
      <c r="B26" s="31"/>
      <c r="C26" s="450" t="s">
        <v>81</v>
      </c>
      <c r="D26" s="182">
        <f>A22</f>
        <v>100</v>
      </c>
      <c r="E26" s="439">
        <v>0.0239</v>
      </c>
      <c r="F26" s="373">
        <f>D26*E26</f>
        <v>2.39</v>
      </c>
      <c r="G26" s="168"/>
      <c r="H26" s="453" t="s">
        <v>81</v>
      </c>
      <c r="I26" s="182">
        <f aca="true" t="shared" si="0" ref="I26:K27">D26</f>
        <v>100</v>
      </c>
      <c r="J26" s="445">
        <f t="shared" si="0"/>
        <v>0.0239</v>
      </c>
      <c r="K26" s="239">
        <f t="shared" si="0"/>
        <v>2.39</v>
      </c>
      <c r="L26" s="180"/>
      <c r="M26" s="720"/>
      <c r="N26" s="721"/>
    </row>
    <row r="27" spans="1:14" ht="25.5" customHeight="1" thickBot="1">
      <c r="A27" s="86"/>
      <c r="B27" s="31"/>
      <c r="C27" s="451" t="s">
        <v>82</v>
      </c>
      <c r="D27" s="182">
        <f>A22</f>
        <v>100</v>
      </c>
      <c r="E27" s="440">
        <v>0.047</v>
      </c>
      <c r="F27" s="351">
        <f>D27*E27</f>
        <v>4.7</v>
      </c>
      <c r="G27" s="168"/>
      <c r="H27" s="454" t="s">
        <v>82</v>
      </c>
      <c r="I27" s="446">
        <f t="shared" si="0"/>
        <v>100</v>
      </c>
      <c r="J27" s="447">
        <f t="shared" si="0"/>
        <v>0.047</v>
      </c>
      <c r="K27" s="243">
        <f t="shared" si="0"/>
        <v>4.7</v>
      </c>
      <c r="L27" s="180"/>
      <c r="M27" s="724"/>
      <c r="N27" s="725"/>
    </row>
    <row r="28" spans="1:14" ht="7.5" customHeight="1" thickBot="1">
      <c r="A28" s="86"/>
      <c r="B28" s="31"/>
      <c r="C28" s="711"/>
      <c r="D28" s="712"/>
      <c r="E28" s="712"/>
      <c r="F28" s="713"/>
      <c r="G28" s="168"/>
      <c r="H28" s="712"/>
      <c r="I28" s="712"/>
      <c r="J28" s="712"/>
      <c r="K28" s="713"/>
      <c r="L28" s="31"/>
      <c r="M28" s="86"/>
      <c r="N28" s="203"/>
    </row>
    <row r="29" spans="1:14" ht="13.5" thickBot="1">
      <c r="A29" s="94"/>
      <c r="B29" s="149"/>
      <c r="C29" s="204" t="s">
        <v>83</v>
      </c>
      <c r="D29" s="205"/>
      <c r="E29" s="205"/>
      <c r="F29" s="190">
        <f>SUM(F26:F27,F25)</f>
        <v>19.69443955925154</v>
      </c>
      <c r="G29" s="207"/>
      <c r="H29" s="728" t="s">
        <v>84</v>
      </c>
      <c r="I29" s="728"/>
      <c r="J29" s="728"/>
      <c r="K29" s="190">
        <f>SUM(K25:K27)</f>
        <v>19.001825658923405</v>
      </c>
      <c r="L29" s="208"/>
      <c r="M29" s="191">
        <f>K29-F29</f>
        <v>-0.6926139003281335</v>
      </c>
      <c r="N29" s="192">
        <f>M29/F29</f>
        <v>-0.035167992378984735</v>
      </c>
    </row>
    <row r="30" ht="12.75">
      <c r="K30" s="162"/>
    </row>
    <row r="31" spans="6:11" ht="13.5" thickBot="1">
      <c r="F31" s="162"/>
      <c r="K31" s="162"/>
    </row>
    <row r="32" spans="1:14" ht="60.75" thickBot="1">
      <c r="A32" s="169" t="s">
        <v>75</v>
      </c>
      <c r="B32" s="170"/>
      <c r="C32" s="705"/>
      <c r="D32" s="699" t="s">
        <v>11</v>
      </c>
      <c r="E32" s="701" t="s">
        <v>76</v>
      </c>
      <c r="F32" s="703" t="s">
        <v>197</v>
      </c>
      <c r="G32" s="167"/>
      <c r="H32" s="171"/>
      <c r="I32" s="699" t="s">
        <v>11</v>
      </c>
      <c r="J32" s="701" t="s">
        <v>76</v>
      </c>
      <c r="K32" s="703" t="s">
        <v>197</v>
      </c>
      <c r="L32" s="170"/>
      <c r="M32" s="716" t="s">
        <v>196</v>
      </c>
      <c r="N32" s="718" t="s">
        <v>77</v>
      </c>
    </row>
    <row r="33" spans="1:14" ht="13.5" thickBot="1">
      <c r="A33" s="172">
        <v>250</v>
      </c>
      <c r="B33" s="31"/>
      <c r="C33" s="706"/>
      <c r="D33" s="700"/>
      <c r="E33" s="702"/>
      <c r="F33" s="704"/>
      <c r="G33" s="168"/>
      <c r="H33" s="31"/>
      <c r="I33" s="714"/>
      <c r="J33" s="715"/>
      <c r="K33" s="704"/>
      <c r="L33" s="32"/>
      <c r="M33" s="717"/>
      <c r="N33" s="719"/>
    </row>
    <row r="34" spans="1:14" ht="25.5">
      <c r="A34" s="173"/>
      <c r="B34" s="31"/>
      <c r="C34" s="174" t="s">
        <v>21</v>
      </c>
      <c r="D34" s="175" t="s">
        <v>78</v>
      </c>
      <c r="E34" s="176" t="s">
        <v>78</v>
      </c>
      <c r="F34" s="235">
        <f>F23</f>
        <v>10.99</v>
      </c>
      <c r="G34" s="168"/>
      <c r="H34" s="178" t="s">
        <v>21</v>
      </c>
      <c r="I34" s="209" t="str">
        <f>D34</f>
        <v>N/A</v>
      </c>
      <c r="J34" s="179" t="s">
        <v>78</v>
      </c>
      <c r="K34" s="228">
        <f>$K$23</f>
        <v>10.139451099306044</v>
      </c>
      <c r="L34" s="180"/>
      <c r="M34" s="720"/>
      <c r="N34" s="721"/>
    </row>
    <row r="35" spans="1:14" ht="26.25" thickBot="1">
      <c r="A35" s="86"/>
      <c r="B35" s="31"/>
      <c r="C35" s="181" t="s">
        <v>79</v>
      </c>
      <c r="D35" s="236">
        <f>A33</f>
        <v>250</v>
      </c>
      <c r="E35" s="183">
        <f>E24</f>
        <v>0.016144395592515386</v>
      </c>
      <c r="F35" s="351">
        <f>D35*E35</f>
        <v>4.036098898128847</v>
      </c>
      <c r="G35" s="168"/>
      <c r="H35" s="185" t="s">
        <v>79</v>
      </c>
      <c r="I35" s="186">
        <f>D35</f>
        <v>250</v>
      </c>
      <c r="J35" s="443">
        <f>$J$24</f>
        <v>0.017723745596173617</v>
      </c>
      <c r="K35" s="187">
        <f>I35*J35</f>
        <v>4.4309363990434045</v>
      </c>
      <c r="L35" s="180"/>
      <c r="M35" s="722"/>
      <c r="N35" s="723"/>
    </row>
    <row r="36" spans="1:14" ht="24.75" customHeight="1" thickBot="1">
      <c r="A36" s="86"/>
      <c r="B36" s="31"/>
      <c r="C36" s="726"/>
      <c r="D36" s="727"/>
      <c r="E36" s="188" t="s">
        <v>51</v>
      </c>
      <c r="F36" s="372">
        <f>SUM(F34:F35)</f>
        <v>15.026098898128847</v>
      </c>
      <c r="G36" s="168"/>
      <c r="H36" s="709"/>
      <c r="I36" s="710"/>
      <c r="J36" s="188" t="s">
        <v>80</v>
      </c>
      <c r="K36" s="190">
        <f>SUM(K34:K35)</f>
        <v>14.570387498349447</v>
      </c>
      <c r="L36" s="180"/>
      <c r="M36" s="191">
        <f>K36-F36</f>
        <v>-0.4557113997793998</v>
      </c>
      <c r="N36" s="192">
        <f>M36/F36</f>
        <v>-0.030327991507905494</v>
      </c>
    </row>
    <row r="37" spans="1:14" ht="27" customHeight="1">
      <c r="A37" s="86"/>
      <c r="B37" s="31"/>
      <c r="C37" s="181" t="s">
        <v>81</v>
      </c>
      <c r="D37" s="182">
        <f>A33</f>
        <v>250</v>
      </c>
      <c r="E37" s="439">
        <v>0.0239</v>
      </c>
      <c r="F37" s="373">
        <f>D37*E37</f>
        <v>5.9750000000000005</v>
      </c>
      <c r="G37" s="168"/>
      <c r="H37" s="185" t="s">
        <v>81</v>
      </c>
      <c r="I37" s="186">
        <f aca="true" t="shared" si="1" ref="I37:K38">D37</f>
        <v>250</v>
      </c>
      <c r="J37" s="441">
        <f t="shared" si="1"/>
        <v>0.0239</v>
      </c>
      <c r="K37" s="196">
        <f t="shared" si="1"/>
        <v>5.9750000000000005</v>
      </c>
      <c r="L37" s="180"/>
      <c r="M37" s="720"/>
      <c r="N37" s="721"/>
    </row>
    <row r="38" spans="1:14" ht="26.25" thickBot="1">
      <c r="A38" s="86"/>
      <c r="B38" s="31"/>
      <c r="C38" s="197" t="s">
        <v>82</v>
      </c>
      <c r="D38" s="182">
        <f>A33</f>
        <v>250</v>
      </c>
      <c r="E38" s="440">
        <v>0.047</v>
      </c>
      <c r="F38" s="351">
        <f>D38*E38</f>
        <v>11.75</v>
      </c>
      <c r="G38" s="168"/>
      <c r="H38" s="199" t="s">
        <v>82</v>
      </c>
      <c r="I38" s="200">
        <f t="shared" si="1"/>
        <v>250</v>
      </c>
      <c r="J38" s="442">
        <f t="shared" si="1"/>
        <v>0.047</v>
      </c>
      <c r="K38" s="202">
        <f t="shared" si="1"/>
        <v>11.75</v>
      </c>
      <c r="L38" s="180"/>
      <c r="M38" s="724"/>
      <c r="N38" s="725"/>
    </row>
    <row r="39" spans="1:14" ht="13.5" thickBot="1">
      <c r="A39" s="86"/>
      <c r="B39" s="31"/>
      <c r="C39" s="711"/>
      <c r="D39" s="712"/>
      <c r="E39" s="712"/>
      <c r="F39" s="713"/>
      <c r="G39" s="168"/>
      <c r="H39" s="712"/>
      <c r="I39" s="712"/>
      <c r="J39" s="712"/>
      <c r="K39" s="713"/>
      <c r="L39" s="31"/>
      <c r="M39" s="86"/>
      <c r="N39" s="203"/>
    </row>
    <row r="40" spans="1:14" ht="13.5" thickBot="1">
      <c r="A40" s="94"/>
      <c r="B40" s="149"/>
      <c r="C40" s="204" t="s">
        <v>83</v>
      </c>
      <c r="D40" s="205"/>
      <c r="E40" s="205"/>
      <c r="F40" s="190">
        <f>SUM(F37:F38,F36)</f>
        <v>32.751098898128845</v>
      </c>
      <c r="G40" s="207"/>
      <c r="H40" s="728" t="s">
        <v>84</v>
      </c>
      <c r="I40" s="728"/>
      <c r="J40" s="728"/>
      <c r="K40" s="190">
        <f>SUM(K36:K38)</f>
        <v>32.29538749834945</v>
      </c>
      <c r="L40" s="208"/>
      <c r="M40" s="191">
        <f>K40-F40</f>
        <v>-0.45571139977939623</v>
      </c>
      <c r="N40" s="192">
        <f>M40/F40</f>
        <v>-0.013914385016419471</v>
      </c>
    </row>
    <row r="41" ht="12.75">
      <c r="K41" s="162"/>
    </row>
    <row r="42" spans="1:14" ht="11.25" customHeight="1" thickBot="1">
      <c r="A42" s="47"/>
      <c r="B42" s="12"/>
      <c r="D42" s="10"/>
      <c r="E42" s="10"/>
      <c r="F42" s="210"/>
      <c r="I42" s="10"/>
      <c r="J42" s="10"/>
      <c r="K42" s="211"/>
      <c r="L42" s="12"/>
      <c r="M42" s="12"/>
      <c r="N42" s="212"/>
    </row>
    <row r="43" spans="1:14" ht="60.75" thickBot="1">
      <c r="A43" s="169" t="s">
        <v>75</v>
      </c>
      <c r="B43" s="170"/>
      <c r="C43" s="730"/>
      <c r="D43" s="699" t="s">
        <v>11</v>
      </c>
      <c r="E43" s="701" t="s">
        <v>76</v>
      </c>
      <c r="F43" s="703" t="s">
        <v>197</v>
      </c>
      <c r="G43" s="167"/>
      <c r="H43" s="171"/>
      <c r="I43" s="699" t="s">
        <v>11</v>
      </c>
      <c r="J43" s="701" t="s">
        <v>76</v>
      </c>
      <c r="K43" s="703" t="s">
        <v>197</v>
      </c>
      <c r="L43" s="170"/>
      <c r="M43" s="716" t="s">
        <v>196</v>
      </c>
      <c r="N43" s="718" t="s">
        <v>77</v>
      </c>
    </row>
    <row r="44" spans="1:14" ht="13.5" thickBot="1">
      <c r="A44" s="172">
        <v>500</v>
      </c>
      <c r="B44" s="31"/>
      <c r="C44" s="731"/>
      <c r="D44" s="700"/>
      <c r="E44" s="702"/>
      <c r="F44" s="704"/>
      <c r="G44" s="168"/>
      <c r="H44" s="31"/>
      <c r="I44" s="714"/>
      <c r="J44" s="715"/>
      <c r="K44" s="704"/>
      <c r="L44" s="32"/>
      <c r="M44" s="717"/>
      <c r="N44" s="719"/>
    </row>
    <row r="45" spans="1:14" ht="25.5">
      <c r="A45" s="173"/>
      <c r="B45" s="31"/>
      <c r="C45" s="174" t="s">
        <v>21</v>
      </c>
      <c r="D45" s="175" t="s">
        <v>78</v>
      </c>
      <c r="E45" s="176" t="s">
        <v>78</v>
      </c>
      <c r="F45" s="235">
        <f>F34</f>
        <v>10.99</v>
      </c>
      <c r="G45" s="168"/>
      <c r="H45" s="178" t="s">
        <v>21</v>
      </c>
      <c r="I45" s="209" t="str">
        <f>D45</f>
        <v>N/A</v>
      </c>
      <c r="J45" s="179" t="s">
        <v>78</v>
      </c>
      <c r="K45" s="228">
        <f>$K$23</f>
        <v>10.139451099306044</v>
      </c>
      <c r="L45" s="180"/>
      <c r="M45" s="720"/>
      <c r="N45" s="721"/>
    </row>
    <row r="46" spans="1:14" ht="25.5" customHeight="1" thickBot="1">
      <c r="A46" s="86"/>
      <c r="B46" s="31"/>
      <c r="C46" s="181" t="s">
        <v>79</v>
      </c>
      <c r="D46" s="236">
        <f>A44</f>
        <v>500</v>
      </c>
      <c r="E46" s="183">
        <f>E35</f>
        <v>0.016144395592515386</v>
      </c>
      <c r="F46" s="351">
        <f>D46*E46</f>
        <v>8.072197796257694</v>
      </c>
      <c r="G46" s="168"/>
      <c r="H46" s="185" t="s">
        <v>79</v>
      </c>
      <c r="I46" s="374">
        <f>D46</f>
        <v>500</v>
      </c>
      <c r="J46" s="443">
        <f>$J$24</f>
        <v>0.017723745596173617</v>
      </c>
      <c r="K46" s="187">
        <f>I46*J46</f>
        <v>8.861872798086809</v>
      </c>
      <c r="L46" s="180"/>
      <c r="M46" s="722"/>
      <c r="N46" s="723"/>
    </row>
    <row r="47" spans="1:14" ht="13.5" thickBot="1">
      <c r="A47" s="86"/>
      <c r="B47" s="31"/>
      <c r="C47" s="726"/>
      <c r="D47" s="729"/>
      <c r="E47" s="188" t="s">
        <v>51</v>
      </c>
      <c r="F47" s="372">
        <f>SUM(F45:F46)</f>
        <v>19.062197796257692</v>
      </c>
      <c r="G47" s="168"/>
      <c r="H47" s="709"/>
      <c r="I47" s="710"/>
      <c r="J47" s="188" t="s">
        <v>80</v>
      </c>
      <c r="K47" s="190">
        <f>SUM(K45:K46)</f>
        <v>19.00132389739285</v>
      </c>
      <c r="L47" s="180"/>
      <c r="M47" s="191">
        <f>K47-F47</f>
        <v>-0.06087389886484118</v>
      </c>
      <c r="N47" s="192">
        <f>M47/F47</f>
        <v>-0.0031934354850096038</v>
      </c>
    </row>
    <row r="48" spans="1:14" ht="25.5">
      <c r="A48" s="86"/>
      <c r="B48" s="31"/>
      <c r="C48" s="181" t="s">
        <v>81</v>
      </c>
      <c r="D48" s="182">
        <f>A44</f>
        <v>500</v>
      </c>
      <c r="E48" s="439">
        <v>0.0239</v>
      </c>
      <c r="F48" s="373">
        <f>D48*E48</f>
        <v>11.950000000000001</v>
      </c>
      <c r="G48" s="168"/>
      <c r="H48" s="185" t="s">
        <v>81</v>
      </c>
      <c r="I48" s="186">
        <f aca="true" t="shared" si="2" ref="I48:K49">D48</f>
        <v>500</v>
      </c>
      <c r="J48" s="441">
        <f t="shared" si="2"/>
        <v>0.0239</v>
      </c>
      <c r="K48" s="196">
        <f t="shared" si="2"/>
        <v>11.950000000000001</v>
      </c>
      <c r="L48" s="180"/>
      <c r="M48" s="720"/>
      <c r="N48" s="721"/>
    </row>
    <row r="49" spans="1:14" ht="26.25" thickBot="1">
      <c r="A49" s="86"/>
      <c r="B49" s="31"/>
      <c r="C49" s="197" t="s">
        <v>82</v>
      </c>
      <c r="D49" s="182">
        <f>A44</f>
        <v>500</v>
      </c>
      <c r="E49" s="440">
        <v>0.047</v>
      </c>
      <c r="F49" s="351">
        <f>D49*E49</f>
        <v>23.5</v>
      </c>
      <c r="G49" s="168"/>
      <c r="H49" s="199" t="s">
        <v>82</v>
      </c>
      <c r="I49" s="200">
        <f t="shared" si="2"/>
        <v>500</v>
      </c>
      <c r="J49" s="442">
        <f t="shared" si="2"/>
        <v>0.047</v>
      </c>
      <c r="K49" s="202">
        <f t="shared" si="2"/>
        <v>23.5</v>
      </c>
      <c r="L49" s="180"/>
      <c r="M49" s="724"/>
      <c r="N49" s="725"/>
    </row>
    <row r="50" spans="1:14" ht="13.5" thickBot="1">
      <c r="A50" s="86"/>
      <c r="B50" s="31"/>
      <c r="C50" s="711"/>
      <c r="D50" s="712"/>
      <c r="E50" s="712"/>
      <c r="F50" s="713"/>
      <c r="G50" s="168"/>
      <c r="H50" s="712"/>
      <c r="I50" s="712"/>
      <c r="J50" s="712"/>
      <c r="K50" s="713"/>
      <c r="L50" s="31"/>
      <c r="M50" s="86"/>
      <c r="N50" s="203"/>
    </row>
    <row r="51" spans="1:14" ht="13.5" thickBot="1">
      <c r="A51" s="94"/>
      <c r="B51" s="149"/>
      <c r="C51" s="204" t="s">
        <v>83</v>
      </c>
      <c r="D51" s="205"/>
      <c r="E51" s="205"/>
      <c r="F51" s="190">
        <f>SUM(F48:F49,F47)</f>
        <v>54.512197796257695</v>
      </c>
      <c r="G51" s="207"/>
      <c r="H51" s="728" t="s">
        <v>84</v>
      </c>
      <c r="I51" s="728"/>
      <c r="J51" s="728"/>
      <c r="K51" s="190">
        <f>SUM(K47:K49)</f>
        <v>54.451323897392854</v>
      </c>
      <c r="L51" s="208"/>
      <c r="M51" s="191">
        <f>K51-F51</f>
        <v>-0.06087389886484118</v>
      </c>
      <c r="N51" s="192">
        <f>M51/F51</f>
        <v>-0.0011167023404992896</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75</v>
      </c>
      <c r="B54" s="170"/>
      <c r="C54" s="705"/>
      <c r="D54" s="699" t="s">
        <v>11</v>
      </c>
      <c r="E54" s="701" t="s">
        <v>76</v>
      </c>
      <c r="F54" s="703" t="s">
        <v>197</v>
      </c>
      <c r="G54" s="167"/>
      <c r="H54" s="171"/>
      <c r="I54" s="699" t="s">
        <v>11</v>
      </c>
      <c r="J54" s="701" t="s">
        <v>76</v>
      </c>
      <c r="K54" s="703" t="s">
        <v>197</v>
      </c>
      <c r="L54" s="170"/>
      <c r="M54" s="716" t="s">
        <v>196</v>
      </c>
      <c r="N54" s="718" t="s">
        <v>77</v>
      </c>
    </row>
    <row r="55" spans="1:14" ht="13.5" thickBot="1">
      <c r="A55" s="172">
        <v>750</v>
      </c>
      <c r="B55" s="31"/>
      <c r="C55" s="706"/>
      <c r="D55" s="700"/>
      <c r="E55" s="702"/>
      <c r="F55" s="704"/>
      <c r="G55" s="168"/>
      <c r="H55" s="31"/>
      <c r="I55" s="714"/>
      <c r="J55" s="715"/>
      <c r="K55" s="704"/>
      <c r="L55" s="32"/>
      <c r="M55" s="717"/>
      <c r="N55" s="719"/>
    </row>
    <row r="56" spans="1:14" ht="26.25" customHeight="1">
      <c r="A56" s="173"/>
      <c r="B56" s="31"/>
      <c r="C56" s="174" t="s">
        <v>21</v>
      </c>
      <c r="D56" s="175" t="s">
        <v>78</v>
      </c>
      <c r="E56" s="176" t="s">
        <v>78</v>
      </c>
      <c r="F56" s="235">
        <f>F45</f>
        <v>10.99</v>
      </c>
      <c r="G56" s="168"/>
      <c r="H56" s="178" t="s">
        <v>21</v>
      </c>
      <c r="I56" s="209" t="str">
        <f>D56</f>
        <v>N/A</v>
      </c>
      <c r="J56" s="179" t="s">
        <v>78</v>
      </c>
      <c r="K56" s="228">
        <f>$K$23</f>
        <v>10.139451099306044</v>
      </c>
      <c r="L56" s="180"/>
      <c r="M56" s="720"/>
      <c r="N56" s="721"/>
    </row>
    <row r="57" spans="1:14" ht="26.25" customHeight="1" thickBot="1">
      <c r="A57" s="86"/>
      <c r="B57" s="31"/>
      <c r="C57" s="181" t="s">
        <v>79</v>
      </c>
      <c r="D57" s="236">
        <f>A55</f>
        <v>750</v>
      </c>
      <c r="E57" s="183">
        <f>E46</f>
        <v>0.016144395592515386</v>
      </c>
      <c r="F57" s="351">
        <f>D57*E57</f>
        <v>12.10829669438654</v>
      </c>
      <c r="G57" s="168"/>
      <c r="H57" s="185" t="s">
        <v>79</v>
      </c>
      <c r="I57" s="374">
        <f>D57</f>
        <v>750</v>
      </c>
      <c r="J57" s="229">
        <f>$J$24</f>
        <v>0.017723745596173617</v>
      </c>
      <c r="K57" s="187">
        <f>I57*J57</f>
        <v>13.292809197130213</v>
      </c>
      <c r="L57" s="180"/>
      <c r="M57" s="722"/>
      <c r="N57" s="723"/>
    </row>
    <row r="58" spans="1:14" ht="13.5" thickBot="1">
      <c r="A58" s="86"/>
      <c r="B58" s="31"/>
      <c r="C58" s="726"/>
      <c r="D58" s="727"/>
      <c r="E58" s="188" t="s">
        <v>51</v>
      </c>
      <c r="F58" s="372">
        <f>SUM(F56:F57)</f>
        <v>23.09829669438654</v>
      </c>
      <c r="G58" s="168"/>
      <c r="H58" s="709"/>
      <c r="I58" s="710"/>
      <c r="J58" s="188" t="s">
        <v>80</v>
      </c>
      <c r="K58" s="190">
        <f>SUM(K56:K57)</f>
        <v>23.432260296436255</v>
      </c>
      <c r="L58" s="180"/>
      <c r="M58" s="191">
        <f>K58-F58</f>
        <v>0.33396360204971387</v>
      </c>
      <c r="N58" s="192">
        <f>M58/F58</f>
        <v>0.014458364894536804</v>
      </c>
    </row>
    <row r="59" spans="1:14" ht="25.5">
      <c r="A59" s="86"/>
      <c r="B59" s="31"/>
      <c r="C59" s="181" t="s">
        <v>81</v>
      </c>
      <c r="D59" s="182">
        <f>A55</f>
        <v>750</v>
      </c>
      <c r="E59" s="193">
        <v>0.0239</v>
      </c>
      <c r="F59" s="373">
        <f>D59*E59</f>
        <v>17.925</v>
      </c>
      <c r="G59" s="168"/>
      <c r="H59" s="185" t="s">
        <v>81</v>
      </c>
      <c r="I59" s="186">
        <f aca="true" t="shared" si="3" ref="I59:K60">D59</f>
        <v>750</v>
      </c>
      <c r="J59" s="195">
        <f t="shared" si="3"/>
        <v>0.0239</v>
      </c>
      <c r="K59" s="196">
        <f t="shared" si="3"/>
        <v>17.925</v>
      </c>
      <c r="L59" s="180"/>
      <c r="M59" s="720"/>
      <c r="N59" s="721"/>
    </row>
    <row r="60" spans="1:14" ht="26.25" thickBot="1">
      <c r="A60" s="86"/>
      <c r="B60" s="31"/>
      <c r="C60" s="197" t="s">
        <v>82</v>
      </c>
      <c r="D60" s="182">
        <f>A55</f>
        <v>750</v>
      </c>
      <c r="E60" s="198">
        <v>0.047</v>
      </c>
      <c r="F60" s="351">
        <f>D60*E60</f>
        <v>35.25</v>
      </c>
      <c r="G60" s="168"/>
      <c r="H60" s="199" t="s">
        <v>82</v>
      </c>
      <c r="I60" s="200">
        <f t="shared" si="3"/>
        <v>750</v>
      </c>
      <c r="J60" s="201">
        <f t="shared" si="3"/>
        <v>0.047</v>
      </c>
      <c r="K60" s="202">
        <f t="shared" si="3"/>
        <v>35.25</v>
      </c>
      <c r="L60" s="180"/>
      <c r="M60" s="724"/>
      <c r="N60" s="725"/>
    </row>
    <row r="61" spans="1:14" ht="13.5" thickBot="1">
      <c r="A61" s="86"/>
      <c r="B61" s="31"/>
      <c r="C61" s="711"/>
      <c r="D61" s="712"/>
      <c r="E61" s="712"/>
      <c r="F61" s="713"/>
      <c r="G61" s="168"/>
      <c r="H61" s="712"/>
      <c r="I61" s="712"/>
      <c r="J61" s="712"/>
      <c r="K61" s="713"/>
      <c r="L61" s="31"/>
      <c r="M61" s="86"/>
      <c r="N61" s="203"/>
    </row>
    <row r="62" spans="1:14" ht="13.5" thickBot="1">
      <c r="A62" s="94"/>
      <c r="B62" s="149"/>
      <c r="C62" s="204" t="s">
        <v>83</v>
      </c>
      <c r="D62" s="205"/>
      <c r="E62" s="205"/>
      <c r="F62" s="190">
        <f>SUM(F59:F60,F58)</f>
        <v>76.27329669438654</v>
      </c>
      <c r="G62" s="207"/>
      <c r="H62" s="728" t="s">
        <v>84</v>
      </c>
      <c r="I62" s="728"/>
      <c r="J62" s="728"/>
      <c r="K62" s="190">
        <f>SUM(K58:K60)</f>
        <v>76.60726029643625</v>
      </c>
      <c r="L62" s="208"/>
      <c r="M62" s="191">
        <f>K62-F62</f>
        <v>0.33396360204970676</v>
      </c>
      <c r="N62" s="192">
        <f>M62/F62</f>
        <v>0.004378512749853191</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75</v>
      </c>
      <c r="B65" s="170"/>
      <c r="C65" s="705"/>
      <c r="D65" s="699" t="s">
        <v>11</v>
      </c>
      <c r="E65" s="701" t="s">
        <v>76</v>
      </c>
      <c r="F65" s="703" t="s">
        <v>197</v>
      </c>
      <c r="G65" s="167"/>
      <c r="H65" s="171"/>
      <c r="I65" s="699" t="s">
        <v>11</v>
      </c>
      <c r="J65" s="701" t="s">
        <v>76</v>
      </c>
      <c r="K65" s="703" t="s">
        <v>197</v>
      </c>
      <c r="L65" s="170"/>
      <c r="M65" s="716" t="s">
        <v>196</v>
      </c>
      <c r="N65" s="718" t="s">
        <v>77</v>
      </c>
    </row>
    <row r="66" spans="1:14" ht="13.5" thickBot="1">
      <c r="A66" s="172">
        <v>1000</v>
      </c>
      <c r="B66" s="31"/>
      <c r="C66" s="706"/>
      <c r="D66" s="700"/>
      <c r="E66" s="702"/>
      <c r="F66" s="704"/>
      <c r="G66" s="168"/>
      <c r="H66" s="31"/>
      <c r="I66" s="714"/>
      <c r="J66" s="715"/>
      <c r="K66" s="704"/>
      <c r="L66" s="32"/>
      <c r="M66" s="717"/>
      <c r="N66" s="719"/>
    </row>
    <row r="67" spans="1:14" ht="26.25" customHeight="1">
      <c r="A67" s="173"/>
      <c r="B67" s="31"/>
      <c r="C67" s="174" t="s">
        <v>21</v>
      </c>
      <c r="D67" s="175" t="s">
        <v>78</v>
      </c>
      <c r="E67" s="176" t="s">
        <v>78</v>
      </c>
      <c r="F67" s="235">
        <f>F56</f>
        <v>10.99</v>
      </c>
      <c r="G67" s="168"/>
      <c r="H67" s="174" t="s">
        <v>21</v>
      </c>
      <c r="I67" s="209" t="str">
        <f>D67</f>
        <v>N/A</v>
      </c>
      <c r="J67" s="179" t="s">
        <v>78</v>
      </c>
      <c r="K67" s="228">
        <f>$K$23</f>
        <v>10.139451099306044</v>
      </c>
      <c r="L67" s="180"/>
      <c r="M67" s="720"/>
      <c r="N67" s="721"/>
    </row>
    <row r="68" spans="1:14" ht="24" customHeight="1" thickBot="1">
      <c r="A68" s="86"/>
      <c r="B68" s="31"/>
      <c r="C68" s="181" t="s">
        <v>79</v>
      </c>
      <c r="D68" s="182">
        <f>A66</f>
        <v>1000</v>
      </c>
      <c r="E68" s="183">
        <f>E57</f>
        <v>0.016144395592515386</v>
      </c>
      <c r="F68" s="351">
        <f>D68*E68</f>
        <v>16.144395592515387</v>
      </c>
      <c r="G68" s="168"/>
      <c r="H68" s="181" t="s">
        <v>79</v>
      </c>
      <c r="I68" s="186">
        <f>D68</f>
        <v>1000</v>
      </c>
      <c r="J68" s="229">
        <f>$J$24</f>
        <v>0.017723745596173617</v>
      </c>
      <c r="K68" s="187">
        <f>I68*J68</f>
        <v>17.723745596173618</v>
      </c>
      <c r="L68" s="180"/>
      <c r="M68" s="722"/>
      <c r="N68" s="723"/>
    </row>
    <row r="69" spans="1:14" ht="13.5" thickBot="1">
      <c r="A69" s="86"/>
      <c r="B69" s="31"/>
      <c r="C69" s="726"/>
      <c r="D69" s="727"/>
      <c r="E69" s="188" t="s">
        <v>51</v>
      </c>
      <c r="F69" s="372">
        <f>SUM(F67:F68)</f>
        <v>27.13439559251539</v>
      </c>
      <c r="G69" s="168"/>
      <c r="H69" s="732"/>
      <c r="I69" s="710"/>
      <c r="J69" s="188" t="s">
        <v>80</v>
      </c>
      <c r="K69" s="190">
        <f>SUM(K67:K68)</f>
        <v>27.86319669547966</v>
      </c>
      <c r="L69" s="180"/>
      <c r="M69" s="191">
        <f>K69-F69</f>
        <v>0.7288011029642725</v>
      </c>
      <c r="N69" s="192">
        <f>M69/F69</f>
        <v>0.026858939992947594</v>
      </c>
    </row>
    <row r="70" spans="1:14" ht="25.5">
      <c r="A70" s="86"/>
      <c r="B70" s="31"/>
      <c r="C70" s="181" t="s">
        <v>81</v>
      </c>
      <c r="D70" s="182">
        <f>A66</f>
        <v>1000</v>
      </c>
      <c r="E70" s="193">
        <v>0.0239</v>
      </c>
      <c r="F70" s="373">
        <f>D70*E70</f>
        <v>23.900000000000002</v>
      </c>
      <c r="G70" s="168"/>
      <c r="H70" s="181" t="s">
        <v>81</v>
      </c>
      <c r="I70" s="186">
        <f>D70</f>
        <v>1000</v>
      </c>
      <c r="J70" s="195">
        <f>E70</f>
        <v>0.0239</v>
      </c>
      <c r="K70" s="196">
        <f>F70</f>
        <v>23.900000000000002</v>
      </c>
      <c r="L70" s="180"/>
      <c r="M70" s="720"/>
      <c r="N70" s="721"/>
    </row>
    <row r="71" spans="1:14" ht="25.5">
      <c r="A71" s="86"/>
      <c r="B71" s="31"/>
      <c r="C71" s="197" t="s">
        <v>82</v>
      </c>
      <c r="D71" s="182">
        <v>750</v>
      </c>
      <c r="E71" s="198">
        <v>0.047</v>
      </c>
      <c r="F71" s="351">
        <f>D71*E71</f>
        <v>35.25</v>
      </c>
      <c r="G71" s="168"/>
      <c r="H71" s="197" t="s">
        <v>82</v>
      </c>
      <c r="I71" s="182">
        <f>D71</f>
        <v>750</v>
      </c>
      <c r="J71" s="198">
        <v>0.047</v>
      </c>
      <c r="K71" s="351">
        <f>I71*J71</f>
        <v>35.25</v>
      </c>
      <c r="L71" s="180"/>
      <c r="M71" s="724"/>
      <c r="N71" s="725"/>
    </row>
    <row r="72" spans="1:14" ht="26.25" thickBot="1">
      <c r="A72" s="86"/>
      <c r="B72" s="31"/>
      <c r="C72" s="197" t="s">
        <v>82</v>
      </c>
      <c r="D72" s="236">
        <f>A66-D71</f>
        <v>250</v>
      </c>
      <c r="E72" s="198">
        <v>0.055</v>
      </c>
      <c r="F72" s="351">
        <f>D72*E72</f>
        <v>13.75</v>
      </c>
      <c r="G72" s="168"/>
      <c r="H72" s="352" t="s">
        <v>82</v>
      </c>
      <c r="I72" s="375">
        <f>D72</f>
        <v>250</v>
      </c>
      <c r="J72" s="353">
        <v>0.055</v>
      </c>
      <c r="K72" s="354">
        <f>I72*J72</f>
        <v>13.75</v>
      </c>
      <c r="L72" s="180"/>
      <c r="M72" s="724"/>
      <c r="N72" s="725"/>
    </row>
    <row r="73" spans="1:14" ht="13.5" thickBot="1">
      <c r="A73" s="86"/>
      <c r="B73" s="31"/>
      <c r="C73" s="711"/>
      <c r="D73" s="712"/>
      <c r="E73" s="712"/>
      <c r="F73" s="713"/>
      <c r="G73" s="168"/>
      <c r="H73" s="712"/>
      <c r="I73" s="712"/>
      <c r="J73" s="712"/>
      <c r="K73" s="713"/>
      <c r="L73" s="31"/>
      <c r="M73" s="86"/>
      <c r="N73" s="203"/>
    </row>
    <row r="74" spans="1:14" ht="13.5" thickBot="1">
      <c r="A74" s="94"/>
      <c r="B74" s="149"/>
      <c r="C74" s="204" t="s">
        <v>83</v>
      </c>
      <c r="D74" s="205"/>
      <c r="E74" s="205"/>
      <c r="F74" s="190">
        <f>SUM(F70:F72,F69)</f>
        <v>100.0343955925154</v>
      </c>
      <c r="G74" s="207"/>
      <c r="H74" s="728" t="s">
        <v>84</v>
      </c>
      <c r="I74" s="728"/>
      <c r="J74" s="728"/>
      <c r="K74" s="190">
        <f>SUM(K69:K72)</f>
        <v>100.76319669547966</v>
      </c>
      <c r="L74" s="208"/>
      <c r="M74" s="191">
        <f>K74-F74</f>
        <v>0.7288011029642689</v>
      </c>
      <c r="N74" s="192">
        <f>M74/F74</f>
        <v>0.007285505136983084</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75</v>
      </c>
      <c r="B77" s="170"/>
      <c r="C77" s="705"/>
      <c r="D77" s="699" t="s">
        <v>11</v>
      </c>
      <c r="E77" s="701" t="s">
        <v>76</v>
      </c>
      <c r="F77" s="703" t="s">
        <v>197</v>
      </c>
      <c r="G77" s="167"/>
      <c r="H77" s="171"/>
      <c r="I77" s="699" t="s">
        <v>11</v>
      </c>
      <c r="J77" s="701" t="s">
        <v>76</v>
      </c>
      <c r="K77" s="703" t="s">
        <v>197</v>
      </c>
      <c r="L77" s="170"/>
      <c r="M77" s="716" t="s">
        <v>196</v>
      </c>
      <c r="N77" s="718" t="s">
        <v>77</v>
      </c>
    </row>
    <row r="78" spans="1:14" ht="13.5" thickBot="1">
      <c r="A78" s="172">
        <v>1500</v>
      </c>
      <c r="B78" s="31"/>
      <c r="C78" s="706"/>
      <c r="D78" s="700"/>
      <c r="E78" s="702"/>
      <c r="F78" s="704"/>
      <c r="G78" s="168"/>
      <c r="H78" s="31"/>
      <c r="I78" s="714"/>
      <c r="J78" s="715"/>
      <c r="K78" s="704"/>
      <c r="L78" s="32"/>
      <c r="M78" s="717"/>
      <c r="N78" s="719"/>
    </row>
    <row r="79" spans="1:14" ht="27.75" customHeight="1">
      <c r="A79" s="173"/>
      <c r="B79" s="31"/>
      <c r="C79" s="174" t="s">
        <v>21</v>
      </c>
      <c r="D79" s="175" t="s">
        <v>78</v>
      </c>
      <c r="E79" s="176" t="s">
        <v>78</v>
      </c>
      <c r="F79" s="235">
        <f>F67</f>
        <v>10.99</v>
      </c>
      <c r="G79" s="168"/>
      <c r="H79" s="178" t="s">
        <v>21</v>
      </c>
      <c r="I79" s="209" t="str">
        <f>D79</f>
        <v>N/A</v>
      </c>
      <c r="J79" s="179" t="s">
        <v>78</v>
      </c>
      <c r="K79" s="228">
        <f>$K$23</f>
        <v>10.139451099306044</v>
      </c>
      <c r="L79" s="180"/>
      <c r="M79" s="720"/>
      <c r="N79" s="721"/>
    </row>
    <row r="80" spans="1:14" ht="25.5" customHeight="1" thickBot="1">
      <c r="A80" s="86"/>
      <c r="B80" s="31"/>
      <c r="C80" s="181" t="s">
        <v>79</v>
      </c>
      <c r="D80" s="182">
        <f>A78</f>
        <v>1500</v>
      </c>
      <c r="E80" s="183">
        <f>E68</f>
        <v>0.016144395592515386</v>
      </c>
      <c r="F80" s="351">
        <f>D80*E80</f>
        <v>24.21659338877308</v>
      </c>
      <c r="G80" s="168"/>
      <c r="H80" s="185" t="s">
        <v>79</v>
      </c>
      <c r="I80" s="186">
        <f>D80</f>
        <v>1500</v>
      </c>
      <c r="J80" s="229">
        <f>$J$24</f>
        <v>0.017723745596173617</v>
      </c>
      <c r="K80" s="187">
        <f>I80*J80</f>
        <v>26.585618394260425</v>
      </c>
      <c r="L80" s="180"/>
      <c r="M80" s="722"/>
      <c r="N80" s="723"/>
    </row>
    <row r="81" spans="1:14" ht="13.5" thickBot="1">
      <c r="A81" s="86"/>
      <c r="B81" s="31"/>
      <c r="C81" s="726"/>
      <c r="D81" s="727"/>
      <c r="E81" s="188" t="s">
        <v>51</v>
      </c>
      <c r="F81" s="372">
        <f>SUM(F79:F80)</f>
        <v>35.20659338877308</v>
      </c>
      <c r="G81" s="168"/>
      <c r="H81" s="709"/>
      <c r="I81" s="710"/>
      <c r="J81" s="188" t="s">
        <v>80</v>
      </c>
      <c r="K81" s="190">
        <f>SUM(K79:K80)</f>
        <v>36.725069493566465</v>
      </c>
      <c r="L81" s="180"/>
      <c r="M81" s="191">
        <f>K81-F81</f>
        <v>1.5184761047933861</v>
      </c>
      <c r="N81" s="192">
        <f>M81/F81</f>
        <v>0.04313044684628897</v>
      </c>
    </row>
    <row r="82" spans="1:14" ht="25.5">
      <c r="A82" s="86"/>
      <c r="B82" s="31"/>
      <c r="C82" s="181" t="s">
        <v>81</v>
      </c>
      <c r="D82" s="182">
        <f>A78</f>
        <v>1500</v>
      </c>
      <c r="E82" s="193">
        <v>0.0239</v>
      </c>
      <c r="F82" s="373">
        <f>D82*E82</f>
        <v>35.85</v>
      </c>
      <c r="G82" s="168"/>
      <c r="H82" s="185" t="s">
        <v>81</v>
      </c>
      <c r="I82" s="186">
        <f>D82</f>
        <v>1500</v>
      </c>
      <c r="J82" s="195">
        <f>E82</f>
        <v>0.0239</v>
      </c>
      <c r="K82" s="196">
        <f>F82</f>
        <v>35.85</v>
      </c>
      <c r="L82" s="180"/>
      <c r="M82" s="720"/>
      <c r="N82" s="721"/>
    </row>
    <row r="83" spans="1:14" ht="25.5">
      <c r="A83" s="86"/>
      <c r="B83" s="31"/>
      <c r="C83" s="197" t="s">
        <v>82</v>
      </c>
      <c r="D83" s="182">
        <v>750</v>
      </c>
      <c r="E83" s="198">
        <v>0.047</v>
      </c>
      <c r="F83" s="351">
        <f>D83*E83</f>
        <v>35.25</v>
      </c>
      <c r="G83" s="168"/>
      <c r="H83" s="197" t="s">
        <v>82</v>
      </c>
      <c r="I83" s="186">
        <f>D83</f>
        <v>750</v>
      </c>
      <c r="J83" s="198">
        <v>0.047</v>
      </c>
      <c r="K83" s="351">
        <f>I83*J83</f>
        <v>35.25</v>
      </c>
      <c r="L83" s="180"/>
      <c r="M83" s="724"/>
      <c r="N83" s="725"/>
    </row>
    <row r="84" spans="1:14" ht="26.25" thickBot="1">
      <c r="A84" s="86"/>
      <c r="B84" s="31"/>
      <c r="C84" s="197" t="s">
        <v>82</v>
      </c>
      <c r="D84" s="236">
        <f>A78-D83</f>
        <v>750</v>
      </c>
      <c r="E84" s="198">
        <v>0.055</v>
      </c>
      <c r="F84" s="351">
        <f>D84*E84</f>
        <v>41.25</v>
      </c>
      <c r="G84" s="168"/>
      <c r="H84" s="352" t="s">
        <v>82</v>
      </c>
      <c r="I84" s="375">
        <f>D84</f>
        <v>750</v>
      </c>
      <c r="J84" s="353">
        <v>0.055</v>
      </c>
      <c r="K84" s="354">
        <f>I84*J84</f>
        <v>41.25</v>
      </c>
      <c r="L84" s="180"/>
      <c r="M84" s="724"/>
      <c r="N84" s="725"/>
    </row>
    <row r="85" spans="1:14" ht="13.5" thickBot="1">
      <c r="A85" s="86"/>
      <c r="B85" s="31"/>
      <c r="C85" s="711"/>
      <c r="D85" s="712"/>
      <c r="E85" s="712"/>
      <c r="F85" s="713"/>
      <c r="G85" s="168"/>
      <c r="H85" s="712"/>
      <c r="I85" s="712"/>
      <c r="J85" s="712"/>
      <c r="K85" s="713"/>
      <c r="L85" s="31"/>
      <c r="M85" s="86"/>
      <c r="N85" s="203"/>
    </row>
    <row r="86" spans="1:14" ht="13.5" thickBot="1">
      <c r="A86" s="94"/>
      <c r="B86" s="149"/>
      <c r="C86" s="204" t="s">
        <v>83</v>
      </c>
      <c r="D86" s="205"/>
      <c r="E86" s="205"/>
      <c r="F86" s="190">
        <f>SUM(F82:F84,F81)</f>
        <v>147.55659338877308</v>
      </c>
      <c r="G86" s="207"/>
      <c r="H86" s="728" t="s">
        <v>84</v>
      </c>
      <c r="I86" s="728"/>
      <c r="J86" s="728"/>
      <c r="K86" s="190">
        <f>SUM(K81:K84)</f>
        <v>149.07506949356647</v>
      </c>
      <c r="L86" s="208"/>
      <c r="M86" s="191">
        <f>K86-F86</f>
        <v>1.5184761047933932</v>
      </c>
      <c r="N86" s="192">
        <f>M86/F86</f>
        <v>0.010290804835759561</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75</v>
      </c>
      <c r="B89" s="170"/>
      <c r="C89" s="705"/>
      <c r="D89" s="699" t="s">
        <v>11</v>
      </c>
      <c r="E89" s="701" t="s">
        <v>76</v>
      </c>
      <c r="F89" s="703" t="s">
        <v>197</v>
      </c>
      <c r="G89" s="167"/>
      <c r="H89" s="171"/>
      <c r="I89" s="699" t="s">
        <v>11</v>
      </c>
      <c r="J89" s="701" t="s">
        <v>76</v>
      </c>
      <c r="K89" s="703" t="s">
        <v>197</v>
      </c>
      <c r="L89" s="170"/>
      <c r="M89" s="716" t="s">
        <v>196</v>
      </c>
      <c r="N89" s="718" t="s">
        <v>77</v>
      </c>
    </row>
    <row r="90" spans="1:14" ht="13.5" thickBot="1">
      <c r="A90" s="172">
        <v>2000</v>
      </c>
      <c r="B90" s="31"/>
      <c r="C90" s="706"/>
      <c r="D90" s="700"/>
      <c r="E90" s="702"/>
      <c r="F90" s="704"/>
      <c r="G90" s="168"/>
      <c r="H90" s="31"/>
      <c r="I90" s="714"/>
      <c r="J90" s="715"/>
      <c r="K90" s="704"/>
      <c r="L90" s="32"/>
      <c r="M90" s="717"/>
      <c r="N90" s="719"/>
    </row>
    <row r="91" spans="1:14" ht="27" customHeight="1">
      <c r="A91" s="173"/>
      <c r="B91" s="31"/>
      <c r="C91" s="174" t="s">
        <v>21</v>
      </c>
      <c r="D91" s="175" t="s">
        <v>78</v>
      </c>
      <c r="E91" s="176" t="s">
        <v>78</v>
      </c>
      <c r="F91" s="235">
        <f>F79</f>
        <v>10.99</v>
      </c>
      <c r="G91" s="168"/>
      <c r="H91" s="178" t="s">
        <v>21</v>
      </c>
      <c r="I91" s="209" t="str">
        <f>D91</f>
        <v>N/A</v>
      </c>
      <c r="J91" s="179" t="s">
        <v>78</v>
      </c>
      <c r="K91" s="228">
        <f>$K$23</f>
        <v>10.139451099306044</v>
      </c>
      <c r="L91" s="180"/>
      <c r="M91" s="720"/>
      <c r="N91" s="721"/>
    </row>
    <row r="92" spans="1:14" ht="29.25" customHeight="1" thickBot="1">
      <c r="A92" s="86"/>
      <c r="B92" s="31"/>
      <c r="C92" s="181" t="s">
        <v>79</v>
      </c>
      <c r="D92" s="182">
        <f>A90</f>
        <v>2000</v>
      </c>
      <c r="E92" s="183">
        <f>E80</f>
        <v>0.016144395592515386</v>
      </c>
      <c r="F92" s="351">
        <f>D92*E92</f>
        <v>32.288791185030774</v>
      </c>
      <c r="G92" s="168"/>
      <c r="H92" s="185" t="s">
        <v>79</v>
      </c>
      <c r="I92" s="186">
        <f>D92</f>
        <v>2000</v>
      </c>
      <c r="J92" s="229">
        <f>$J$24</f>
        <v>0.017723745596173617</v>
      </c>
      <c r="K92" s="187">
        <f>I92*J92</f>
        <v>35.447491192347236</v>
      </c>
      <c r="L92" s="180"/>
      <c r="M92" s="722"/>
      <c r="N92" s="723"/>
    </row>
    <row r="93" spans="1:14" ht="13.5" customHeight="1" thickBot="1">
      <c r="A93" s="86"/>
      <c r="B93" s="31"/>
      <c r="C93" s="726"/>
      <c r="D93" s="727"/>
      <c r="E93" s="188" t="s">
        <v>51</v>
      </c>
      <c r="F93" s="372">
        <f>SUM(F91:F92)</f>
        <v>43.27879118503078</v>
      </c>
      <c r="G93" s="168"/>
      <c r="H93" s="709"/>
      <c r="I93" s="710"/>
      <c r="J93" s="188" t="s">
        <v>80</v>
      </c>
      <c r="K93" s="190">
        <f>SUM(K91:K92)</f>
        <v>45.58694229165328</v>
      </c>
      <c r="L93" s="180"/>
      <c r="M93" s="191">
        <f>K93-F93</f>
        <v>2.3081511066225033</v>
      </c>
      <c r="N93" s="192">
        <f>M93/F93</f>
        <v>0.05333215284951961</v>
      </c>
    </row>
    <row r="94" spans="1:14" ht="25.5">
      <c r="A94" s="86"/>
      <c r="B94" s="31"/>
      <c r="C94" s="181" t="s">
        <v>81</v>
      </c>
      <c r="D94" s="182">
        <f>A90</f>
        <v>2000</v>
      </c>
      <c r="E94" s="193">
        <v>0.0239</v>
      </c>
      <c r="F94" s="373">
        <f>D94*E94</f>
        <v>47.800000000000004</v>
      </c>
      <c r="G94" s="168"/>
      <c r="H94" s="185" t="s">
        <v>81</v>
      </c>
      <c r="I94" s="186">
        <f>D94</f>
        <v>2000</v>
      </c>
      <c r="J94" s="195">
        <f>E94</f>
        <v>0.0239</v>
      </c>
      <c r="K94" s="196">
        <f>F94</f>
        <v>47.800000000000004</v>
      </c>
      <c r="L94" s="180"/>
      <c r="M94" s="720"/>
      <c r="N94" s="721"/>
    </row>
    <row r="95" spans="1:14" ht="25.5">
      <c r="A95" s="86"/>
      <c r="B95" s="31"/>
      <c r="C95" s="197" t="s">
        <v>82</v>
      </c>
      <c r="D95" s="182">
        <v>750</v>
      </c>
      <c r="E95" s="198">
        <v>0.047</v>
      </c>
      <c r="F95" s="351">
        <f>D95*E95</f>
        <v>35.25</v>
      </c>
      <c r="G95" s="168"/>
      <c r="H95" s="197" t="s">
        <v>82</v>
      </c>
      <c r="I95" s="186">
        <f>D95</f>
        <v>750</v>
      </c>
      <c r="J95" s="198">
        <v>0.047</v>
      </c>
      <c r="K95" s="351">
        <f>I95*J95</f>
        <v>35.25</v>
      </c>
      <c r="L95" s="180"/>
      <c r="M95" s="724"/>
      <c r="N95" s="725"/>
    </row>
    <row r="96" spans="1:14" ht="26.25" thickBot="1">
      <c r="A96" s="86"/>
      <c r="B96" s="31"/>
      <c r="C96" s="197" t="s">
        <v>82</v>
      </c>
      <c r="D96" s="236">
        <f>A90-D95</f>
        <v>1250</v>
      </c>
      <c r="E96" s="198">
        <v>0.055</v>
      </c>
      <c r="F96" s="351">
        <f>D96*E96</f>
        <v>68.75</v>
      </c>
      <c r="G96" s="168"/>
      <c r="H96" s="352" t="s">
        <v>82</v>
      </c>
      <c r="I96" s="375">
        <f>D96</f>
        <v>1250</v>
      </c>
      <c r="J96" s="353">
        <v>0.055</v>
      </c>
      <c r="K96" s="354">
        <f>I96*J96</f>
        <v>68.75</v>
      </c>
      <c r="L96" s="180"/>
      <c r="M96" s="724"/>
      <c r="N96" s="725"/>
    </row>
    <row r="97" spans="1:14" ht="13.5" thickBot="1">
      <c r="A97" s="86"/>
      <c r="B97" s="31"/>
      <c r="C97" s="711"/>
      <c r="D97" s="712"/>
      <c r="E97" s="712"/>
      <c r="F97" s="713"/>
      <c r="G97" s="168"/>
      <c r="H97" s="712"/>
      <c r="I97" s="712"/>
      <c r="J97" s="712"/>
      <c r="K97" s="713"/>
      <c r="L97" s="31"/>
      <c r="M97" s="86"/>
      <c r="N97" s="203"/>
    </row>
    <row r="98" spans="1:14" ht="13.5" thickBot="1">
      <c r="A98" s="94"/>
      <c r="B98" s="149"/>
      <c r="C98" s="204" t="s">
        <v>83</v>
      </c>
      <c r="D98" s="205"/>
      <c r="E98" s="205"/>
      <c r="F98" s="190">
        <f>SUM(F94:F96,F93)</f>
        <v>195.07879118503078</v>
      </c>
      <c r="G98" s="207"/>
      <c r="H98" s="728" t="s">
        <v>84</v>
      </c>
      <c r="I98" s="728"/>
      <c r="J98" s="728"/>
      <c r="K98" s="190">
        <f>SUM(K93:K96)</f>
        <v>197.38694229165327</v>
      </c>
      <c r="L98" s="208"/>
      <c r="M98" s="191">
        <f>K98-F98</f>
        <v>2.308151106622489</v>
      </c>
      <c r="N98" s="192">
        <f>M98/F98</f>
        <v>0.011831891578788927</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220</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91</v>
      </c>
      <c r="B103" s="223"/>
      <c r="D103" s="224"/>
      <c r="F103" s="225"/>
      <c r="J103" s="226"/>
      <c r="K103" s="225"/>
      <c r="L103" s="225"/>
      <c r="M103" s="225"/>
      <c r="N103" s="227"/>
    </row>
    <row r="104" spans="1:14" s="144" customFormat="1" ht="15">
      <c r="A104" s="141" t="s">
        <v>48</v>
      </c>
      <c r="B104" s="223"/>
      <c r="D104" s="224"/>
      <c r="F104" s="225"/>
      <c r="J104" s="226"/>
      <c r="K104" s="225"/>
      <c r="L104" s="225"/>
      <c r="M104" s="225"/>
      <c r="N104" s="227"/>
    </row>
    <row r="105" spans="1:14" s="144" customFormat="1" ht="15">
      <c r="A105" s="141" t="s">
        <v>49</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693" t="s">
        <v>94</v>
      </c>
      <c r="D107" s="694"/>
      <c r="E107" s="694"/>
      <c r="F107" s="695"/>
      <c r="G107" s="167"/>
      <c r="H107" s="693" t="s">
        <v>95</v>
      </c>
      <c r="I107" s="694"/>
      <c r="J107" s="694"/>
      <c r="K107" s="694"/>
      <c r="L107" s="694"/>
      <c r="M107" s="694"/>
      <c r="N107" s="695"/>
      <c r="O107" s="31"/>
    </row>
    <row r="108" spans="1:14" ht="13.5" customHeight="1" thickBot="1">
      <c r="A108"/>
      <c r="C108" s="696"/>
      <c r="D108" s="697"/>
      <c r="E108" s="697"/>
      <c r="F108" s="698"/>
      <c r="G108" s="168"/>
      <c r="H108" s="696"/>
      <c r="I108" s="697"/>
      <c r="J108" s="697"/>
      <c r="K108" s="697"/>
      <c r="L108" s="697"/>
      <c r="M108" s="697"/>
      <c r="N108" s="698"/>
    </row>
    <row r="109" spans="1:14" ht="60.75" thickBot="1">
      <c r="A109" s="169" t="s">
        <v>75</v>
      </c>
      <c r="B109" s="170"/>
      <c r="C109" s="705"/>
      <c r="D109" s="699" t="s">
        <v>11</v>
      </c>
      <c r="E109" s="701" t="s">
        <v>76</v>
      </c>
      <c r="F109" s="703" t="s">
        <v>197</v>
      </c>
      <c r="G109" s="167"/>
      <c r="H109" s="171"/>
      <c r="I109" s="699" t="s">
        <v>11</v>
      </c>
      <c r="J109" s="701" t="s">
        <v>76</v>
      </c>
      <c r="K109" s="703" t="s">
        <v>197</v>
      </c>
      <c r="L109" s="170"/>
      <c r="M109" s="716" t="s">
        <v>196</v>
      </c>
      <c r="N109" s="718" t="s">
        <v>77</v>
      </c>
    </row>
    <row r="110" spans="1:14" ht="13.5" thickBot="1">
      <c r="A110" s="172">
        <v>1000</v>
      </c>
      <c r="B110" s="31"/>
      <c r="C110" s="706"/>
      <c r="D110" s="700"/>
      <c r="E110" s="702"/>
      <c r="F110" s="704"/>
      <c r="G110" s="168"/>
      <c r="H110" s="31"/>
      <c r="I110" s="714"/>
      <c r="J110" s="715"/>
      <c r="K110" s="704"/>
      <c r="L110" s="32"/>
      <c r="M110" s="717"/>
      <c r="N110" s="719"/>
    </row>
    <row r="111" spans="1:14" ht="25.5">
      <c r="A111" s="173"/>
      <c r="B111" s="31"/>
      <c r="C111" s="174" t="s">
        <v>21</v>
      </c>
      <c r="D111" s="175" t="s">
        <v>78</v>
      </c>
      <c r="E111" s="176" t="s">
        <v>78</v>
      </c>
      <c r="F111" s="235">
        <f>'12. Current Rates'!D35</f>
        <v>13.43</v>
      </c>
      <c r="G111" s="168"/>
      <c r="H111" s="178" t="s">
        <v>21</v>
      </c>
      <c r="I111" s="175" t="str">
        <f>D111</f>
        <v>N/A</v>
      </c>
      <c r="J111" s="175" t="s">
        <v>78</v>
      </c>
      <c r="K111" s="235">
        <f>'11. 2005 Final Rate Schedule '!F25</f>
        <v>12.185831699634123</v>
      </c>
      <c r="L111" s="180"/>
      <c r="M111" s="720"/>
      <c r="N111" s="721"/>
    </row>
    <row r="112" spans="1:14" ht="26.25" thickBot="1">
      <c r="A112" s="86"/>
      <c r="B112" s="31"/>
      <c r="C112" s="181" t="s">
        <v>79</v>
      </c>
      <c r="D112" s="182">
        <f>A110</f>
        <v>1000</v>
      </c>
      <c r="E112" s="438">
        <f>'12. Current Rates'!D33</f>
        <v>0.016708132186006242</v>
      </c>
      <c r="F112" s="351">
        <f>D112*E112</f>
        <v>16.708132186006242</v>
      </c>
      <c r="G112" s="168"/>
      <c r="H112" s="185" t="s">
        <v>79</v>
      </c>
      <c r="I112" s="182">
        <f>D112</f>
        <v>1000</v>
      </c>
      <c r="J112" s="444">
        <f>'11. 2005 Final Rate Schedule '!F26</f>
        <v>0.01751342830579469</v>
      </c>
      <c r="K112" s="237">
        <f>I112*J112</f>
        <v>17.51342830579469</v>
      </c>
      <c r="L112" s="180"/>
      <c r="M112" s="722"/>
      <c r="N112" s="723"/>
    </row>
    <row r="113" spans="1:14" ht="13.5" thickBot="1">
      <c r="A113" s="86"/>
      <c r="B113" s="31"/>
      <c r="C113" s="726"/>
      <c r="D113" s="727"/>
      <c r="E113" s="188" t="s">
        <v>51</v>
      </c>
      <c r="F113" s="372">
        <f>SUM(F111:F112)</f>
        <v>30.138132186006242</v>
      </c>
      <c r="G113" s="168"/>
      <c r="H113" s="709"/>
      <c r="I113" s="710"/>
      <c r="J113" s="188" t="s">
        <v>80</v>
      </c>
      <c r="K113" s="190">
        <f>SUM(K111:K112)</f>
        <v>29.699260005428812</v>
      </c>
      <c r="L113" s="180"/>
      <c r="M113" s="191">
        <f>K113-F113</f>
        <v>-0.43887218057743027</v>
      </c>
      <c r="N113" s="448">
        <f>M113/F113</f>
        <v>-0.014562023215931334</v>
      </c>
    </row>
    <row r="114" spans="1:14" ht="25.5">
      <c r="A114" s="86"/>
      <c r="B114" s="31"/>
      <c r="C114" s="181" t="s">
        <v>81</v>
      </c>
      <c r="D114" s="182">
        <f>A110</f>
        <v>1000</v>
      </c>
      <c r="E114" s="439">
        <v>0.0229</v>
      </c>
      <c r="F114" s="373">
        <f>D114*E114</f>
        <v>22.9</v>
      </c>
      <c r="G114" s="168"/>
      <c r="H114" s="185" t="s">
        <v>81</v>
      </c>
      <c r="I114" s="182">
        <f aca="true" t="shared" si="4" ref="I114:K115">D114</f>
        <v>1000</v>
      </c>
      <c r="J114" s="445">
        <f t="shared" si="4"/>
        <v>0.0229</v>
      </c>
      <c r="K114" s="239">
        <f t="shared" si="4"/>
        <v>22.9</v>
      </c>
      <c r="L114" s="180"/>
      <c r="M114" s="720"/>
      <c r="N114" s="721"/>
    </row>
    <row r="115" spans="1:14" ht="26.25" thickBot="1">
      <c r="A115" s="86"/>
      <c r="B115" s="31"/>
      <c r="C115" s="197" t="s">
        <v>82</v>
      </c>
      <c r="D115" s="182">
        <f>A110</f>
        <v>1000</v>
      </c>
      <c r="E115" s="440">
        <v>0.047</v>
      </c>
      <c r="F115" s="351">
        <f>D115*E115</f>
        <v>47</v>
      </c>
      <c r="G115" s="168"/>
      <c r="H115" s="199" t="s">
        <v>82</v>
      </c>
      <c r="I115" s="446">
        <f t="shared" si="4"/>
        <v>1000</v>
      </c>
      <c r="J115" s="447">
        <f t="shared" si="4"/>
        <v>0.047</v>
      </c>
      <c r="K115" s="243">
        <f t="shared" si="4"/>
        <v>47</v>
      </c>
      <c r="L115" s="180"/>
      <c r="M115" s="724"/>
      <c r="N115" s="725"/>
    </row>
    <row r="116" spans="1:14" ht="13.5" thickBot="1">
      <c r="A116" s="86"/>
      <c r="B116" s="31"/>
      <c r="C116" s="711"/>
      <c r="D116" s="712"/>
      <c r="E116" s="712"/>
      <c r="F116" s="713"/>
      <c r="G116" s="168"/>
      <c r="H116" s="712"/>
      <c r="I116" s="712"/>
      <c r="J116" s="712"/>
      <c r="K116" s="713"/>
      <c r="L116" s="31"/>
      <c r="M116" s="86"/>
      <c r="N116" s="203"/>
    </row>
    <row r="117" spans="1:14" ht="13.5" thickBot="1">
      <c r="A117" s="94"/>
      <c r="B117" s="149"/>
      <c r="C117" s="204" t="s">
        <v>83</v>
      </c>
      <c r="D117" s="205"/>
      <c r="E117" s="205"/>
      <c r="F117" s="190">
        <f>SUM(F114:F115,F113)</f>
        <v>100.03813218600625</v>
      </c>
      <c r="G117" s="207"/>
      <c r="H117" s="728" t="s">
        <v>84</v>
      </c>
      <c r="I117" s="728"/>
      <c r="J117" s="728"/>
      <c r="K117" s="190">
        <f>SUM(K113:K115)</f>
        <v>99.59926000542882</v>
      </c>
      <c r="L117" s="208"/>
      <c r="M117" s="191">
        <f>K117-F117</f>
        <v>-0.4388721805774338</v>
      </c>
      <c r="N117" s="448">
        <f>M117/F117</f>
        <v>-0.004387048928116884</v>
      </c>
    </row>
    <row r="118" ht="12.75">
      <c r="K118" s="162"/>
    </row>
    <row r="119" ht="13.5" thickBot="1">
      <c r="K119" s="162"/>
    </row>
    <row r="120" spans="1:14" ht="60.75" thickBot="1">
      <c r="A120" s="169" t="s">
        <v>75</v>
      </c>
      <c r="B120" s="170"/>
      <c r="C120" s="705"/>
      <c r="D120" s="699" t="s">
        <v>11</v>
      </c>
      <c r="E120" s="701" t="s">
        <v>76</v>
      </c>
      <c r="F120" s="703" t="s">
        <v>197</v>
      </c>
      <c r="G120" s="167"/>
      <c r="H120" s="171"/>
      <c r="I120" s="699" t="s">
        <v>11</v>
      </c>
      <c r="J120" s="701" t="s">
        <v>76</v>
      </c>
      <c r="K120" s="703" t="s">
        <v>197</v>
      </c>
      <c r="L120" s="170"/>
      <c r="M120" s="716" t="s">
        <v>196</v>
      </c>
      <c r="N120" s="718" t="s">
        <v>77</v>
      </c>
    </row>
    <row r="121" spans="1:14" ht="13.5" thickBot="1">
      <c r="A121" s="172">
        <v>2000</v>
      </c>
      <c r="B121" s="31"/>
      <c r="C121" s="706"/>
      <c r="D121" s="700"/>
      <c r="E121" s="702"/>
      <c r="F121" s="704"/>
      <c r="G121" s="168"/>
      <c r="H121" s="31"/>
      <c r="I121" s="714"/>
      <c r="J121" s="715"/>
      <c r="K121" s="704"/>
      <c r="L121" s="32"/>
      <c r="M121" s="717"/>
      <c r="N121" s="719"/>
    </row>
    <row r="122" spans="1:14" ht="25.5">
      <c r="A122" s="173"/>
      <c r="B122" s="31"/>
      <c r="C122" s="174" t="s">
        <v>21</v>
      </c>
      <c r="D122" s="175" t="s">
        <v>78</v>
      </c>
      <c r="E122" s="176" t="s">
        <v>78</v>
      </c>
      <c r="F122" s="235">
        <f>F111</f>
        <v>13.43</v>
      </c>
      <c r="G122" s="168"/>
      <c r="H122" s="178" t="s">
        <v>21</v>
      </c>
      <c r="I122" s="179" t="str">
        <f>D122</f>
        <v>N/A</v>
      </c>
      <c r="J122" s="179" t="s">
        <v>78</v>
      </c>
      <c r="K122" s="228">
        <f>$K$111</f>
        <v>12.185831699634123</v>
      </c>
      <c r="L122" s="180"/>
      <c r="M122" s="720"/>
      <c r="N122" s="721"/>
    </row>
    <row r="123" spans="1:14" ht="26.25" thickBot="1">
      <c r="A123" s="86"/>
      <c r="B123" s="31"/>
      <c r="C123" s="181" t="s">
        <v>79</v>
      </c>
      <c r="D123" s="182">
        <f>A121</f>
        <v>2000</v>
      </c>
      <c r="E123" s="183">
        <f>E112</f>
        <v>0.016708132186006242</v>
      </c>
      <c r="F123" s="351">
        <f>D123*E123</f>
        <v>33.416264372012485</v>
      </c>
      <c r="G123" s="168"/>
      <c r="H123" s="185" t="s">
        <v>79</v>
      </c>
      <c r="I123" s="186">
        <f>D123</f>
        <v>2000</v>
      </c>
      <c r="J123" s="431">
        <f>$J$112</f>
        <v>0.01751342830579469</v>
      </c>
      <c r="K123" s="187">
        <f>I123*J123</f>
        <v>35.02685661158938</v>
      </c>
      <c r="L123" s="180"/>
      <c r="M123" s="722"/>
      <c r="N123" s="723"/>
    </row>
    <row r="124" spans="1:14" ht="13.5" thickBot="1">
      <c r="A124" s="86"/>
      <c r="B124" s="31"/>
      <c r="C124" s="726"/>
      <c r="D124" s="727"/>
      <c r="E124" s="188" t="s">
        <v>51</v>
      </c>
      <c r="F124" s="372">
        <f>SUM(F122:F123)</f>
        <v>46.846264372012485</v>
      </c>
      <c r="G124" s="168"/>
      <c r="H124" s="709"/>
      <c r="I124" s="710"/>
      <c r="J124" s="188" t="s">
        <v>80</v>
      </c>
      <c r="K124" s="190">
        <f>SUM(K122:K123)</f>
        <v>47.2126883112235</v>
      </c>
      <c r="L124" s="180"/>
      <c r="M124" s="191">
        <f>K124-F124</f>
        <v>0.36642393921101757</v>
      </c>
      <c r="N124" s="192">
        <f>M124/F124</f>
        <v>0.007821839032909771</v>
      </c>
    </row>
    <row r="125" spans="1:14" ht="25.5">
      <c r="A125" s="86"/>
      <c r="B125" s="31"/>
      <c r="C125" s="181" t="s">
        <v>81</v>
      </c>
      <c r="D125" s="182">
        <f>A121</f>
        <v>2000</v>
      </c>
      <c r="E125" s="428">
        <v>0.0229</v>
      </c>
      <c r="F125" s="373">
        <f>D125*E125</f>
        <v>45.8</v>
      </c>
      <c r="G125" s="168"/>
      <c r="H125" s="185" t="s">
        <v>81</v>
      </c>
      <c r="I125" s="236">
        <f>D125</f>
        <v>2000</v>
      </c>
      <c r="J125" s="430">
        <f>E125</f>
        <v>0.0229</v>
      </c>
      <c r="K125" s="196">
        <f>F125</f>
        <v>45.8</v>
      </c>
      <c r="L125" s="180"/>
      <c r="M125" s="720"/>
      <c r="N125" s="721"/>
    </row>
    <row r="126" spans="1:14" ht="25.5">
      <c r="A126" s="86"/>
      <c r="B126" s="31"/>
      <c r="C126" s="197" t="s">
        <v>82</v>
      </c>
      <c r="D126" s="182">
        <v>750</v>
      </c>
      <c r="E126" s="429">
        <v>0.047</v>
      </c>
      <c r="F126" s="351">
        <f>D126*E126</f>
        <v>35.25</v>
      </c>
      <c r="G126" s="168"/>
      <c r="H126" s="197" t="s">
        <v>82</v>
      </c>
      <c r="I126" s="236">
        <f>D126</f>
        <v>750</v>
      </c>
      <c r="J126" s="429">
        <v>0.047</v>
      </c>
      <c r="K126" s="351">
        <f>I126*J126</f>
        <v>35.25</v>
      </c>
      <c r="L126" s="180"/>
      <c r="M126" s="724"/>
      <c r="N126" s="725"/>
    </row>
    <row r="127" spans="1:14" ht="26.25" thickBot="1">
      <c r="A127" s="86"/>
      <c r="B127" s="31"/>
      <c r="C127" s="197" t="s">
        <v>82</v>
      </c>
      <c r="D127" s="236">
        <f>A121-D126</f>
        <v>1250</v>
      </c>
      <c r="E127" s="429">
        <v>0.055</v>
      </c>
      <c r="F127" s="351">
        <f>D127*E127</f>
        <v>68.75</v>
      </c>
      <c r="G127" s="168"/>
      <c r="H127" s="352" t="s">
        <v>82</v>
      </c>
      <c r="I127" s="241">
        <f>D127</f>
        <v>1250</v>
      </c>
      <c r="J127" s="432">
        <v>0.055</v>
      </c>
      <c r="K127" s="354">
        <f>I127*J127</f>
        <v>68.75</v>
      </c>
      <c r="L127" s="180"/>
      <c r="M127" s="724"/>
      <c r="N127" s="725"/>
    </row>
    <row r="128" spans="1:14" ht="13.5" thickBot="1">
      <c r="A128" s="86"/>
      <c r="B128" s="31"/>
      <c r="C128" s="711"/>
      <c r="D128" s="712"/>
      <c r="E128" s="712"/>
      <c r="F128" s="713"/>
      <c r="G128" s="168"/>
      <c r="H128" s="712"/>
      <c r="I128" s="712"/>
      <c r="J128" s="712"/>
      <c r="K128" s="713"/>
      <c r="L128" s="31"/>
      <c r="M128" s="86"/>
      <c r="N128" s="203"/>
    </row>
    <row r="129" spans="1:14" ht="13.5" thickBot="1">
      <c r="A129" s="94"/>
      <c r="B129" s="149"/>
      <c r="C129" s="204" t="s">
        <v>83</v>
      </c>
      <c r="D129" s="205"/>
      <c r="E129" s="205"/>
      <c r="F129" s="190">
        <f>SUM(F125:F127,F124)</f>
        <v>196.6462643720125</v>
      </c>
      <c r="G129" s="207"/>
      <c r="H129" s="728" t="s">
        <v>84</v>
      </c>
      <c r="I129" s="728"/>
      <c r="J129" s="728"/>
      <c r="K129" s="190">
        <f>SUM(K124:K127)</f>
        <v>197.01268831122349</v>
      </c>
      <c r="L129" s="208"/>
      <c r="M129" s="191">
        <f>K129-F129</f>
        <v>0.36642393921098915</v>
      </c>
      <c r="N129" s="192">
        <f>M129/F129</f>
        <v>0.0018633658787323504</v>
      </c>
    </row>
    <row r="130" ht="12.75">
      <c r="K130" s="162"/>
    </row>
    <row r="131" ht="13.5" thickBot="1">
      <c r="K131" s="162"/>
    </row>
    <row r="132" spans="1:14" ht="60.75" thickBot="1">
      <c r="A132" s="169" t="s">
        <v>75</v>
      </c>
      <c r="B132" s="170"/>
      <c r="C132" s="705"/>
      <c r="D132" s="699" t="s">
        <v>11</v>
      </c>
      <c r="E132" s="701" t="s">
        <v>76</v>
      </c>
      <c r="F132" s="703" t="s">
        <v>197</v>
      </c>
      <c r="G132" s="167"/>
      <c r="H132" s="171"/>
      <c r="I132" s="699" t="s">
        <v>11</v>
      </c>
      <c r="J132" s="701" t="s">
        <v>76</v>
      </c>
      <c r="K132" s="703" t="s">
        <v>197</v>
      </c>
      <c r="L132" s="170"/>
      <c r="M132" s="716" t="s">
        <v>196</v>
      </c>
      <c r="N132" s="718" t="s">
        <v>77</v>
      </c>
    </row>
    <row r="133" spans="1:14" ht="13.5" thickBot="1">
      <c r="A133" s="172">
        <v>5000</v>
      </c>
      <c r="B133" s="31"/>
      <c r="C133" s="706"/>
      <c r="D133" s="700"/>
      <c r="E133" s="702"/>
      <c r="F133" s="704"/>
      <c r="G133" s="168"/>
      <c r="H133" s="31"/>
      <c r="I133" s="714"/>
      <c r="J133" s="715"/>
      <c r="K133" s="704"/>
      <c r="L133" s="32"/>
      <c r="M133" s="717"/>
      <c r="N133" s="719"/>
    </row>
    <row r="134" spans="1:14" ht="25.5">
      <c r="A134" s="173"/>
      <c r="B134" s="31"/>
      <c r="C134" s="174" t="s">
        <v>21</v>
      </c>
      <c r="D134" s="175" t="s">
        <v>78</v>
      </c>
      <c r="E134" s="176" t="s">
        <v>78</v>
      </c>
      <c r="F134" s="235">
        <f>F122</f>
        <v>13.43</v>
      </c>
      <c r="G134" s="168"/>
      <c r="H134" s="178" t="s">
        <v>21</v>
      </c>
      <c r="I134" s="179" t="str">
        <f>D134</f>
        <v>N/A</v>
      </c>
      <c r="J134" s="179" t="s">
        <v>78</v>
      </c>
      <c r="K134" s="228">
        <f>$K$111</f>
        <v>12.185831699634123</v>
      </c>
      <c r="L134" s="180"/>
      <c r="M134" s="720"/>
      <c r="N134" s="721"/>
    </row>
    <row r="135" spans="1:14" ht="26.25" thickBot="1">
      <c r="A135" s="86"/>
      <c r="B135" s="31"/>
      <c r="C135" s="181" t="s">
        <v>79</v>
      </c>
      <c r="D135" s="182">
        <f>A133</f>
        <v>5000</v>
      </c>
      <c r="E135" s="183">
        <f>E123</f>
        <v>0.016708132186006242</v>
      </c>
      <c r="F135" s="351">
        <f>D135*E135</f>
        <v>83.54066093003121</v>
      </c>
      <c r="G135" s="168"/>
      <c r="H135" s="185" t="s">
        <v>79</v>
      </c>
      <c r="I135" s="186">
        <f>D135</f>
        <v>5000</v>
      </c>
      <c r="J135" s="431">
        <f>$J$112</f>
        <v>0.01751342830579469</v>
      </c>
      <c r="K135" s="187">
        <f>I135*J135</f>
        <v>87.56714152897345</v>
      </c>
      <c r="L135" s="180"/>
      <c r="M135" s="722"/>
      <c r="N135" s="723"/>
    </row>
    <row r="136" spans="1:14" ht="13.5" thickBot="1">
      <c r="A136" s="86"/>
      <c r="B136" s="31"/>
      <c r="C136" s="726"/>
      <c r="D136" s="727"/>
      <c r="E136" s="188" t="s">
        <v>51</v>
      </c>
      <c r="F136" s="372">
        <f>SUM(F134:F135)</f>
        <v>96.97066093003122</v>
      </c>
      <c r="G136" s="168"/>
      <c r="H136" s="709"/>
      <c r="I136" s="710"/>
      <c r="J136" s="188" t="s">
        <v>80</v>
      </c>
      <c r="K136" s="190">
        <f>SUM(K134:K135)</f>
        <v>99.75297322860757</v>
      </c>
      <c r="L136" s="180"/>
      <c r="M136" s="191">
        <f>K136-F136</f>
        <v>2.7823122985763575</v>
      </c>
      <c r="N136" s="192">
        <f>M136/F136</f>
        <v>0.028692310353375064</v>
      </c>
    </row>
    <row r="137" spans="1:14" ht="25.5">
      <c r="A137" s="86"/>
      <c r="B137" s="31"/>
      <c r="C137" s="181" t="s">
        <v>81</v>
      </c>
      <c r="D137" s="182">
        <f>A133</f>
        <v>5000</v>
      </c>
      <c r="E137" s="428">
        <v>0.0229</v>
      </c>
      <c r="F137" s="373">
        <f>D137*E137</f>
        <v>114.5</v>
      </c>
      <c r="G137" s="168"/>
      <c r="H137" s="185" t="s">
        <v>81</v>
      </c>
      <c r="I137" s="236">
        <f>D137</f>
        <v>5000</v>
      </c>
      <c r="J137" s="430">
        <f>E137</f>
        <v>0.0229</v>
      </c>
      <c r="K137" s="196">
        <f>F137</f>
        <v>114.5</v>
      </c>
      <c r="L137" s="180"/>
      <c r="M137" s="720"/>
      <c r="N137" s="721"/>
    </row>
    <row r="138" spans="1:14" ht="25.5">
      <c r="A138" s="86"/>
      <c r="B138" s="31"/>
      <c r="C138" s="197" t="s">
        <v>82</v>
      </c>
      <c r="D138" s="182">
        <v>750</v>
      </c>
      <c r="E138" s="429">
        <v>0.047</v>
      </c>
      <c r="F138" s="351">
        <f>D138*E138</f>
        <v>35.25</v>
      </c>
      <c r="G138" s="168"/>
      <c r="H138" s="197" t="s">
        <v>82</v>
      </c>
      <c r="I138" s="236">
        <f>D138</f>
        <v>750</v>
      </c>
      <c r="J138" s="429">
        <v>0.047</v>
      </c>
      <c r="K138" s="351">
        <f>I138*J138</f>
        <v>35.25</v>
      </c>
      <c r="L138" s="180"/>
      <c r="M138" s="724"/>
      <c r="N138" s="725"/>
    </row>
    <row r="139" spans="1:14" ht="26.25" thickBot="1">
      <c r="A139" s="86"/>
      <c r="B139" s="31"/>
      <c r="C139" s="197" t="s">
        <v>82</v>
      </c>
      <c r="D139" s="236">
        <f>A133-D138</f>
        <v>4250</v>
      </c>
      <c r="E139" s="429">
        <v>0.055</v>
      </c>
      <c r="F139" s="351">
        <f>D139*E139</f>
        <v>233.75</v>
      </c>
      <c r="G139" s="168"/>
      <c r="H139" s="352" t="s">
        <v>82</v>
      </c>
      <c r="I139" s="241">
        <f>D139</f>
        <v>4250</v>
      </c>
      <c r="J139" s="432">
        <v>0.055</v>
      </c>
      <c r="K139" s="354">
        <f>I139*J139</f>
        <v>233.75</v>
      </c>
      <c r="L139" s="180"/>
      <c r="M139" s="724"/>
      <c r="N139" s="725"/>
    </row>
    <row r="140" spans="1:14" ht="13.5" thickBot="1">
      <c r="A140" s="86"/>
      <c r="B140" s="31"/>
      <c r="C140" s="711"/>
      <c r="D140" s="712"/>
      <c r="E140" s="712"/>
      <c r="F140" s="713"/>
      <c r="G140" s="168"/>
      <c r="H140" s="712"/>
      <c r="I140" s="712"/>
      <c r="J140" s="712"/>
      <c r="K140" s="713"/>
      <c r="L140" s="31"/>
      <c r="M140" s="86"/>
      <c r="N140" s="203"/>
    </row>
    <row r="141" spans="1:14" ht="13.5" thickBot="1">
      <c r="A141" s="94"/>
      <c r="B141" s="149"/>
      <c r="C141" s="204" t="s">
        <v>83</v>
      </c>
      <c r="D141" s="205"/>
      <c r="E141" s="205"/>
      <c r="F141" s="190">
        <f>SUM(F137:F139,F136)</f>
        <v>480.4706609300312</v>
      </c>
      <c r="G141" s="207"/>
      <c r="H141" s="728" t="s">
        <v>84</v>
      </c>
      <c r="I141" s="728"/>
      <c r="J141" s="728"/>
      <c r="K141" s="190">
        <f>SUM(K136:K139)</f>
        <v>483.2529732286076</v>
      </c>
      <c r="L141" s="208"/>
      <c r="M141" s="191">
        <f>K141-F141</f>
        <v>2.7823122985763575</v>
      </c>
      <c r="N141" s="192">
        <f>M141/F141</f>
        <v>0.0057908058177594595</v>
      </c>
    </row>
    <row r="142" spans="6:14" ht="12.75">
      <c r="F142" s="180"/>
      <c r="K142" s="180"/>
      <c r="L142" s="217"/>
      <c r="M142" s="217"/>
      <c r="N142" s="230"/>
    </row>
    <row r="143" spans="6:14" ht="13.5" thickBot="1">
      <c r="F143" s="180"/>
      <c r="K143" s="180"/>
      <c r="L143" s="217"/>
      <c r="M143" s="217"/>
      <c r="N143" s="230"/>
    </row>
    <row r="144" spans="1:14" ht="60.75" thickBot="1">
      <c r="A144" s="169" t="s">
        <v>75</v>
      </c>
      <c r="B144" s="170"/>
      <c r="C144" s="705"/>
      <c r="D144" s="699" t="s">
        <v>11</v>
      </c>
      <c r="E144" s="701" t="s">
        <v>76</v>
      </c>
      <c r="F144" s="703" t="s">
        <v>197</v>
      </c>
      <c r="G144" s="167"/>
      <c r="H144" s="171"/>
      <c r="I144" s="699" t="s">
        <v>11</v>
      </c>
      <c r="J144" s="701" t="s">
        <v>76</v>
      </c>
      <c r="K144" s="703" t="s">
        <v>197</v>
      </c>
      <c r="L144" s="170"/>
      <c r="M144" s="716" t="s">
        <v>196</v>
      </c>
      <c r="N144" s="718" t="s">
        <v>77</v>
      </c>
    </row>
    <row r="145" spans="1:14" ht="13.5" thickBot="1">
      <c r="A145" s="172">
        <v>10000</v>
      </c>
      <c r="B145" s="31"/>
      <c r="C145" s="706"/>
      <c r="D145" s="700"/>
      <c r="E145" s="702"/>
      <c r="F145" s="704"/>
      <c r="G145" s="168"/>
      <c r="H145" s="31"/>
      <c r="I145" s="714"/>
      <c r="J145" s="715"/>
      <c r="K145" s="704"/>
      <c r="L145" s="32"/>
      <c r="M145" s="717"/>
      <c r="N145" s="719"/>
    </row>
    <row r="146" spans="1:14" ht="25.5">
      <c r="A146" s="173"/>
      <c r="B146" s="31"/>
      <c r="C146" s="174" t="s">
        <v>21</v>
      </c>
      <c r="D146" s="175" t="s">
        <v>78</v>
      </c>
      <c r="E146" s="176" t="s">
        <v>78</v>
      </c>
      <c r="F146" s="235">
        <f>F134</f>
        <v>13.43</v>
      </c>
      <c r="G146" s="168"/>
      <c r="H146" s="178" t="s">
        <v>21</v>
      </c>
      <c r="I146" s="179" t="str">
        <f>D146</f>
        <v>N/A</v>
      </c>
      <c r="J146" s="179" t="s">
        <v>78</v>
      </c>
      <c r="K146" s="228">
        <f>$K$111</f>
        <v>12.185831699634123</v>
      </c>
      <c r="L146" s="180"/>
      <c r="M146" s="720"/>
      <c r="N146" s="721"/>
    </row>
    <row r="147" spans="1:14" ht="26.25" thickBot="1">
      <c r="A147" s="86"/>
      <c r="B147" s="31"/>
      <c r="C147" s="181" t="s">
        <v>79</v>
      </c>
      <c r="D147" s="182">
        <f>A145</f>
        <v>10000</v>
      </c>
      <c r="E147" s="183">
        <f>E135</f>
        <v>0.016708132186006242</v>
      </c>
      <c r="F147" s="351">
        <f>D147*E147</f>
        <v>167.08132186006242</v>
      </c>
      <c r="G147" s="168"/>
      <c r="H147" s="185" t="s">
        <v>79</v>
      </c>
      <c r="I147" s="186">
        <f>D147</f>
        <v>10000</v>
      </c>
      <c r="J147" s="431">
        <f>$J$112</f>
        <v>0.01751342830579469</v>
      </c>
      <c r="K147" s="187">
        <f>I147*J147</f>
        <v>175.1342830579469</v>
      </c>
      <c r="L147" s="180"/>
      <c r="M147" s="722"/>
      <c r="N147" s="723"/>
    </row>
    <row r="148" spans="1:14" ht="13.5" thickBot="1">
      <c r="A148" s="86"/>
      <c r="B148" s="31"/>
      <c r="C148" s="726"/>
      <c r="D148" s="727"/>
      <c r="E148" s="188" t="s">
        <v>51</v>
      </c>
      <c r="F148" s="372">
        <f>SUM(F146:F147)</f>
        <v>180.51132186006242</v>
      </c>
      <c r="G148" s="168"/>
      <c r="H148" s="709"/>
      <c r="I148" s="710"/>
      <c r="J148" s="188" t="s">
        <v>80</v>
      </c>
      <c r="K148" s="190">
        <f>SUM(K146:K147)</f>
        <v>187.32011475758102</v>
      </c>
      <c r="L148" s="180"/>
      <c r="M148" s="191">
        <f>K148-F148</f>
        <v>6.8087928975186</v>
      </c>
      <c r="N148" s="192">
        <f>M148/F148</f>
        <v>0.03771947835381192</v>
      </c>
    </row>
    <row r="149" spans="1:14" ht="25.5">
      <c r="A149" s="86"/>
      <c r="B149" s="31"/>
      <c r="C149" s="181" t="s">
        <v>81</v>
      </c>
      <c r="D149" s="182">
        <f>A145</f>
        <v>10000</v>
      </c>
      <c r="E149" s="428">
        <v>0.0229</v>
      </c>
      <c r="F149" s="373">
        <f>D149*E149</f>
        <v>229</v>
      </c>
      <c r="G149" s="168"/>
      <c r="H149" s="185" t="s">
        <v>81</v>
      </c>
      <c r="I149" s="236">
        <f>D149</f>
        <v>10000</v>
      </c>
      <c r="J149" s="430">
        <f>E149</f>
        <v>0.0229</v>
      </c>
      <c r="K149" s="196">
        <f>F149</f>
        <v>229</v>
      </c>
      <c r="L149" s="180"/>
      <c r="M149" s="720"/>
      <c r="N149" s="721"/>
    </row>
    <row r="150" spans="1:14" ht="25.5">
      <c r="A150" s="86"/>
      <c r="B150" s="31"/>
      <c r="C150" s="197" t="s">
        <v>82</v>
      </c>
      <c r="D150" s="182">
        <v>750</v>
      </c>
      <c r="E150" s="429">
        <v>0.047</v>
      </c>
      <c r="F150" s="351">
        <f>D150*E150</f>
        <v>35.25</v>
      </c>
      <c r="G150" s="168"/>
      <c r="H150" s="197" t="s">
        <v>82</v>
      </c>
      <c r="I150" s="236">
        <f>D150</f>
        <v>750</v>
      </c>
      <c r="J150" s="429">
        <v>0.047</v>
      </c>
      <c r="K150" s="351">
        <f>I150*J150</f>
        <v>35.25</v>
      </c>
      <c r="L150" s="180"/>
      <c r="M150" s="724"/>
      <c r="N150" s="725"/>
    </row>
    <row r="151" spans="1:14" ht="26.25" thickBot="1">
      <c r="A151" s="86"/>
      <c r="B151" s="31"/>
      <c r="C151" s="197" t="s">
        <v>82</v>
      </c>
      <c r="D151" s="236">
        <f>A145-D150</f>
        <v>9250</v>
      </c>
      <c r="E151" s="429">
        <v>0.055</v>
      </c>
      <c r="F151" s="351">
        <f>D151*E151</f>
        <v>508.75</v>
      </c>
      <c r="G151" s="168"/>
      <c r="H151" s="352" t="s">
        <v>82</v>
      </c>
      <c r="I151" s="241">
        <f>D151</f>
        <v>9250</v>
      </c>
      <c r="J151" s="432">
        <v>0.055</v>
      </c>
      <c r="K151" s="354">
        <f>I151*J151</f>
        <v>508.75</v>
      </c>
      <c r="L151" s="180"/>
      <c r="M151" s="724"/>
      <c r="N151" s="725"/>
    </row>
    <row r="152" spans="1:14" ht="13.5" thickBot="1">
      <c r="A152" s="86"/>
      <c r="B152" s="31"/>
      <c r="C152" s="711"/>
      <c r="D152" s="712"/>
      <c r="E152" s="712"/>
      <c r="F152" s="713"/>
      <c r="G152" s="168"/>
      <c r="H152" s="712"/>
      <c r="I152" s="712"/>
      <c r="J152" s="712"/>
      <c r="K152" s="713"/>
      <c r="L152" s="31"/>
      <c r="M152" s="86"/>
      <c r="N152" s="203"/>
    </row>
    <row r="153" spans="1:14" ht="13.5" thickBot="1">
      <c r="A153" s="94"/>
      <c r="B153" s="149"/>
      <c r="C153" s="204" t="s">
        <v>83</v>
      </c>
      <c r="D153" s="205"/>
      <c r="E153" s="205"/>
      <c r="F153" s="190">
        <f>SUM(F149:F151,F148)</f>
        <v>953.5113218600625</v>
      </c>
      <c r="G153" s="207"/>
      <c r="H153" s="728" t="s">
        <v>84</v>
      </c>
      <c r="I153" s="728"/>
      <c r="J153" s="728"/>
      <c r="K153" s="190">
        <f>SUM(K148:K151)</f>
        <v>960.320114757581</v>
      </c>
      <c r="L153" s="208"/>
      <c r="M153" s="191">
        <f>K153-F153</f>
        <v>6.808792897518515</v>
      </c>
      <c r="N153" s="192">
        <f>M153/F153</f>
        <v>0.007140757263622482</v>
      </c>
    </row>
    <row r="154" spans="6:14" ht="12.75">
      <c r="F154" s="180"/>
      <c r="K154" s="180"/>
      <c r="L154" s="217"/>
      <c r="M154" s="217"/>
      <c r="N154" s="230"/>
    </row>
    <row r="155" spans="6:14" ht="13.5" thickBot="1">
      <c r="F155" s="180"/>
      <c r="K155" s="180"/>
      <c r="L155" s="217"/>
      <c r="M155" s="217"/>
      <c r="N155" s="230"/>
    </row>
    <row r="156" spans="1:14" ht="60.75" thickBot="1">
      <c r="A156" s="169" t="s">
        <v>75</v>
      </c>
      <c r="B156" s="170"/>
      <c r="C156" s="705"/>
      <c r="D156" s="699" t="s">
        <v>11</v>
      </c>
      <c r="E156" s="701" t="s">
        <v>76</v>
      </c>
      <c r="F156" s="703" t="s">
        <v>197</v>
      </c>
      <c r="G156" s="167"/>
      <c r="H156" s="171"/>
      <c r="I156" s="699" t="s">
        <v>11</v>
      </c>
      <c r="J156" s="701" t="s">
        <v>76</v>
      </c>
      <c r="K156" s="703" t="s">
        <v>197</v>
      </c>
      <c r="L156" s="170"/>
      <c r="M156" s="716" t="s">
        <v>196</v>
      </c>
      <c r="N156" s="718" t="s">
        <v>77</v>
      </c>
    </row>
    <row r="157" spans="1:14" ht="13.5" thickBot="1">
      <c r="A157" s="172">
        <v>15000</v>
      </c>
      <c r="B157" s="31"/>
      <c r="C157" s="706"/>
      <c r="D157" s="700"/>
      <c r="E157" s="702"/>
      <c r="F157" s="704"/>
      <c r="G157" s="168"/>
      <c r="H157" s="31"/>
      <c r="I157" s="714"/>
      <c r="J157" s="715"/>
      <c r="K157" s="704"/>
      <c r="L157" s="32"/>
      <c r="M157" s="717"/>
      <c r="N157" s="719"/>
    </row>
    <row r="158" spans="1:14" ht="25.5">
      <c r="A158" s="173"/>
      <c r="B158" s="31"/>
      <c r="C158" s="174" t="s">
        <v>21</v>
      </c>
      <c r="D158" s="175" t="s">
        <v>78</v>
      </c>
      <c r="E158" s="176" t="s">
        <v>78</v>
      </c>
      <c r="F158" s="177">
        <f>F146</f>
        <v>13.43</v>
      </c>
      <c r="G158" s="168"/>
      <c r="H158" s="178" t="s">
        <v>21</v>
      </c>
      <c r="I158" s="179" t="str">
        <f>D158</f>
        <v>N/A</v>
      </c>
      <c r="J158" s="179" t="s">
        <v>78</v>
      </c>
      <c r="K158" s="228">
        <f>$K$111</f>
        <v>12.185831699634123</v>
      </c>
      <c r="L158" s="180"/>
      <c r="M158" s="720"/>
      <c r="N158" s="721"/>
    </row>
    <row r="159" spans="1:14" ht="26.25" thickBot="1">
      <c r="A159" s="86"/>
      <c r="B159" s="31"/>
      <c r="C159" s="181" t="s">
        <v>79</v>
      </c>
      <c r="D159" s="182">
        <f>A157</f>
        <v>15000</v>
      </c>
      <c r="E159" s="183">
        <f>E147</f>
        <v>0.016708132186006242</v>
      </c>
      <c r="F159" s="184">
        <f>D159*E159</f>
        <v>250.62198279009363</v>
      </c>
      <c r="G159" s="168"/>
      <c r="H159" s="185" t="s">
        <v>79</v>
      </c>
      <c r="I159" s="186">
        <f>D159</f>
        <v>15000</v>
      </c>
      <c r="J159" s="431">
        <f>$J$112</f>
        <v>0.01751342830579469</v>
      </c>
      <c r="K159" s="187">
        <f>I159*J159</f>
        <v>262.7014245869203</v>
      </c>
      <c r="L159" s="180"/>
      <c r="M159" s="722"/>
      <c r="N159" s="723"/>
    </row>
    <row r="160" spans="1:14" ht="13.5" thickBot="1">
      <c r="A160" s="86"/>
      <c r="B160" s="31"/>
      <c r="C160" s="726"/>
      <c r="D160" s="727"/>
      <c r="E160" s="188" t="s">
        <v>51</v>
      </c>
      <c r="F160" s="189">
        <f>SUM(F158:F159)</f>
        <v>264.05198279009363</v>
      </c>
      <c r="G160" s="168"/>
      <c r="H160" s="709"/>
      <c r="I160" s="710"/>
      <c r="J160" s="188" t="s">
        <v>80</v>
      </c>
      <c r="K160" s="190">
        <f>SUM(K158:K159)</f>
        <v>274.8872562865545</v>
      </c>
      <c r="L160" s="180"/>
      <c r="M160" s="191">
        <f>K160-F160</f>
        <v>10.835273496460843</v>
      </c>
      <c r="N160" s="192">
        <f>M160/F160</f>
        <v>0.04103462273591133</v>
      </c>
    </row>
    <row r="161" spans="1:14" ht="25.5">
      <c r="A161" s="86"/>
      <c r="B161" s="31"/>
      <c r="C161" s="181" t="s">
        <v>81</v>
      </c>
      <c r="D161" s="182">
        <f>A157</f>
        <v>15000</v>
      </c>
      <c r="E161" s="428">
        <v>0.0229</v>
      </c>
      <c r="F161" s="194">
        <f>D161*E161</f>
        <v>343.5</v>
      </c>
      <c r="G161" s="168"/>
      <c r="H161" s="185" t="s">
        <v>81</v>
      </c>
      <c r="I161" s="236">
        <f>D161</f>
        <v>15000</v>
      </c>
      <c r="J161" s="433">
        <f>E161</f>
        <v>0.0229</v>
      </c>
      <c r="K161" s="196">
        <f>F161</f>
        <v>343.5</v>
      </c>
      <c r="L161" s="180"/>
      <c r="M161" s="720"/>
      <c r="N161" s="721"/>
    </row>
    <row r="162" spans="1:14" ht="25.5">
      <c r="A162" s="86"/>
      <c r="B162" s="31"/>
      <c r="C162" s="197" t="s">
        <v>82</v>
      </c>
      <c r="D162" s="182">
        <v>750</v>
      </c>
      <c r="E162" s="429">
        <v>0.047</v>
      </c>
      <c r="F162" s="184">
        <f>D162*E162</f>
        <v>35.25</v>
      </c>
      <c r="G162" s="168"/>
      <c r="H162" s="197" t="s">
        <v>82</v>
      </c>
      <c r="I162" s="236">
        <f>D162</f>
        <v>750</v>
      </c>
      <c r="J162" s="434">
        <v>0.047</v>
      </c>
      <c r="K162" s="351">
        <f>I162*J162</f>
        <v>35.25</v>
      </c>
      <c r="L162" s="180"/>
      <c r="M162" s="724"/>
      <c r="N162" s="725"/>
    </row>
    <row r="163" spans="1:14" ht="26.25" thickBot="1">
      <c r="A163" s="86"/>
      <c r="B163" s="31"/>
      <c r="C163" s="197" t="s">
        <v>82</v>
      </c>
      <c r="D163" s="236">
        <f>A157-D162</f>
        <v>14250</v>
      </c>
      <c r="E163" s="429">
        <v>0.055</v>
      </c>
      <c r="F163" s="184">
        <f>D163*E163</f>
        <v>783.75</v>
      </c>
      <c r="G163" s="168"/>
      <c r="H163" s="352" t="s">
        <v>82</v>
      </c>
      <c r="I163" s="241">
        <f>D163</f>
        <v>14250</v>
      </c>
      <c r="J163" s="435">
        <v>0.055</v>
      </c>
      <c r="K163" s="354">
        <f>I163*J163</f>
        <v>783.75</v>
      </c>
      <c r="L163" s="180"/>
      <c r="M163" s="724"/>
      <c r="N163" s="725"/>
    </row>
    <row r="164" spans="1:14" ht="13.5" thickBot="1">
      <c r="A164" s="86"/>
      <c r="B164" s="31"/>
      <c r="C164" s="711"/>
      <c r="D164" s="712"/>
      <c r="E164" s="712"/>
      <c r="F164" s="712"/>
      <c r="G164" s="168"/>
      <c r="H164" s="712"/>
      <c r="I164" s="712"/>
      <c r="J164" s="712"/>
      <c r="K164" s="713"/>
      <c r="L164" s="31"/>
      <c r="M164" s="86"/>
      <c r="N164" s="203"/>
    </row>
    <row r="165" spans="1:14" ht="13.5" thickBot="1">
      <c r="A165" s="94"/>
      <c r="B165" s="149"/>
      <c r="C165" s="204" t="s">
        <v>83</v>
      </c>
      <c r="D165" s="205"/>
      <c r="E165" s="205"/>
      <c r="F165" s="206">
        <f>SUM(F161:F163,F160)</f>
        <v>1426.5519827900937</v>
      </c>
      <c r="G165" s="207"/>
      <c r="H165" s="728" t="s">
        <v>84</v>
      </c>
      <c r="I165" s="728"/>
      <c r="J165" s="728"/>
      <c r="K165" s="190">
        <f>SUM(K160:K163)</f>
        <v>1437.3872562865545</v>
      </c>
      <c r="L165" s="208"/>
      <c r="M165" s="191">
        <f>K165-F165</f>
        <v>10.835273496460786</v>
      </c>
      <c r="N165" s="192">
        <f>M165/F165</f>
        <v>0.007595428436662244</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243</v>
      </c>
      <c r="B169" s="131"/>
      <c r="F169" s="217"/>
      <c r="J169" s="222"/>
      <c r="K169" s="217"/>
      <c r="L169" s="217"/>
      <c r="M169" s="217"/>
    </row>
    <row r="170" spans="1:13" ht="15.75">
      <c r="A170" s="131"/>
      <c r="B170" s="131"/>
      <c r="D170" s="31"/>
      <c r="F170" s="217"/>
      <c r="J170" s="222"/>
      <c r="K170" s="217"/>
      <c r="L170" s="217"/>
      <c r="M170" s="217"/>
    </row>
    <row r="171" spans="1:14" s="144" customFormat="1" ht="15">
      <c r="A171" s="141" t="s">
        <v>92</v>
      </c>
      <c r="B171" s="233"/>
      <c r="D171" s="224"/>
      <c r="F171" s="225"/>
      <c r="J171" s="226"/>
      <c r="K171" s="225"/>
      <c r="L171" s="225"/>
      <c r="M171" s="225"/>
      <c r="N171" s="227"/>
    </row>
    <row r="172" spans="1:14" s="144" customFormat="1" ht="15">
      <c r="A172" s="141" t="s">
        <v>50</v>
      </c>
      <c r="B172" s="233"/>
      <c r="D172" s="224"/>
      <c r="F172" s="225"/>
      <c r="J172" s="226"/>
      <c r="K172" s="225"/>
      <c r="L172" s="225"/>
      <c r="M172" s="225"/>
      <c r="N172" s="227"/>
    </row>
    <row r="173" spans="1:14" s="144" customFormat="1" ht="15">
      <c r="A173" s="141" t="s">
        <v>158</v>
      </c>
      <c r="B173" s="233"/>
      <c r="D173" s="224"/>
      <c r="F173" s="225"/>
      <c r="J173" s="226"/>
      <c r="K173" s="225"/>
      <c r="L173" s="225"/>
      <c r="M173" s="225"/>
      <c r="N173" s="227"/>
    </row>
    <row r="174" spans="1:14" s="144" customFormat="1" ht="15">
      <c r="A174" s="141" t="s">
        <v>157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693" t="s">
        <v>94</v>
      </c>
      <c r="D176" s="694"/>
      <c r="E176" s="694"/>
      <c r="F176" s="695"/>
      <c r="G176" s="167"/>
      <c r="H176" s="693" t="s">
        <v>95</v>
      </c>
      <c r="I176" s="694"/>
      <c r="J176" s="694"/>
      <c r="K176" s="694"/>
      <c r="L176" s="694"/>
      <c r="M176" s="694"/>
      <c r="N176" s="695"/>
      <c r="O176" s="31"/>
    </row>
    <row r="177" spans="1:14" ht="13.5" customHeight="1" thickBot="1">
      <c r="A177"/>
      <c r="C177" s="696"/>
      <c r="D177" s="697"/>
      <c r="E177" s="697"/>
      <c r="F177" s="698"/>
      <c r="G177" s="168"/>
      <c r="H177" s="696"/>
      <c r="I177" s="697"/>
      <c r="J177" s="697"/>
      <c r="K177" s="697"/>
      <c r="L177" s="697"/>
      <c r="M177" s="697"/>
      <c r="N177" s="698"/>
    </row>
    <row r="178" spans="1:14" ht="60">
      <c r="A178" s="169" t="s">
        <v>17</v>
      </c>
      <c r="B178" s="170"/>
      <c r="C178" s="705"/>
      <c r="D178" s="699" t="s">
        <v>85</v>
      </c>
      <c r="E178" s="701" t="s">
        <v>86</v>
      </c>
      <c r="F178" s="703" t="s">
        <v>197</v>
      </c>
      <c r="G178" s="167"/>
      <c r="H178" s="171"/>
      <c r="I178" s="699" t="s">
        <v>85</v>
      </c>
      <c r="J178" s="701" t="s">
        <v>86</v>
      </c>
      <c r="K178" s="703" t="s">
        <v>197</v>
      </c>
      <c r="L178" s="170"/>
      <c r="M178" s="716" t="s">
        <v>196</v>
      </c>
      <c r="N178" s="718" t="s">
        <v>77</v>
      </c>
    </row>
    <row r="179" spans="1:14" ht="13.5" thickBot="1">
      <c r="A179" s="12" t="s">
        <v>10</v>
      </c>
      <c r="B179" s="31"/>
      <c r="C179" s="706"/>
      <c r="D179" s="700"/>
      <c r="E179" s="702"/>
      <c r="F179" s="704"/>
      <c r="G179" s="168"/>
      <c r="H179" s="31"/>
      <c r="I179" s="700"/>
      <c r="J179" s="702"/>
      <c r="K179" s="704"/>
      <c r="L179" s="32"/>
      <c r="M179" s="717"/>
      <c r="N179" s="719"/>
    </row>
    <row r="180" spans="1:14" ht="26.25" thickBot="1">
      <c r="A180" s="234">
        <v>60</v>
      </c>
      <c r="B180" s="31"/>
      <c r="C180" s="174" t="s">
        <v>21</v>
      </c>
      <c r="D180" s="175" t="s">
        <v>78</v>
      </c>
      <c r="E180" s="176" t="s">
        <v>78</v>
      </c>
      <c r="F180" s="177">
        <f>'12. Current Rates'!$D$42</f>
        <v>24.9</v>
      </c>
      <c r="G180" s="168"/>
      <c r="H180" s="178" t="s">
        <v>21</v>
      </c>
      <c r="I180" s="175" t="str">
        <f>D180</f>
        <v>N/A</v>
      </c>
      <c r="J180" s="175" t="s">
        <v>78</v>
      </c>
      <c r="K180" s="235">
        <f>'11. 2005 Final Rate Schedule '!$F$31</f>
        <v>21.7006919519267</v>
      </c>
      <c r="L180" s="180"/>
      <c r="M180" s="720"/>
      <c r="N180" s="721"/>
    </row>
    <row r="181" spans="1:14" ht="13.5" thickBot="1">
      <c r="A181" s="12" t="s">
        <v>11</v>
      </c>
      <c r="B181" s="31"/>
      <c r="C181" s="181" t="s">
        <v>87</v>
      </c>
      <c r="D181" s="236">
        <f>A180</f>
        <v>60</v>
      </c>
      <c r="E181" s="591">
        <f>'12. Current Rates'!$D$40</f>
        <v>5.033051012484996</v>
      </c>
      <c r="F181" s="184">
        <f>D181*E181</f>
        <v>301.98306074909976</v>
      </c>
      <c r="G181" s="168"/>
      <c r="H181" s="185" t="s">
        <v>87</v>
      </c>
      <c r="I181" s="186">
        <f>D181</f>
        <v>60</v>
      </c>
      <c r="J181" s="592">
        <f>'11. 2005 Final Rate Schedule '!$F$32</f>
        <v>4.627584442789339</v>
      </c>
      <c r="K181" s="237">
        <f>I181*J181</f>
        <v>277.65506656736034</v>
      </c>
      <c r="L181" s="180"/>
      <c r="M181" s="722"/>
      <c r="N181" s="723"/>
    </row>
    <row r="182" spans="1:14" ht="13.5" thickBot="1">
      <c r="A182" s="234">
        <v>15000</v>
      </c>
      <c r="B182" s="31"/>
      <c r="C182" s="726"/>
      <c r="D182" s="727"/>
      <c r="E182" s="188" t="s">
        <v>51</v>
      </c>
      <c r="F182" s="189">
        <f>SUM(F180:F181)</f>
        <v>326.88306074909974</v>
      </c>
      <c r="G182" s="168"/>
      <c r="H182" s="709"/>
      <c r="I182" s="710"/>
      <c r="J182" s="188" t="s">
        <v>80</v>
      </c>
      <c r="K182" s="190">
        <f>SUM(K180:K181)</f>
        <v>299.35575851928706</v>
      </c>
      <c r="L182" s="180"/>
      <c r="M182" s="191">
        <f>K182-F182</f>
        <v>-27.527302229812676</v>
      </c>
      <c r="N182" s="192">
        <f>M182/F182</f>
        <v>-0.08421146744872582</v>
      </c>
    </row>
    <row r="183" spans="1:14" ht="25.5">
      <c r="A183" s="86"/>
      <c r="B183" s="31"/>
      <c r="C183" s="181" t="s">
        <v>88</v>
      </c>
      <c r="D183" s="236">
        <f>A180</f>
        <v>60</v>
      </c>
      <c r="E183" s="428">
        <v>3.91</v>
      </c>
      <c r="F183" s="194">
        <f>D183*E183</f>
        <v>234.60000000000002</v>
      </c>
      <c r="G183" s="168"/>
      <c r="H183" s="185" t="s">
        <v>88</v>
      </c>
      <c r="I183" s="260">
        <f aca="true" t="shared" si="5" ref="I183:K184">D183</f>
        <v>60</v>
      </c>
      <c r="J183" s="436">
        <f t="shared" si="5"/>
        <v>3.91</v>
      </c>
      <c r="K183" s="239">
        <f t="shared" si="5"/>
        <v>234.60000000000002</v>
      </c>
      <c r="L183" s="180"/>
      <c r="M183" s="240"/>
      <c r="N183" s="258"/>
    </row>
    <row r="184" spans="1:14" ht="25.5">
      <c r="A184" s="86"/>
      <c r="B184" s="31"/>
      <c r="C184" s="181" t="s">
        <v>81</v>
      </c>
      <c r="D184" s="236">
        <f>A182</f>
        <v>15000</v>
      </c>
      <c r="E184" s="428">
        <v>0.0132</v>
      </c>
      <c r="F184" s="194">
        <f>D184*E184</f>
        <v>198</v>
      </c>
      <c r="G184" s="168"/>
      <c r="H184" s="185" t="s">
        <v>81</v>
      </c>
      <c r="I184" s="236">
        <f t="shared" si="5"/>
        <v>15000</v>
      </c>
      <c r="J184" s="436">
        <f t="shared" si="5"/>
        <v>0.0132</v>
      </c>
      <c r="K184" s="239">
        <f t="shared" si="5"/>
        <v>198</v>
      </c>
      <c r="L184" s="180"/>
      <c r="M184" s="724"/>
      <c r="N184" s="725"/>
    </row>
    <row r="185" spans="1:14" ht="26.25" thickBot="1">
      <c r="A185" s="86"/>
      <c r="B185" s="31"/>
      <c r="C185" s="197" t="s">
        <v>82</v>
      </c>
      <c r="D185" s="182">
        <v>750</v>
      </c>
      <c r="E185" s="429">
        <v>0.055</v>
      </c>
      <c r="F185" s="184">
        <f>D185*E185</f>
        <v>41.25</v>
      </c>
      <c r="G185" s="168"/>
      <c r="H185" s="197" t="s">
        <v>82</v>
      </c>
      <c r="I185" s="241">
        <f>D185</f>
        <v>750</v>
      </c>
      <c r="J185" s="429">
        <f>E185</f>
        <v>0.055</v>
      </c>
      <c r="K185" s="351">
        <f>I185*J185</f>
        <v>41.25</v>
      </c>
      <c r="L185" s="180"/>
      <c r="M185" s="724"/>
      <c r="N185" s="725"/>
    </row>
    <row r="186" spans="1:14" ht="8.25" customHeight="1" thickBot="1">
      <c r="A186" s="86"/>
      <c r="B186" s="31"/>
      <c r="C186" s="711"/>
      <c r="D186" s="712"/>
      <c r="E186" s="712"/>
      <c r="F186" s="712"/>
      <c r="G186" s="168"/>
      <c r="H186" s="712"/>
      <c r="I186" s="712"/>
      <c r="J186" s="712"/>
      <c r="K186" s="713"/>
      <c r="L186" s="31"/>
      <c r="M186" s="86"/>
      <c r="N186" s="203"/>
    </row>
    <row r="187" spans="1:14" ht="13.5" thickBot="1">
      <c r="A187" s="94"/>
      <c r="B187" s="149"/>
      <c r="C187" s="204" t="s">
        <v>83</v>
      </c>
      <c r="D187" s="205"/>
      <c r="E187" s="205"/>
      <c r="F187" s="206">
        <f>SUM(F183:F185)+F182</f>
        <v>800.7330607490998</v>
      </c>
      <c r="G187" s="207"/>
      <c r="H187" s="728" t="s">
        <v>84</v>
      </c>
      <c r="I187" s="728"/>
      <c r="J187" s="728"/>
      <c r="K187" s="190">
        <f>SUM(K183:K185)+K182</f>
        <v>773.2057585192871</v>
      </c>
      <c r="L187" s="208"/>
      <c r="M187" s="191">
        <f>K187-F187</f>
        <v>-27.527302229812676</v>
      </c>
      <c r="N187" s="192">
        <f>M187/F187</f>
        <v>-0.034377626676311335</v>
      </c>
    </row>
    <row r="188" spans="6:14" ht="12.75">
      <c r="F188" s="180"/>
      <c r="K188" s="180"/>
      <c r="L188" s="217"/>
      <c r="M188" s="217"/>
      <c r="N188" s="230"/>
    </row>
    <row r="189" spans="6:14" ht="13.5" thickBot="1">
      <c r="F189" s="180"/>
      <c r="K189" s="180"/>
      <c r="L189" s="217"/>
      <c r="M189" s="217"/>
      <c r="N189" s="230"/>
    </row>
    <row r="190" spans="1:14" ht="60">
      <c r="A190" s="169" t="s">
        <v>17</v>
      </c>
      <c r="B190" s="170"/>
      <c r="C190" s="705"/>
      <c r="D190" s="699" t="s">
        <v>85</v>
      </c>
      <c r="E190" s="701" t="s">
        <v>86</v>
      </c>
      <c r="F190" s="703" t="s">
        <v>197</v>
      </c>
      <c r="G190" s="167"/>
      <c r="H190" s="171"/>
      <c r="I190" s="699" t="s">
        <v>85</v>
      </c>
      <c r="J190" s="701" t="s">
        <v>86</v>
      </c>
      <c r="K190" s="703" t="s">
        <v>197</v>
      </c>
      <c r="L190" s="170"/>
      <c r="M190" s="716" t="s">
        <v>196</v>
      </c>
      <c r="N190" s="718" t="s">
        <v>77</v>
      </c>
    </row>
    <row r="191" spans="1:14" ht="13.5" thickBot="1">
      <c r="A191" s="12" t="s">
        <v>10</v>
      </c>
      <c r="B191" s="31"/>
      <c r="C191" s="706"/>
      <c r="D191" s="700"/>
      <c r="E191" s="702"/>
      <c r="F191" s="704"/>
      <c r="G191" s="168"/>
      <c r="H191" s="31"/>
      <c r="I191" s="700"/>
      <c r="J191" s="702"/>
      <c r="K191" s="704"/>
      <c r="L191" s="32"/>
      <c r="M191" s="717"/>
      <c r="N191" s="719"/>
    </row>
    <row r="192" spans="1:14" ht="26.25" thickBot="1">
      <c r="A192" s="234">
        <v>100</v>
      </c>
      <c r="B192" s="31"/>
      <c r="C192" s="174" t="s">
        <v>21</v>
      </c>
      <c r="D192" s="175" t="s">
        <v>78</v>
      </c>
      <c r="E192" s="176" t="s">
        <v>78</v>
      </c>
      <c r="F192" s="177">
        <f>'12. Current Rates'!$D$42</f>
        <v>24.9</v>
      </c>
      <c r="G192" s="168"/>
      <c r="H192" s="178" t="s">
        <v>21</v>
      </c>
      <c r="I192" s="175" t="str">
        <f>D192</f>
        <v>N/A</v>
      </c>
      <c r="J192" s="175" t="s">
        <v>78</v>
      </c>
      <c r="K192" s="235">
        <f>'11. 2005 Final Rate Schedule '!$F$31</f>
        <v>21.7006919519267</v>
      </c>
      <c r="L192" s="180"/>
      <c r="M192" s="720"/>
      <c r="N192" s="721"/>
    </row>
    <row r="193" spans="1:14" ht="13.5" thickBot="1">
      <c r="A193" s="12" t="s">
        <v>11</v>
      </c>
      <c r="B193" s="31"/>
      <c r="C193" s="181" t="s">
        <v>87</v>
      </c>
      <c r="D193" s="236">
        <f>A192</f>
        <v>100</v>
      </c>
      <c r="E193" s="591">
        <f>'12. Current Rates'!$D$40</f>
        <v>5.033051012484996</v>
      </c>
      <c r="F193" s="184">
        <f>D193*E193</f>
        <v>503.30510124849957</v>
      </c>
      <c r="G193" s="168"/>
      <c r="H193" s="185" t="s">
        <v>87</v>
      </c>
      <c r="I193" s="186">
        <f>D193</f>
        <v>100</v>
      </c>
      <c r="J193" s="592">
        <f>'11. 2005 Final Rate Schedule '!$F$32</f>
        <v>4.627584442789339</v>
      </c>
      <c r="K193" s="237">
        <f>I193*J193</f>
        <v>462.7584442789339</v>
      </c>
      <c r="L193" s="180"/>
      <c r="M193" s="722"/>
      <c r="N193" s="723"/>
    </row>
    <row r="194" spans="1:14" ht="13.5" thickBot="1">
      <c r="A194" s="234">
        <v>40000</v>
      </c>
      <c r="B194" s="31"/>
      <c r="C194" s="726"/>
      <c r="D194" s="727"/>
      <c r="E194" s="188" t="s">
        <v>51</v>
      </c>
      <c r="F194" s="189">
        <f>SUM(F192:F193)</f>
        <v>528.2051012484995</v>
      </c>
      <c r="G194" s="168"/>
      <c r="H194" s="709"/>
      <c r="I194" s="710"/>
      <c r="J194" s="188" t="s">
        <v>80</v>
      </c>
      <c r="K194" s="190">
        <f>SUM(K192:K193)</f>
        <v>484.4591362308606</v>
      </c>
      <c r="L194" s="180"/>
      <c r="M194" s="191">
        <f>K194-F194</f>
        <v>-43.74596501763892</v>
      </c>
      <c r="N194" s="192">
        <f>M194/F194</f>
        <v>-0.08282003508530711</v>
      </c>
    </row>
    <row r="195" spans="1:14" ht="25.5">
      <c r="A195" s="86"/>
      <c r="B195" s="31"/>
      <c r="C195" s="181" t="s">
        <v>88</v>
      </c>
      <c r="D195" s="236">
        <f>A192</f>
        <v>100</v>
      </c>
      <c r="E195" s="428">
        <v>3.91</v>
      </c>
      <c r="F195" s="194">
        <f>D195*E195</f>
        <v>391</v>
      </c>
      <c r="G195" s="168"/>
      <c r="H195" s="185" t="s">
        <v>88</v>
      </c>
      <c r="I195" s="260">
        <f>D195</f>
        <v>100</v>
      </c>
      <c r="J195" s="436">
        <f aca="true" t="shared" si="6" ref="J195:K197">E195</f>
        <v>3.91</v>
      </c>
      <c r="K195" s="239">
        <f t="shared" si="6"/>
        <v>391</v>
      </c>
      <c r="L195" s="180"/>
      <c r="M195" s="240"/>
      <c r="N195" s="258"/>
    </row>
    <row r="196" spans="1:14" ht="25.5">
      <c r="A196" s="86"/>
      <c r="B196" s="31"/>
      <c r="C196" s="181" t="s">
        <v>81</v>
      </c>
      <c r="D196" s="236">
        <f>A194</f>
        <v>40000</v>
      </c>
      <c r="E196" s="428">
        <v>0.0132</v>
      </c>
      <c r="F196" s="194">
        <f>D196*E196</f>
        <v>528</v>
      </c>
      <c r="G196" s="168"/>
      <c r="H196" s="185" t="s">
        <v>81</v>
      </c>
      <c r="I196" s="236">
        <f>D196</f>
        <v>40000</v>
      </c>
      <c r="J196" s="436">
        <f t="shared" si="6"/>
        <v>0.0132</v>
      </c>
      <c r="K196" s="239">
        <f t="shared" si="6"/>
        <v>528</v>
      </c>
      <c r="L196" s="180"/>
      <c r="M196" s="724"/>
      <c r="N196" s="725"/>
    </row>
    <row r="197" spans="1:14" ht="26.25" thickBot="1">
      <c r="A197" s="86"/>
      <c r="B197" s="31"/>
      <c r="C197" s="197" t="s">
        <v>82</v>
      </c>
      <c r="D197" s="236">
        <f>A194</f>
        <v>40000</v>
      </c>
      <c r="E197" s="429">
        <v>0.055</v>
      </c>
      <c r="F197" s="184">
        <f>D197*E197</f>
        <v>2200</v>
      </c>
      <c r="G197" s="168"/>
      <c r="H197" s="197" t="s">
        <v>82</v>
      </c>
      <c r="I197" s="241">
        <f>D197</f>
        <v>40000</v>
      </c>
      <c r="J197" s="437">
        <v>0.055</v>
      </c>
      <c r="K197" s="243">
        <f t="shared" si="6"/>
        <v>2200</v>
      </c>
      <c r="L197" s="180"/>
      <c r="M197" s="724"/>
      <c r="N197" s="725"/>
    </row>
    <row r="198" spans="1:14" ht="8.25" customHeight="1" thickBot="1">
      <c r="A198" s="86"/>
      <c r="B198" s="31"/>
      <c r="C198" s="711"/>
      <c r="D198" s="712"/>
      <c r="E198" s="712"/>
      <c r="F198" s="712"/>
      <c r="G198" s="168"/>
      <c r="H198" s="712"/>
      <c r="I198" s="712"/>
      <c r="J198" s="712"/>
      <c r="K198" s="713"/>
      <c r="L198" s="31"/>
      <c r="M198" s="86"/>
      <c r="N198" s="203"/>
    </row>
    <row r="199" spans="1:14" ht="13.5" thickBot="1">
      <c r="A199" s="94"/>
      <c r="B199" s="149"/>
      <c r="C199" s="204" t="s">
        <v>83</v>
      </c>
      <c r="D199" s="205"/>
      <c r="E199" s="205"/>
      <c r="F199" s="206">
        <f>SUM(F195:F197)+F194</f>
        <v>3647.2051012484994</v>
      </c>
      <c r="G199" s="207"/>
      <c r="H199" s="728" t="s">
        <v>84</v>
      </c>
      <c r="I199" s="728"/>
      <c r="J199" s="728"/>
      <c r="K199" s="190">
        <f>SUM(K195:K197)+K194</f>
        <v>3603.4591362308606</v>
      </c>
      <c r="L199" s="208"/>
      <c r="M199" s="191">
        <f>K199-F199</f>
        <v>-43.74596501763881</v>
      </c>
      <c r="N199" s="192">
        <f>M199/F199</f>
        <v>-0.011994380300319232</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17</v>
      </c>
      <c r="B202" s="170"/>
      <c r="C202" s="705"/>
      <c r="D202" s="699" t="s">
        <v>85</v>
      </c>
      <c r="E202" s="701" t="s">
        <v>86</v>
      </c>
      <c r="F202" s="703" t="s">
        <v>197</v>
      </c>
      <c r="G202" s="167"/>
      <c r="H202" s="171"/>
      <c r="I202" s="699" t="s">
        <v>85</v>
      </c>
      <c r="J202" s="701" t="s">
        <v>86</v>
      </c>
      <c r="K202" s="703" t="s">
        <v>197</v>
      </c>
      <c r="L202" s="170"/>
      <c r="M202" s="716" t="s">
        <v>196</v>
      </c>
      <c r="N202" s="718" t="s">
        <v>77</v>
      </c>
    </row>
    <row r="203" spans="1:14" ht="13.5" thickBot="1">
      <c r="A203" s="12" t="s">
        <v>10</v>
      </c>
      <c r="B203" s="31"/>
      <c r="C203" s="706"/>
      <c r="D203" s="700"/>
      <c r="E203" s="702"/>
      <c r="F203" s="704"/>
      <c r="G203" s="168"/>
      <c r="H203" s="31"/>
      <c r="I203" s="700"/>
      <c r="J203" s="702"/>
      <c r="K203" s="704"/>
      <c r="L203" s="32"/>
      <c r="M203" s="717"/>
      <c r="N203" s="719"/>
    </row>
    <row r="204" spans="1:14" ht="26.25" thickBot="1">
      <c r="A204" s="234">
        <v>500</v>
      </c>
      <c r="B204" s="31"/>
      <c r="C204" s="174" t="s">
        <v>21</v>
      </c>
      <c r="D204" s="175" t="s">
        <v>78</v>
      </c>
      <c r="E204" s="176" t="s">
        <v>78</v>
      </c>
      <c r="F204" s="177">
        <f>'12. Current Rates'!$D$42</f>
        <v>24.9</v>
      </c>
      <c r="G204" s="168"/>
      <c r="H204" s="178" t="s">
        <v>21</v>
      </c>
      <c r="I204" s="175" t="str">
        <f>D204</f>
        <v>N/A</v>
      </c>
      <c r="J204" s="175" t="s">
        <v>78</v>
      </c>
      <c r="K204" s="235">
        <f>'11. 2005 Final Rate Schedule '!$F$31</f>
        <v>21.7006919519267</v>
      </c>
      <c r="L204" s="180"/>
      <c r="M204" s="720"/>
      <c r="N204" s="721"/>
    </row>
    <row r="205" spans="1:14" ht="13.5" thickBot="1">
      <c r="A205" s="12" t="s">
        <v>11</v>
      </c>
      <c r="B205" s="31"/>
      <c r="C205" s="181" t="s">
        <v>87</v>
      </c>
      <c r="D205" s="236">
        <f>A204</f>
        <v>500</v>
      </c>
      <c r="E205" s="591">
        <f>'12. Current Rates'!$D$40</f>
        <v>5.033051012484996</v>
      </c>
      <c r="F205" s="184">
        <f>D205*E205</f>
        <v>2516.5255062424976</v>
      </c>
      <c r="G205" s="168"/>
      <c r="H205" s="185" t="s">
        <v>87</v>
      </c>
      <c r="I205" s="186">
        <f>D205</f>
        <v>500</v>
      </c>
      <c r="J205" s="592">
        <f>'11. 2005 Final Rate Schedule '!$F$32</f>
        <v>4.627584442789339</v>
      </c>
      <c r="K205" s="237">
        <f>I205*J205</f>
        <v>2313.7922213946695</v>
      </c>
      <c r="L205" s="180"/>
      <c r="M205" s="722"/>
      <c r="N205" s="723"/>
    </row>
    <row r="206" spans="1:14" ht="13.5" thickBot="1">
      <c r="A206" s="234">
        <v>100000</v>
      </c>
      <c r="B206" s="31"/>
      <c r="C206" s="726"/>
      <c r="D206" s="727"/>
      <c r="E206" s="188" t="s">
        <v>51</v>
      </c>
      <c r="F206" s="189">
        <f>SUM(F204:F205)</f>
        <v>2541.4255062424977</v>
      </c>
      <c r="G206" s="168"/>
      <c r="H206" s="709"/>
      <c r="I206" s="710"/>
      <c r="J206" s="188" t="s">
        <v>80</v>
      </c>
      <c r="K206" s="190">
        <f>SUM(K204:K205)</f>
        <v>2335.492913346596</v>
      </c>
      <c r="L206" s="180"/>
      <c r="M206" s="191">
        <f>K206-F206</f>
        <v>-205.9325928959015</v>
      </c>
      <c r="N206" s="192">
        <f>M206/F206</f>
        <v>-0.08103034788549565</v>
      </c>
    </row>
    <row r="207" spans="1:14" ht="25.5">
      <c r="A207" s="86"/>
      <c r="B207" s="31"/>
      <c r="C207" s="181" t="s">
        <v>88</v>
      </c>
      <c r="D207" s="236">
        <f>A204</f>
        <v>500</v>
      </c>
      <c r="E207" s="428">
        <v>3.91</v>
      </c>
      <c r="F207" s="194">
        <f>D207*E207</f>
        <v>1955</v>
      </c>
      <c r="G207" s="168"/>
      <c r="H207" s="185" t="s">
        <v>88</v>
      </c>
      <c r="I207" s="260">
        <f>D207</f>
        <v>500</v>
      </c>
      <c r="J207" s="436">
        <f aca="true" t="shared" si="7" ref="J207:K209">E207</f>
        <v>3.91</v>
      </c>
      <c r="K207" s="239">
        <f t="shared" si="7"/>
        <v>1955</v>
      </c>
      <c r="L207" s="180"/>
      <c r="M207" s="240"/>
      <c r="N207" s="258"/>
    </row>
    <row r="208" spans="1:14" ht="25.5">
      <c r="A208" s="86"/>
      <c r="B208" s="31"/>
      <c r="C208" s="181" t="s">
        <v>81</v>
      </c>
      <c r="D208" s="236">
        <f>A206</f>
        <v>100000</v>
      </c>
      <c r="E208" s="428">
        <v>0.0132</v>
      </c>
      <c r="F208" s="194">
        <f>D208*E208</f>
        <v>1320</v>
      </c>
      <c r="G208" s="168"/>
      <c r="H208" s="185" t="s">
        <v>81</v>
      </c>
      <c r="I208" s="236">
        <f>D208</f>
        <v>100000</v>
      </c>
      <c r="J208" s="436">
        <f t="shared" si="7"/>
        <v>0.0132</v>
      </c>
      <c r="K208" s="239">
        <f t="shared" si="7"/>
        <v>1320</v>
      </c>
      <c r="L208" s="180"/>
      <c r="M208" s="724"/>
      <c r="N208" s="725"/>
    </row>
    <row r="209" spans="1:14" ht="26.25" thickBot="1">
      <c r="A209" s="86"/>
      <c r="B209" s="31"/>
      <c r="C209" s="197" t="s">
        <v>82</v>
      </c>
      <c r="D209" s="236">
        <f>A206</f>
        <v>100000</v>
      </c>
      <c r="E209" s="429">
        <v>0.055</v>
      </c>
      <c r="F209" s="184">
        <f>D209*E209</f>
        <v>5500</v>
      </c>
      <c r="G209" s="168"/>
      <c r="H209" s="197" t="s">
        <v>82</v>
      </c>
      <c r="I209" s="241">
        <f>D209</f>
        <v>100000</v>
      </c>
      <c r="J209" s="437">
        <f t="shared" si="7"/>
        <v>0.055</v>
      </c>
      <c r="K209" s="243">
        <f t="shared" si="7"/>
        <v>5500</v>
      </c>
      <c r="L209" s="180"/>
      <c r="M209" s="724"/>
      <c r="N209" s="725"/>
    </row>
    <row r="210" spans="1:14" ht="8.25" customHeight="1" thickBot="1">
      <c r="A210" s="86"/>
      <c r="B210" s="31"/>
      <c r="C210" s="711"/>
      <c r="D210" s="712"/>
      <c r="E210" s="712"/>
      <c r="F210" s="712"/>
      <c r="G210" s="168"/>
      <c r="H210" s="712"/>
      <c r="I210" s="712"/>
      <c r="J210" s="712"/>
      <c r="K210" s="713"/>
      <c r="L210" s="31"/>
      <c r="M210" s="86"/>
      <c r="N210" s="203"/>
    </row>
    <row r="211" spans="1:14" ht="13.5" thickBot="1">
      <c r="A211" s="94"/>
      <c r="B211" s="149"/>
      <c r="C211" s="204" t="s">
        <v>83</v>
      </c>
      <c r="D211" s="205"/>
      <c r="E211" s="205"/>
      <c r="F211" s="206">
        <f>SUM(F207:F209)+F206</f>
        <v>11316.425506242498</v>
      </c>
      <c r="G211" s="207"/>
      <c r="H211" s="728" t="s">
        <v>84</v>
      </c>
      <c r="I211" s="728"/>
      <c r="J211" s="728"/>
      <c r="K211" s="190">
        <f>SUM(K207:K209)+K206</f>
        <v>11110.492913346596</v>
      </c>
      <c r="L211" s="208"/>
      <c r="M211" s="191">
        <f>K211-F211</f>
        <v>-205.93259289590242</v>
      </c>
      <c r="N211" s="192">
        <f>M211/F211</f>
        <v>-0.018197671409784254</v>
      </c>
    </row>
    <row r="212" ht="12.75">
      <c r="K212" s="162"/>
    </row>
    <row r="213" spans="6:13" ht="13.5" thickBot="1">
      <c r="F213" s="217"/>
      <c r="J213" s="222"/>
      <c r="K213" s="217"/>
      <c r="L213" s="217"/>
      <c r="M213" s="217"/>
    </row>
    <row r="214" spans="1:14" ht="60">
      <c r="A214" s="169" t="s">
        <v>17</v>
      </c>
      <c r="B214" s="170"/>
      <c r="C214" s="705"/>
      <c r="D214" s="699" t="s">
        <v>85</v>
      </c>
      <c r="E214" s="701" t="s">
        <v>86</v>
      </c>
      <c r="F214" s="703" t="s">
        <v>197</v>
      </c>
      <c r="G214" s="167"/>
      <c r="H214" s="171"/>
      <c r="I214" s="699" t="s">
        <v>85</v>
      </c>
      <c r="J214" s="701" t="s">
        <v>86</v>
      </c>
      <c r="K214" s="703" t="s">
        <v>197</v>
      </c>
      <c r="L214" s="170"/>
      <c r="M214" s="716" t="s">
        <v>196</v>
      </c>
      <c r="N214" s="718" t="s">
        <v>77</v>
      </c>
    </row>
    <row r="215" spans="1:14" ht="13.5" thickBot="1">
      <c r="A215" s="12" t="s">
        <v>10</v>
      </c>
      <c r="B215" s="31"/>
      <c r="C215" s="706"/>
      <c r="D215" s="700"/>
      <c r="E215" s="702"/>
      <c r="F215" s="704"/>
      <c r="G215" s="168"/>
      <c r="H215" s="31"/>
      <c r="I215" s="700"/>
      <c r="J215" s="702"/>
      <c r="K215" s="704"/>
      <c r="L215" s="32"/>
      <c r="M215" s="717"/>
      <c r="N215" s="719"/>
    </row>
    <row r="216" spans="1:14" ht="26.25" thickBot="1">
      <c r="A216" s="234">
        <v>1000</v>
      </c>
      <c r="B216" s="31"/>
      <c r="C216" s="174" t="s">
        <v>21</v>
      </c>
      <c r="D216" s="175" t="s">
        <v>78</v>
      </c>
      <c r="E216" s="176" t="s">
        <v>78</v>
      </c>
      <c r="F216" s="177">
        <f>'12. Current Rates'!$D$42</f>
        <v>24.9</v>
      </c>
      <c r="G216" s="168"/>
      <c r="H216" s="178" t="s">
        <v>21</v>
      </c>
      <c r="I216" s="175" t="str">
        <f>D216</f>
        <v>N/A</v>
      </c>
      <c r="J216" s="175" t="s">
        <v>78</v>
      </c>
      <c r="K216" s="235">
        <f>'11. 2005 Final Rate Schedule '!$F$31</f>
        <v>21.7006919519267</v>
      </c>
      <c r="L216" s="180"/>
      <c r="M216" s="720"/>
      <c r="N216" s="721"/>
    </row>
    <row r="217" spans="1:14" ht="13.5" thickBot="1">
      <c r="A217" s="12" t="s">
        <v>11</v>
      </c>
      <c r="B217" s="31"/>
      <c r="C217" s="181" t="s">
        <v>87</v>
      </c>
      <c r="D217" s="236">
        <f>A216</f>
        <v>1000</v>
      </c>
      <c r="E217" s="591">
        <f>'12. Current Rates'!$D$40</f>
        <v>5.033051012484996</v>
      </c>
      <c r="F217" s="184">
        <f>D217*E217</f>
        <v>5033.051012484995</v>
      </c>
      <c r="G217" s="168"/>
      <c r="H217" s="185" t="s">
        <v>87</v>
      </c>
      <c r="I217" s="186">
        <f>D217</f>
        <v>1000</v>
      </c>
      <c r="J217" s="593">
        <f>'11. 2005 Final Rate Schedule '!$F$32</f>
        <v>4.627584442789339</v>
      </c>
      <c r="K217" s="237">
        <f>I217*J217</f>
        <v>4627.584442789339</v>
      </c>
      <c r="L217" s="180"/>
      <c r="M217" s="722"/>
      <c r="N217" s="723"/>
    </row>
    <row r="218" spans="1:14" ht="13.5" thickBot="1">
      <c r="A218" s="234">
        <v>400000</v>
      </c>
      <c r="B218" s="31"/>
      <c r="C218" s="726"/>
      <c r="D218" s="727"/>
      <c r="E218" s="188" t="s">
        <v>51</v>
      </c>
      <c r="F218" s="189">
        <f>SUM(F216:F217)</f>
        <v>5057.951012484995</v>
      </c>
      <c r="G218" s="168"/>
      <c r="H218" s="709"/>
      <c r="I218" s="710"/>
      <c r="J218" s="188" t="s">
        <v>80</v>
      </c>
      <c r="K218" s="190">
        <f>SUM(K216:K217)</f>
        <v>4649.285134741265</v>
      </c>
      <c r="L218" s="180"/>
      <c r="M218" s="191">
        <f>K218-F218</f>
        <v>-408.66587774372965</v>
      </c>
      <c r="N218" s="192">
        <f>M218/F218</f>
        <v>-0.08079672514324139</v>
      </c>
    </row>
    <row r="219" spans="1:14" ht="25.5">
      <c r="A219" s="86"/>
      <c r="B219" s="31"/>
      <c r="C219" s="181" t="s">
        <v>88</v>
      </c>
      <c r="D219" s="236">
        <f>A216</f>
        <v>1000</v>
      </c>
      <c r="E219" s="193">
        <v>3.91</v>
      </c>
      <c r="F219" s="194">
        <f>D219*E219</f>
        <v>3910</v>
      </c>
      <c r="G219" s="168"/>
      <c r="H219" s="185" t="s">
        <v>88</v>
      </c>
      <c r="I219" s="260">
        <f>D219</f>
        <v>1000</v>
      </c>
      <c r="J219" s="238">
        <f aca="true" t="shared" si="8" ref="J219:K221">E219</f>
        <v>3.91</v>
      </c>
      <c r="K219" s="239">
        <f t="shared" si="8"/>
        <v>3910</v>
      </c>
      <c r="L219" s="180"/>
      <c r="M219" s="240"/>
      <c r="N219" s="258"/>
    </row>
    <row r="220" spans="1:14" ht="25.5">
      <c r="A220" s="86"/>
      <c r="B220" s="31"/>
      <c r="C220" s="181" t="s">
        <v>81</v>
      </c>
      <c r="D220" s="236">
        <f>A218</f>
        <v>400000</v>
      </c>
      <c r="E220" s="193">
        <v>0.0132</v>
      </c>
      <c r="F220" s="194">
        <f>D220*E220</f>
        <v>5280</v>
      </c>
      <c r="G220" s="168"/>
      <c r="H220" s="185" t="s">
        <v>81</v>
      </c>
      <c r="I220" s="236">
        <f>D220</f>
        <v>400000</v>
      </c>
      <c r="J220" s="238">
        <f t="shared" si="8"/>
        <v>0.0132</v>
      </c>
      <c r="K220" s="239">
        <f t="shared" si="8"/>
        <v>5280</v>
      </c>
      <c r="L220" s="180"/>
      <c r="M220" s="724"/>
      <c r="N220" s="725"/>
    </row>
    <row r="221" spans="1:14" ht="26.25" thickBot="1">
      <c r="A221" s="86"/>
      <c r="B221" s="31"/>
      <c r="C221" s="197" t="s">
        <v>82</v>
      </c>
      <c r="D221" s="236">
        <f>A218</f>
        <v>400000</v>
      </c>
      <c r="E221" s="198">
        <v>0.055</v>
      </c>
      <c r="F221" s="184">
        <f>D221*E221</f>
        <v>22000</v>
      </c>
      <c r="G221" s="168"/>
      <c r="H221" s="197" t="s">
        <v>82</v>
      </c>
      <c r="I221" s="241">
        <f>D221</f>
        <v>400000</v>
      </c>
      <c r="J221" s="242">
        <f t="shared" si="8"/>
        <v>0.055</v>
      </c>
      <c r="K221" s="243">
        <f t="shared" si="8"/>
        <v>22000</v>
      </c>
      <c r="L221" s="180"/>
      <c r="M221" s="724"/>
      <c r="N221" s="725"/>
    </row>
    <row r="222" spans="1:14" ht="8.25" customHeight="1" thickBot="1">
      <c r="A222" s="86"/>
      <c r="B222" s="31"/>
      <c r="C222" s="711"/>
      <c r="D222" s="712"/>
      <c r="E222" s="712"/>
      <c r="F222" s="712"/>
      <c r="G222" s="168"/>
      <c r="H222" s="712"/>
      <c r="I222" s="712"/>
      <c r="J222" s="712"/>
      <c r="K222" s="713"/>
      <c r="L222" s="31"/>
      <c r="M222" s="86"/>
      <c r="N222" s="203"/>
    </row>
    <row r="223" spans="1:14" ht="13.5" thickBot="1">
      <c r="A223" s="94"/>
      <c r="B223" s="149"/>
      <c r="C223" s="204" t="s">
        <v>83</v>
      </c>
      <c r="D223" s="205"/>
      <c r="E223" s="205"/>
      <c r="F223" s="206">
        <f>SUM(F219:F221)+F218</f>
        <v>36247.95101248499</v>
      </c>
      <c r="G223" s="207"/>
      <c r="H223" s="728" t="s">
        <v>84</v>
      </c>
      <c r="I223" s="728"/>
      <c r="J223" s="728"/>
      <c r="K223" s="190">
        <f>SUM(K219:K221)+K218</f>
        <v>35839.285134741265</v>
      </c>
      <c r="L223" s="208"/>
      <c r="M223" s="191">
        <f>K223-F223</f>
        <v>-408.665877743726</v>
      </c>
      <c r="N223" s="192">
        <f>M223/F223</f>
        <v>-0.011274178714349067</v>
      </c>
    </row>
    <row r="224" spans="6:14" ht="12.75">
      <c r="F224" s="180"/>
      <c r="K224" s="180"/>
      <c r="L224" s="217"/>
      <c r="M224" s="217"/>
      <c r="N224" s="230"/>
    </row>
    <row r="225" spans="3:13" ht="13.5" thickBot="1">
      <c r="C225" s="53"/>
      <c r="E225" s="244"/>
      <c r="F225" s="217"/>
      <c r="J225" s="222"/>
      <c r="K225" s="217"/>
      <c r="L225" s="217"/>
      <c r="M225" s="217"/>
    </row>
    <row r="226" spans="1:14" ht="60">
      <c r="A226" s="169" t="s">
        <v>17</v>
      </c>
      <c r="B226" s="170"/>
      <c r="C226" s="705"/>
      <c r="D226" s="699" t="s">
        <v>85</v>
      </c>
      <c r="E226" s="701" t="s">
        <v>86</v>
      </c>
      <c r="F226" s="703" t="s">
        <v>197</v>
      </c>
      <c r="G226" s="167"/>
      <c r="H226" s="171"/>
      <c r="I226" s="699" t="s">
        <v>85</v>
      </c>
      <c r="J226" s="701" t="s">
        <v>86</v>
      </c>
      <c r="K226" s="703" t="s">
        <v>197</v>
      </c>
      <c r="L226" s="170"/>
      <c r="M226" s="716" t="s">
        <v>196</v>
      </c>
      <c r="N226" s="718" t="s">
        <v>77</v>
      </c>
    </row>
    <row r="227" spans="1:14" ht="13.5" thickBot="1">
      <c r="A227" s="12" t="s">
        <v>10</v>
      </c>
      <c r="B227" s="31"/>
      <c r="C227" s="706"/>
      <c r="D227" s="700"/>
      <c r="E227" s="702"/>
      <c r="F227" s="704"/>
      <c r="G227" s="168"/>
      <c r="H227" s="31"/>
      <c r="I227" s="700"/>
      <c r="J227" s="702"/>
      <c r="K227" s="704"/>
      <c r="L227" s="32"/>
      <c r="M227" s="717"/>
      <c r="N227" s="719"/>
    </row>
    <row r="228" spans="1:14" ht="26.25" thickBot="1">
      <c r="A228" s="234">
        <v>3000</v>
      </c>
      <c r="B228" s="31"/>
      <c r="C228" s="174" t="s">
        <v>21</v>
      </c>
      <c r="D228" s="175" t="s">
        <v>78</v>
      </c>
      <c r="E228" s="176" t="s">
        <v>78</v>
      </c>
      <c r="F228" s="177">
        <f>'12. Current Rates'!$D$42</f>
        <v>24.9</v>
      </c>
      <c r="G228" s="168"/>
      <c r="H228" s="178" t="s">
        <v>21</v>
      </c>
      <c r="I228" s="175" t="str">
        <f>D228</f>
        <v>N/A</v>
      </c>
      <c r="J228" s="175" t="s">
        <v>78</v>
      </c>
      <c r="K228" s="235">
        <f>'11. 2005 Final Rate Schedule '!$F$31</f>
        <v>21.7006919519267</v>
      </c>
      <c r="L228" s="180"/>
      <c r="M228" s="720"/>
      <c r="N228" s="721"/>
    </row>
    <row r="229" spans="1:14" ht="13.5" thickBot="1">
      <c r="A229" s="12" t="s">
        <v>11</v>
      </c>
      <c r="B229" s="31"/>
      <c r="C229" s="181" t="s">
        <v>87</v>
      </c>
      <c r="D229" s="236">
        <f>A228</f>
        <v>3000</v>
      </c>
      <c r="E229" s="591">
        <f>'12. Current Rates'!$D$40</f>
        <v>5.033051012484996</v>
      </c>
      <c r="F229" s="184">
        <f>D229*E229</f>
        <v>15099.153037454987</v>
      </c>
      <c r="G229" s="168"/>
      <c r="H229" s="185" t="s">
        <v>87</v>
      </c>
      <c r="I229" s="186">
        <f>D229</f>
        <v>3000</v>
      </c>
      <c r="J229" s="593">
        <f>'11. 2005 Final Rate Schedule '!$F$32</f>
        <v>4.627584442789339</v>
      </c>
      <c r="K229" s="237">
        <f>I229*J229</f>
        <v>13882.753328368017</v>
      </c>
      <c r="L229" s="180"/>
      <c r="M229" s="722"/>
      <c r="N229" s="723"/>
    </row>
    <row r="230" spans="1:14" ht="13.5" thickBot="1">
      <c r="A230" s="234">
        <v>1000000</v>
      </c>
      <c r="B230" s="31"/>
      <c r="C230" s="726"/>
      <c r="D230" s="727"/>
      <c r="E230" s="188" t="s">
        <v>51</v>
      </c>
      <c r="F230" s="189">
        <f>SUM(F228:F229)</f>
        <v>15124.053037454987</v>
      </c>
      <c r="G230" s="168"/>
      <c r="H230" s="709"/>
      <c r="I230" s="710"/>
      <c r="J230" s="188" t="s">
        <v>80</v>
      </c>
      <c r="K230" s="190">
        <f>SUM(K228:K229)</f>
        <v>13904.454020319943</v>
      </c>
      <c r="L230" s="180"/>
      <c r="M230" s="191">
        <f>K230-F230</f>
        <v>-1219.599017135044</v>
      </c>
      <c r="N230" s="192">
        <f>M230/F230</f>
        <v>-0.08063969453920092</v>
      </c>
    </row>
    <row r="231" spans="1:14" ht="25.5">
      <c r="A231" s="86"/>
      <c r="B231" s="31"/>
      <c r="C231" s="181" t="s">
        <v>88</v>
      </c>
      <c r="D231" s="236">
        <f>A228</f>
        <v>3000</v>
      </c>
      <c r="E231" s="193">
        <v>3.91</v>
      </c>
      <c r="F231" s="194">
        <f>D231*E231</f>
        <v>11730</v>
      </c>
      <c r="G231" s="168"/>
      <c r="H231" s="185" t="s">
        <v>88</v>
      </c>
      <c r="I231" s="260">
        <f>D231</f>
        <v>3000</v>
      </c>
      <c r="J231" s="238">
        <f aca="true" t="shared" si="9" ref="J231:K233">E231</f>
        <v>3.91</v>
      </c>
      <c r="K231" s="239">
        <f t="shared" si="9"/>
        <v>11730</v>
      </c>
      <c r="L231" s="180"/>
      <c r="M231" s="240"/>
      <c r="N231" s="258"/>
    </row>
    <row r="232" spans="1:14" ht="25.5">
      <c r="A232" s="86"/>
      <c r="B232" s="31"/>
      <c r="C232" s="181" t="s">
        <v>81</v>
      </c>
      <c r="D232" s="236">
        <f>A230</f>
        <v>1000000</v>
      </c>
      <c r="E232" s="193">
        <v>0.0132</v>
      </c>
      <c r="F232" s="194">
        <f>D232*E232</f>
        <v>13200</v>
      </c>
      <c r="G232" s="168"/>
      <c r="H232" s="185" t="s">
        <v>81</v>
      </c>
      <c r="I232" s="236">
        <f>D232</f>
        <v>1000000</v>
      </c>
      <c r="J232" s="238">
        <f t="shared" si="9"/>
        <v>0.0132</v>
      </c>
      <c r="K232" s="239">
        <f t="shared" si="9"/>
        <v>13200</v>
      </c>
      <c r="L232" s="180"/>
      <c r="M232" s="724"/>
      <c r="N232" s="725"/>
    </row>
    <row r="233" spans="1:14" ht="26.25" thickBot="1">
      <c r="A233" s="86"/>
      <c r="B233" s="31"/>
      <c r="C233" s="197" t="s">
        <v>82</v>
      </c>
      <c r="D233" s="236">
        <f>A230</f>
        <v>1000000</v>
      </c>
      <c r="E233" s="198">
        <v>0.055</v>
      </c>
      <c r="F233" s="184">
        <f>D233*E233</f>
        <v>55000</v>
      </c>
      <c r="G233" s="168"/>
      <c r="H233" s="197" t="s">
        <v>82</v>
      </c>
      <c r="I233" s="241">
        <f>D233</f>
        <v>1000000</v>
      </c>
      <c r="J233" s="242">
        <f t="shared" si="9"/>
        <v>0.055</v>
      </c>
      <c r="K233" s="243">
        <f t="shared" si="9"/>
        <v>55000</v>
      </c>
      <c r="L233" s="180"/>
      <c r="M233" s="724"/>
      <c r="N233" s="725"/>
    </row>
    <row r="234" spans="1:14" ht="8.25" customHeight="1" thickBot="1">
      <c r="A234" s="86"/>
      <c r="B234" s="31"/>
      <c r="C234" s="711"/>
      <c r="D234" s="712"/>
      <c r="E234" s="712"/>
      <c r="F234" s="712"/>
      <c r="G234" s="168"/>
      <c r="H234" s="712"/>
      <c r="I234" s="712"/>
      <c r="J234" s="712"/>
      <c r="K234" s="713"/>
      <c r="L234" s="31"/>
      <c r="M234" s="86"/>
      <c r="N234" s="203"/>
    </row>
    <row r="235" spans="1:14" ht="13.5" thickBot="1">
      <c r="A235" s="94"/>
      <c r="B235" s="149"/>
      <c r="C235" s="204" t="s">
        <v>83</v>
      </c>
      <c r="D235" s="205"/>
      <c r="E235" s="205"/>
      <c r="F235" s="206">
        <f>SUM(F231:F233)+F230</f>
        <v>95054.05303745499</v>
      </c>
      <c r="G235" s="207"/>
      <c r="H235" s="728" t="s">
        <v>84</v>
      </c>
      <c r="I235" s="728"/>
      <c r="J235" s="728"/>
      <c r="K235" s="190">
        <f>SUM(K231:K233)+K230</f>
        <v>93834.45402031994</v>
      </c>
      <c r="L235" s="208"/>
      <c r="M235" s="191">
        <f>K235-F235</f>
        <v>-1219.5990171350422</v>
      </c>
      <c r="N235" s="192">
        <f>M235/F235</f>
        <v>-0.012830584053627601</v>
      </c>
    </row>
    <row r="236" spans="6:14" ht="12.75">
      <c r="F236" s="180"/>
      <c r="K236" s="180"/>
      <c r="L236" s="217"/>
      <c r="M236" s="217"/>
      <c r="N236" s="230"/>
    </row>
    <row r="237" spans="1:14" s="245" customFormat="1" ht="23.25">
      <c r="A237" s="221" t="s">
        <v>214</v>
      </c>
      <c r="B237" s="54"/>
      <c r="F237" s="246"/>
      <c r="J237" s="247"/>
      <c r="K237" s="246"/>
      <c r="L237" s="246"/>
      <c r="M237" s="246"/>
      <c r="N237" s="248"/>
    </row>
    <row r="238" spans="1:13" ht="15.75">
      <c r="A238" s="131"/>
      <c r="B238" s="131"/>
      <c r="F238" s="217"/>
      <c r="J238" s="222"/>
      <c r="K238" s="217"/>
      <c r="L238" s="217"/>
      <c r="M238" s="217"/>
    </row>
    <row r="239" spans="1:14" s="144" customFormat="1" ht="15">
      <c r="A239" s="141" t="s">
        <v>93</v>
      </c>
      <c r="B239" s="233"/>
      <c r="F239" s="225"/>
      <c r="J239" s="226"/>
      <c r="K239" s="225"/>
      <c r="L239" s="225"/>
      <c r="M239" s="225"/>
      <c r="N239" s="227"/>
    </row>
    <row r="240" spans="1:14" s="144" customFormat="1" ht="15">
      <c r="A240" s="141" t="s">
        <v>50</v>
      </c>
      <c r="B240" s="233"/>
      <c r="F240" s="225"/>
      <c r="J240" s="226"/>
      <c r="K240" s="225"/>
      <c r="L240" s="225"/>
      <c r="M240" s="225"/>
      <c r="N240" s="227"/>
    </row>
    <row r="241" spans="1:14" s="144" customFormat="1" ht="15">
      <c r="A241" s="141" t="s">
        <v>158</v>
      </c>
      <c r="B241" s="233"/>
      <c r="F241" s="225"/>
      <c r="J241" s="226"/>
      <c r="K241" s="225"/>
      <c r="L241" s="225"/>
      <c r="M241" s="225"/>
      <c r="N241" s="227"/>
    </row>
    <row r="242" spans="1:14" s="144" customFormat="1" ht="14.25">
      <c r="A242" s="141" t="s">
        <v>157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693" t="s">
        <v>94</v>
      </c>
      <c r="D244" s="694"/>
      <c r="E244" s="694"/>
      <c r="F244" s="695"/>
      <c r="G244" s="167"/>
      <c r="H244" s="693" t="s">
        <v>95</v>
      </c>
      <c r="I244" s="694"/>
      <c r="J244" s="694"/>
      <c r="K244" s="694"/>
      <c r="L244" s="694"/>
      <c r="M244" s="694"/>
      <c r="N244" s="695"/>
      <c r="O244" s="31"/>
    </row>
    <row r="245" spans="1:14" ht="13.5" customHeight="1" thickBot="1">
      <c r="A245"/>
      <c r="C245" s="696"/>
      <c r="D245" s="697"/>
      <c r="E245" s="697"/>
      <c r="F245" s="698"/>
      <c r="G245" s="168"/>
      <c r="H245" s="696"/>
      <c r="I245" s="697"/>
      <c r="J245" s="697"/>
      <c r="K245" s="697"/>
      <c r="L245" s="697"/>
      <c r="M245" s="697"/>
      <c r="N245" s="698"/>
    </row>
    <row r="246" spans="1:14" ht="60">
      <c r="A246" s="169" t="s">
        <v>17</v>
      </c>
      <c r="B246" s="170"/>
      <c r="C246" s="705"/>
      <c r="D246" s="699" t="s">
        <v>85</v>
      </c>
      <c r="E246" s="701" t="s">
        <v>86</v>
      </c>
      <c r="F246" s="703" t="s">
        <v>195</v>
      </c>
      <c r="G246" s="167"/>
      <c r="H246" s="171"/>
      <c r="I246" s="699" t="s">
        <v>85</v>
      </c>
      <c r="J246" s="701" t="s">
        <v>86</v>
      </c>
      <c r="K246" s="703" t="s">
        <v>197</v>
      </c>
      <c r="L246" s="170"/>
      <c r="M246" s="716" t="s">
        <v>196</v>
      </c>
      <c r="N246" s="718" t="s">
        <v>77</v>
      </c>
    </row>
    <row r="247" spans="1:14" ht="13.5" thickBot="1">
      <c r="A247" s="12" t="s">
        <v>10</v>
      </c>
      <c r="B247" s="31"/>
      <c r="C247" s="706"/>
      <c r="D247" s="700"/>
      <c r="E247" s="702"/>
      <c r="F247" s="704"/>
      <c r="G247" s="168"/>
      <c r="H247" s="31"/>
      <c r="I247" s="700"/>
      <c r="J247" s="702"/>
      <c r="K247" s="704"/>
      <c r="L247" s="32"/>
      <c r="M247" s="717"/>
      <c r="N247" s="719"/>
    </row>
    <row r="248" spans="1:14" ht="26.25" thickBot="1">
      <c r="A248" s="234">
        <v>3000</v>
      </c>
      <c r="B248" s="31"/>
      <c r="C248" s="174" t="s">
        <v>21</v>
      </c>
      <c r="D248" s="175" t="s">
        <v>78</v>
      </c>
      <c r="E248" s="176" t="s">
        <v>78</v>
      </c>
      <c r="F248" s="177">
        <f>'12. Current Rates'!$D$56</f>
        <v>40.04</v>
      </c>
      <c r="G248" s="168"/>
      <c r="H248" s="178" t="s">
        <v>21</v>
      </c>
      <c r="I248" s="175" t="str">
        <f>D248</f>
        <v>N/A</v>
      </c>
      <c r="J248" s="175" t="s">
        <v>78</v>
      </c>
      <c r="K248" s="235">
        <f>'11. 2005 Final Rate Schedule '!$F$43</f>
        <v>37.96940217025832</v>
      </c>
      <c r="L248" s="180"/>
      <c r="M248" s="720"/>
      <c r="N248" s="721"/>
    </row>
    <row r="249" spans="1:14" ht="13.5" thickBot="1">
      <c r="A249" s="12" t="s">
        <v>11</v>
      </c>
      <c r="B249" s="31"/>
      <c r="C249" s="181" t="s">
        <v>87</v>
      </c>
      <c r="D249" s="236">
        <f>A248</f>
        <v>3000</v>
      </c>
      <c r="E249" s="591">
        <f>'12. Current Rates'!$D$54</f>
        <v>1.0733</v>
      </c>
      <c r="F249" s="184">
        <f>D249*E249</f>
        <v>3219.8999999999996</v>
      </c>
      <c r="G249" s="168"/>
      <c r="H249" s="185" t="s">
        <v>87</v>
      </c>
      <c r="I249" s="186">
        <f>D249</f>
        <v>3000</v>
      </c>
      <c r="J249" s="594">
        <f>'11. 2005 Final Rate Schedule '!$F$44</f>
        <v>0.896610141588599</v>
      </c>
      <c r="K249" s="237">
        <f>I249*J249</f>
        <v>2689.830424765797</v>
      </c>
      <c r="L249" s="180"/>
      <c r="M249" s="722"/>
      <c r="N249" s="723"/>
    </row>
    <row r="250" spans="1:14" ht="13.5" thickBot="1">
      <c r="A250" s="234">
        <v>800000</v>
      </c>
      <c r="B250" s="31"/>
      <c r="C250" s="726"/>
      <c r="D250" s="727"/>
      <c r="E250" s="188" t="s">
        <v>51</v>
      </c>
      <c r="F250" s="189">
        <f>SUM(F248:F249)</f>
        <v>3259.9399999999996</v>
      </c>
      <c r="G250" s="168"/>
      <c r="H250" s="709"/>
      <c r="I250" s="710"/>
      <c r="J250" s="188" t="s">
        <v>80</v>
      </c>
      <c r="K250" s="190">
        <f>SUM(K248:K249)</f>
        <v>2727.7998269360555</v>
      </c>
      <c r="L250" s="180"/>
      <c r="M250" s="191">
        <f>K250-F250</f>
        <v>-532.1401730639441</v>
      </c>
      <c r="N250" s="192">
        <f>M250/F250</f>
        <v>-0.1632361862684418</v>
      </c>
    </row>
    <row r="251" spans="1:14" ht="25.5">
      <c r="A251" s="86"/>
      <c r="B251" s="31"/>
      <c r="C251" s="181" t="s">
        <v>88</v>
      </c>
      <c r="D251" s="236">
        <f>A248</f>
        <v>3000</v>
      </c>
      <c r="E251" s="193">
        <v>4.2138</v>
      </c>
      <c r="F251" s="194">
        <f>D251*E251</f>
        <v>12641.4</v>
      </c>
      <c r="G251" s="168"/>
      <c r="H251" s="185" t="s">
        <v>81</v>
      </c>
      <c r="I251" s="260">
        <f>D251</f>
        <v>3000</v>
      </c>
      <c r="J251" s="238">
        <f aca="true" t="shared" si="10" ref="J251:K253">E251</f>
        <v>4.2138</v>
      </c>
      <c r="K251" s="239">
        <f t="shared" si="10"/>
        <v>12641.4</v>
      </c>
      <c r="L251" s="180"/>
      <c r="M251" s="240"/>
      <c r="N251" s="258"/>
    </row>
    <row r="252" spans="1:14" ht="25.5">
      <c r="A252" s="86"/>
      <c r="B252" s="31"/>
      <c r="C252" s="181" t="s">
        <v>81</v>
      </c>
      <c r="D252" s="236">
        <f>A250</f>
        <v>800000</v>
      </c>
      <c r="E252" s="193">
        <v>0.0132</v>
      </c>
      <c r="F252" s="194">
        <f>D252*E252</f>
        <v>10560</v>
      </c>
      <c r="G252" s="168"/>
      <c r="H252" s="185" t="s">
        <v>81</v>
      </c>
      <c r="I252" s="236">
        <f>D252</f>
        <v>800000</v>
      </c>
      <c r="J252" s="238">
        <f t="shared" si="10"/>
        <v>0.0132</v>
      </c>
      <c r="K252" s="239">
        <f t="shared" si="10"/>
        <v>10560</v>
      </c>
      <c r="L252" s="180"/>
      <c r="M252" s="724"/>
      <c r="N252" s="725"/>
    </row>
    <row r="253" spans="1:14" ht="26.25" thickBot="1">
      <c r="A253" s="86"/>
      <c r="B253" s="31"/>
      <c r="C253" s="197" t="s">
        <v>82</v>
      </c>
      <c r="D253" s="236">
        <f>A250</f>
        <v>800000</v>
      </c>
      <c r="E253" s="198">
        <v>0.055</v>
      </c>
      <c r="F253" s="184">
        <f>D253*E253</f>
        <v>44000</v>
      </c>
      <c r="G253" s="168"/>
      <c r="H253" s="199" t="s">
        <v>82</v>
      </c>
      <c r="I253" s="241">
        <f>D253</f>
        <v>800000</v>
      </c>
      <c r="J253" s="242">
        <f t="shared" si="10"/>
        <v>0.055</v>
      </c>
      <c r="K253" s="243">
        <f t="shared" si="10"/>
        <v>44000</v>
      </c>
      <c r="L253" s="180"/>
      <c r="M253" s="724"/>
      <c r="N253" s="725"/>
    </row>
    <row r="254" spans="1:14" ht="8.25" customHeight="1" thickBot="1">
      <c r="A254" s="86"/>
      <c r="B254" s="31"/>
      <c r="C254" s="711"/>
      <c r="D254" s="712"/>
      <c r="E254" s="712"/>
      <c r="F254" s="712"/>
      <c r="G254" s="168"/>
      <c r="H254" s="712"/>
      <c r="I254" s="712"/>
      <c r="J254" s="712"/>
      <c r="K254" s="713"/>
      <c r="L254" s="31"/>
      <c r="M254" s="86"/>
      <c r="N254" s="203"/>
    </row>
    <row r="255" spans="1:14" ht="13.5" thickBot="1">
      <c r="A255" s="94"/>
      <c r="B255" s="149"/>
      <c r="C255" s="204" t="s">
        <v>83</v>
      </c>
      <c r="D255" s="205"/>
      <c r="E255" s="205"/>
      <c r="F255" s="206">
        <f>SUM(F251:F253)+F250</f>
        <v>70461.34</v>
      </c>
      <c r="G255" s="207"/>
      <c r="H255" s="728" t="s">
        <v>84</v>
      </c>
      <c r="I255" s="728"/>
      <c r="J255" s="728"/>
      <c r="K255" s="190">
        <f>SUM(K251:K253)+K250</f>
        <v>69929.19982693605</v>
      </c>
      <c r="L255" s="208"/>
      <c r="M255" s="191">
        <f>K255-F255</f>
        <v>-532.1401730639482</v>
      </c>
      <c r="N255" s="192">
        <f>M255/F255</f>
        <v>-0.007552228967884349</v>
      </c>
    </row>
    <row r="256" spans="6:14" ht="12.75">
      <c r="F256" s="180"/>
      <c r="K256" s="180"/>
      <c r="L256" s="217"/>
      <c r="M256" s="217"/>
      <c r="N256" s="230"/>
    </row>
    <row r="257" spans="1:14" ht="13.5" thickBot="1">
      <c r="A257" s="149"/>
      <c r="B257" s="149"/>
      <c r="C257" s="249"/>
      <c r="D257" s="149"/>
      <c r="E257" s="250"/>
      <c r="F257" s="208"/>
      <c r="G257" s="149"/>
      <c r="H257" s="249"/>
      <c r="I257" s="149"/>
      <c r="J257" s="251"/>
      <c r="K257" s="208"/>
      <c r="L257" s="208"/>
      <c r="M257" s="208"/>
      <c r="N257" s="232"/>
    </row>
    <row r="258" spans="1:14" ht="60">
      <c r="A258" s="169" t="s">
        <v>17</v>
      </c>
      <c r="B258" s="170"/>
      <c r="C258" s="705"/>
      <c r="D258" s="699" t="s">
        <v>85</v>
      </c>
      <c r="E258" s="701" t="s">
        <v>86</v>
      </c>
      <c r="F258" s="703" t="s">
        <v>197</v>
      </c>
      <c r="G258" s="167"/>
      <c r="H258" s="171"/>
      <c r="I258" s="699" t="s">
        <v>85</v>
      </c>
      <c r="J258" s="701" t="s">
        <v>86</v>
      </c>
      <c r="K258" s="703" t="s">
        <v>197</v>
      </c>
      <c r="L258" s="170"/>
      <c r="M258" s="716" t="s">
        <v>196</v>
      </c>
      <c r="N258" s="718" t="s">
        <v>77</v>
      </c>
    </row>
    <row r="259" spans="1:14" ht="13.5" thickBot="1">
      <c r="A259" s="12" t="s">
        <v>10</v>
      </c>
      <c r="B259" s="31"/>
      <c r="C259" s="706"/>
      <c r="D259" s="700"/>
      <c r="E259" s="702"/>
      <c r="F259" s="704"/>
      <c r="G259" s="168"/>
      <c r="H259" s="31"/>
      <c r="I259" s="700"/>
      <c r="J259" s="702"/>
      <c r="K259" s="704"/>
      <c r="L259" s="32"/>
      <c r="M259" s="717"/>
      <c r="N259" s="719"/>
    </row>
    <row r="260" spans="1:14" ht="26.25" thickBot="1">
      <c r="A260" s="234">
        <v>3000</v>
      </c>
      <c r="B260" s="31"/>
      <c r="C260" s="174" t="s">
        <v>21</v>
      </c>
      <c r="D260" s="175" t="s">
        <v>78</v>
      </c>
      <c r="E260" s="176" t="s">
        <v>78</v>
      </c>
      <c r="F260" s="177">
        <f>'12. Current Rates'!$D$56</f>
        <v>40.04</v>
      </c>
      <c r="G260" s="168"/>
      <c r="H260" s="178" t="s">
        <v>21</v>
      </c>
      <c r="I260" s="175" t="str">
        <f>D260</f>
        <v>N/A</v>
      </c>
      <c r="J260" s="175" t="s">
        <v>78</v>
      </c>
      <c r="K260" s="235">
        <f>'11. 2005 Final Rate Schedule '!$F$43</f>
        <v>37.96940217025832</v>
      </c>
      <c r="L260" s="180"/>
      <c r="M260" s="720"/>
      <c r="N260" s="721"/>
    </row>
    <row r="261" spans="1:14" ht="13.5" thickBot="1">
      <c r="A261" s="12" t="s">
        <v>11</v>
      </c>
      <c r="B261" s="31"/>
      <c r="C261" s="181" t="s">
        <v>87</v>
      </c>
      <c r="D261" s="236">
        <f>A260</f>
        <v>3000</v>
      </c>
      <c r="E261" s="591">
        <f>'12. Current Rates'!$D$54</f>
        <v>1.0733</v>
      </c>
      <c r="F261" s="184">
        <f>D261*E261</f>
        <v>3219.8999999999996</v>
      </c>
      <c r="G261" s="168"/>
      <c r="H261" s="185" t="s">
        <v>87</v>
      </c>
      <c r="I261" s="186">
        <f>D261</f>
        <v>3000</v>
      </c>
      <c r="J261" s="594">
        <f>'11. 2005 Final Rate Schedule '!$F$44</f>
        <v>0.896610141588599</v>
      </c>
      <c r="K261" s="237">
        <f>I261*J261</f>
        <v>2689.830424765797</v>
      </c>
      <c r="L261" s="180"/>
      <c r="M261" s="722"/>
      <c r="N261" s="723"/>
    </row>
    <row r="262" spans="1:14" ht="13.5" thickBot="1">
      <c r="A262" s="234">
        <v>1000000</v>
      </c>
      <c r="B262" s="31"/>
      <c r="C262" s="726"/>
      <c r="D262" s="727"/>
      <c r="E262" s="188" t="s">
        <v>51</v>
      </c>
      <c r="F262" s="189">
        <f>SUM(F260:F261)</f>
        <v>3259.9399999999996</v>
      </c>
      <c r="G262" s="168"/>
      <c r="H262" s="709"/>
      <c r="I262" s="710"/>
      <c r="J262" s="188" t="s">
        <v>80</v>
      </c>
      <c r="K262" s="190">
        <f>SUM(K260:K261)</f>
        <v>2727.7998269360555</v>
      </c>
      <c r="L262" s="180"/>
      <c r="M262" s="191">
        <f>K262-F262</f>
        <v>-532.1401730639441</v>
      </c>
      <c r="N262" s="192">
        <f>M262/F262</f>
        <v>-0.1632361862684418</v>
      </c>
    </row>
    <row r="263" spans="1:14" ht="25.5">
      <c r="A263" s="86"/>
      <c r="B263" s="31"/>
      <c r="C263" s="181" t="s">
        <v>88</v>
      </c>
      <c r="D263" s="236">
        <f>A260</f>
        <v>3000</v>
      </c>
      <c r="E263" s="193">
        <v>4.2138</v>
      </c>
      <c r="F263" s="194">
        <f>D263*E263</f>
        <v>12641.4</v>
      </c>
      <c r="G263" s="168"/>
      <c r="H263" s="185" t="s">
        <v>81</v>
      </c>
      <c r="I263" s="260">
        <f>D263</f>
        <v>3000</v>
      </c>
      <c r="J263" s="238">
        <f aca="true" t="shared" si="11" ref="J263:K265">E263</f>
        <v>4.2138</v>
      </c>
      <c r="K263" s="239">
        <f t="shared" si="11"/>
        <v>12641.4</v>
      </c>
      <c r="L263" s="180"/>
      <c r="M263" s="240"/>
      <c r="N263" s="258"/>
    </row>
    <row r="264" spans="1:14" ht="25.5">
      <c r="A264" s="86"/>
      <c r="B264" s="31"/>
      <c r="C264" s="181" t="s">
        <v>81</v>
      </c>
      <c r="D264" s="236">
        <f>A262</f>
        <v>1000000</v>
      </c>
      <c r="E264" s="193">
        <v>0.0132</v>
      </c>
      <c r="F264" s="194">
        <f>D264*E264</f>
        <v>13200</v>
      </c>
      <c r="G264" s="168"/>
      <c r="H264" s="185" t="s">
        <v>81</v>
      </c>
      <c r="I264" s="236">
        <f>D264</f>
        <v>1000000</v>
      </c>
      <c r="J264" s="238">
        <f t="shared" si="11"/>
        <v>0.0132</v>
      </c>
      <c r="K264" s="239">
        <f t="shared" si="11"/>
        <v>13200</v>
      </c>
      <c r="L264" s="180"/>
      <c r="M264" s="724"/>
      <c r="N264" s="725"/>
    </row>
    <row r="265" spans="1:14" ht="26.25" thickBot="1">
      <c r="A265" s="86"/>
      <c r="B265" s="31"/>
      <c r="C265" s="197" t="s">
        <v>82</v>
      </c>
      <c r="D265" s="236">
        <f>A262</f>
        <v>1000000</v>
      </c>
      <c r="E265" s="198">
        <v>0.055</v>
      </c>
      <c r="F265" s="184">
        <f>D265*E265</f>
        <v>55000</v>
      </c>
      <c r="G265" s="168"/>
      <c r="H265" s="199" t="s">
        <v>82</v>
      </c>
      <c r="I265" s="241">
        <f>D265</f>
        <v>1000000</v>
      </c>
      <c r="J265" s="242">
        <f t="shared" si="11"/>
        <v>0.055</v>
      </c>
      <c r="K265" s="243">
        <f t="shared" si="11"/>
        <v>55000</v>
      </c>
      <c r="L265" s="180"/>
      <c r="M265" s="724"/>
      <c r="N265" s="725"/>
    </row>
    <row r="266" spans="1:14" ht="8.25" customHeight="1" thickBot="1">
      <c r="A266" s="86"/>
      <c r="B266" s="31"/>
      <c r="C266" s="711"/>
      <c r="D266" s="712"/>
      <c r="E266" s="712"/>
      <c r="F266" s="712"/>
      <c r="G266" s="168"/>
      <c r="H266" s="712"/>
      <c r="I266" s="712"/>
      <c r="J266" s="712"/>
      <c r="K266" s="713"/>
      <c r="L266" s="31"/>
      <c r="M266" s="86"/>
      <c r="N266" s="203"/>
    </row>
    <row r="267" spans="1:14" ht="13.5" thickBot="1">
      <c r="A267" s="94"/>
      <c r="B267" s="149"/>
      <c r="C267" s="204" t="s">
        <v>83</v>
      </c>
      <c r="D267" s="205"/>
      <c r="E267" s="205"/>
      <c r="F267" s="206">
        <f>SUM(F263:F265)+F262</f>
        <v>84101.34</v>
      </c>
      <c r="G267" s="207"/>
      <c r="H267" s="728" t="s">
        <v>84</v>
      </c>
      <c r="I267" s="728"/>
      <c r="J267" s="728"/>
      <c r="K267" s="190">
        <f>SUM(K263:K265)+K262</f>
        <v>83569.19982693605</v>
      </c>
      <c r="L267" s="208"/>
      <c r="M267" s="191">
        <f>K267-F267</f>
        <v>-532.1401730639482</v>
      </c>
      <c r="N267" s="192">
        <f>M267/F267</f>
        <v>-0.006327368542093957</v>
      </c>
    </row>
    <row r="268" spans="1:13" ht="14.25">
      <c r="A268" s="11"/>
      <c r="F268" s="217"/>
      <c r="J268" s="222"/>
      <c r="K268" s="217"/>
      <c r="L268" s="217"/>
      <c r="M268" s="217"/>
    </row>
    <row r="269" spans="1:13" ht="15" thickBot="1">
      <c r="A269" s="11"/>
      <c r="F269" s="217"/>
      <c r="J269" s="222"/>
      <c r="K269" s="217"/>
      <c r="L269" s="217"/>
      <c r="M269" s="217"/>
    </row>
    <row r="270" spans="1:14" ht="60">
      <c r="A270" s="169" t="s">
        <v>17</v>
      </c>
      <c r="B270" s="170"/>
      <c r="C270" s="705"/>
      <c r="D270" s="699" t="s">
        <v>85</v>
      </c>
      <c r="E270" s="701" t="s">
        <v>86</v>
      </c>
      <c r="F270" s="703" t="s">
        <v>197</v>
      </c>
      <c r="G270" s="167"/>
      <c r="H270" s="171"/>
      <c r="I270" s="699" t="s">
        <v>85</v>
      </c>
      <c r="J270" s="701" t="s">
        <v>86</v>
      </c>
      <c r="K270" s="703" t="s">
        <v>197</v>
      </c>
      <c r="L270" s="170"/>
      <c r="M270" s="716" t="s">
        <v>196</v>
      </c>
      <c r="N270" s="718" t="s">
        <v>77</v>
      </c>
    </row>
    <row r="271" spans="1:14" ht="13.5" thickBot="1">
      <c r="A271" s="12" t="s">
        <v>10</v>
      </c>
      <c r="B271" s="31"/>
      <c r="C271" s="706"/>
      <c r="D271" s="700"/>
      <c r="E271" s="702"/>
      <c r="F271" s="704"/>
      <c r="G271" s="168"/>
      <c r="H271" s="31"/>
      <c r="I271" s="700"/>
      <c r="J271" s="702"/>
      <c r="K271" s="704"/>
      <c r="L271" s="32"/>
      <c r="M271" s="717"/>
      <c r="N271" s="719"/>
    </row>
    <row r="272" spans="1:14" ht="26.25" thickBot="1">
      <c r="A272" s="234">
        <v>4000</v>
      </c>
      <c r="B272" s="31"/>
      <c r="C272" s="174" t="s">
        <v>21</v>
      </c>
      <c r="D272" s="175" t="s">
        <v>78</v>
      </c>
      <c r="E272" s="176" t="s">
        <v>78</v>
      </c>
      <c r="F272" s="177">
        <f>'12. Current Rates'!$D$56</f>
        <v>40.04</v>
      </c>
      <c r="G272" s="168"/>
      <c r="H272" s="178" t="s">
        <v>21</v>
      </c>
      <c r="I272" s="175" t="str">
        <f>D272</f>
        <v>N/A</v>
      </c>
      <c r="J272" s="175" t="s">
        <v>78</v>
      </c>
      <c r="K272" s="235">
        <f>'11. 2005 Final Rate Schedule '!$F$43</f>
        <v>37.96940217025832</v>
      </c>
      <c r="L272" s="180"/>
      <c r="M272" s="720"/>
      <c r="N272" s="721"/>
    </row>
    <row r="273" spans="1:14" ht="13.5" thickBot="1">
      <c r="A273" s="12" t="s">
        <v>11</v>
      </c>
      <c r="B273" s="31"/>
      <c r="C273" s="181" t="s">
        <v>87</v>
      </c>
      <c r="D273" s="236">
        <f>A272</f>
        <v>4000</v>
      </c>
      <c r="E273" s="591">
        <f>'12. Current Rates'!$D$54</f>
        <v>1.0733</v>
      </c>
      <c r="F273" s="184">
        <f>D273*E273</f>
        <v>4293.2</v>
      </c>
      <c r="G273" s="168"/>
      <c r="H273" s="185" t="s">
        <v>87</v>
      </c>
      <c r="I273" s="186">
        <f>D273</f>
        <v>4000</v>
      </c>
      <c r="J273" s="594">
        <f>'11. 2005 Final Rate Schedule '!$F$44</f>
        <v>0.896610141588599</v>
      </c>
      <c r="K273" s="237">
        <f>I273*J273</f>
        <v>3586.4405663543957</v>
      </c>
      <c r="L273" s="180"/>
      <c r="M273" s="722"/>
      <c r="N273" s="723"/>
    </row>
    <row r="274" spans="1:14" ht="13.5" thickBot="1">
      <c r="A274" s="234">
        <v>1200000</v>
      </c>
      <c r="B274" s="31"/>
      <c r="C274" s="726"/>
      <c r="D274" s="727"/>
      <c r="E274" s="188" t="s">
        <v>51</v>
      </c>
      <c r="F274" s="189">
        <f>SUM(F272:F273)</f>
        <v>4333.24</v>
      </c>
      <c r="G274" s="168"/>
      <c r="H274" s="709"/>
      <c r="I274" s="710"/>
      <c r="J274" s="188" t="s">
        <v>80</v>
      </c>
      <c r="K274" s="190">
        <f>SUM(K272:K273)</f>
        <v>3624.4099685246542</v>
      </c>
      <c r="L274" s="180"/>
      <c r="M274" s="191">
        <f>K274-F274</f>
        <v>-708.8300314753455</v>
      </c>
      <c r="N274" s="192">
        <f>M274/F274</f>
        <v>-0.1635796843644353</v>
      </c>
    </row>
    <row r="275" spans="1:14" ht="25.5">
      <c r="A275" s="86"/>
      <c r="B275" s="31"/>
      <c r="C275" s="181" t="s">
        <v>88</v>
      </c>
      <c r="D275" s="236">
        <f>A272</f>
        <v>4000</v>
      </c>
      <c r="E275" s="193">
        <v>4.2138</v>
      </c>
      <c r="F275" s="194">
        <f>D275*E275</f>
        <v>16855.2</v>
      </c>
      <c r="G275" s="168"/>
      <c r="H275" s="185" t="s">
        <v>81</v>
      </c>
      <c r="I275" s="260">
        <f>D275</f>
        <v>4000</v>
      </c>
      <c r="J275" s="238">
        <f aca="true" t="shared" si="12" ref="J275:K277">E275</f>
        <v>4.2138</v>
      </c>
      <c r="K275" s="239">
        <f t="shared" si="12"/>
        <v>16855.2</v>
      </c>
      <c r="L275" s="180"/>
      <c r="M275" s="240"/>
      <c r="N275" s="258"/>
    </row>
    <row r="276" spans="1:14" ht="25.5">
      <c r="A276" s="86"/>
      <c r="B276" s="31"/>
      <c r="C276" s="181" t="s">
        <v>81</v>
      </c>
      <c r="D276" s="236">
        <f>A274</f>
        <v>1200000</v>
      </c>
      <c r="E276" s="193">
        <v>0.0132</v>
      </c>
      <c r="F276" s="194">
        <f>D276*E276</f>
        <v>15840</v>
      </c>
      <c r="G276" s="168"/>
      <c r="H276" s="185" t="s">
        <v>81</v>
      </c>
      <c r="I276" s="236">
        <f>D276</f>
        <v>1200000</v>
      </c>
      <c r="J276" s="238">
        <f t="shared" si="12"/>
        <v>0.0132</v>
      </c>
      <c r="K276" s="239">
        <f t="shared" si="12"/>
        <v>15840</v>
      </c>
      <c r="L276" s="180"/>
      <c r="M276" s="724"/>
      <c r="N276" s="725"/>
    </row>
    <row r="277" spans="1:14" ht="26.25" thickBot="1">
      <c r="A277" s="86"/>
      <c r="B277" s="31"/>
      <c r="C277" s="197" t="s">
        <v>82</v>
      </c>
      <c r="D277" s="236">
        <f>A274</f>
        <v>1200000</v>
      </c>
      <c r="E277" s="198">
        <v>0.055</v>
      </c>
      <c r="F277" s="184">
        <f>D277*E277</f>
        <v>66000</v>
      </c>
      <c r="G277" s="168"/>
      <c r="H277" s="199" t="s">
        <v>82</v>
      </c>
      <c r="I277" s="241">
        <f>D277</f>
        <v>1200000</v>
      </c>
      <c r="J277" s="242">
        <f t="shared" si="12"/>
        <v>0.055</v>
      </c>
      <c r="K277" s="243">
        <f t="shared" si="12"/>
        <v>66000</v>
      </c>
      <c r="L277" s="180"/>
      <c r="M277" s="724"/>
      <c r="N277" s="725"/>
    </row>
    <row r="278" spans="1:14" ht="8.25" customHeight="1" thickBot="1">
      <c r="A278" s="86"/>
      <c r="B278" s="31"/>
      <c r="C278" s="711"/>
      <c r="D278" s="712"/>
      <c r="E278" s="712"/>
      <c r="F278" s="712"/>
      <c r="G278" s="168"/>
      <c r="H278" s="712"/>
      <c r="I278" s="712"/>
      <c r="J278" s="712"/>
      <c r="K278" s="713"/>
      <c r="L278" s="31"/>
      <c r="M278" s="86"/>
      <c r="N278" s="203"/>
    </row>
    <row r="279" spans="1:14" ht="13.5" thickBot="1">
      <c r="A279" s="94"/>
      <c r="B279" s="149"/>
      <c r="C279" s="204" t="s">
        <v>83</v>
      </c>
      <c r="D279" s="205"/>
      <c r="E279" s="205"/>
      <c r="F279" s="206">
        <f>SUM(F275:F277)+F274</f>
        <v>103028.44</v>
      </c>
      <c r="G279" s="207"/>
      <c r="H279" s="728" t="s">
        <v>84</v>
      </c>
      <c r="I279" s="728"/>
      <c r="J279" s="728"/>
      <c r="K279" s="190">
        <f>SUM(K275:K277)+K274</f>
        <v>102319.60996852464</v>
      </c>
      <c r="L279" s="208"/>
      <c r="M279" s="191">
        <f>K279-F279</f>
        <v>-708.8300314753578</v>
      </c>
      <c r="N279" s="192">
        <f>M279/F279</f>
        <v>-0.006879945299330533</v>
      </c>
    </row>
    <row r="280" spans="6:13" ht="12.75">
      <c r="F280" s="217"/>
      <c r="J280" s="222"/>
      <c r="K280" s="217"/>
      <c r="L280" s="217"/>
      <c r="M280" s="217"/>
    </row>
    <row r="281" spans="1:14" ht="13.5" thickBot="1">
      <c r="A281" s="31"/>
      <c r="B281" s="31"/>
      <c r="C281" s="252"/>
      <c r="D281" s="123"/>
      <c r="E281" s="253"/>
      <c r="F281" s="180"/>
      <c r="G281" s="31"/>
      <c r="H281" s="252"/>
      <c r="I281" s="123"/>
      <c r="J281" s="254"/>
      <c r="K281" s="180"/>
      <c r="L281" s="180"/>
      <c r="M281" s="180"/>
      <c r="N281" s="230"/>
    </row>
    <row r="282" spans="1:14" ht="60">
      <c r="A282" s="169" t="s">
        <v>17</v>
      </c>
      <c r="B282" s="170"/>
      <c r="C282" s="705"/>
      <c r="D282" s="699" t="s">
        <v>85</v>
      </c>
      <c r="E282" s="701" t="s">
        <v>86</v>
      </c>
      <c r="F282" s="703" t="s">
        <v>197</v>
      </c>
      <c r="G282" s="167"/>
      <c r="H282" s="171"/>
      <c r="I282" s="699" t="s">
        <v>85</v>
      </c>
      <c r="J282" s="701" t="s">
        <v>86</v>
      </c>
      <c r="K282" s="703" t="s">
        <v>197</v>
      </c>
      <c r="L282" s="170"/>
      <c r="M282" s="716" t="s">
        <v>196</v>
      </c>
      <c r="N282" s="718" t="s">
        <v>77</v>
      </c>
    </row>
    <row r="283" spans="1:14" ht="13.5" thickBot="1">
      <c r="A283" s="12" t="s">
        <v>10</v>
      </c>
      <c r="B283" s="31"/>
      <c r="C283" s="706"/>
      <c r="D283" s="700"/>
      <c r="E283" s="702"/>
      <c r="F283" s="704"/>
      <c r="G283" s="168"/>
      <c r="H283" s="31"/>
      <c r="I283" s="700"/>
      <c r="J283" s="702"/>
      <c r="K283" s="704"/>
      <c r="L283" s="32"/>
      <c r="M283" s="717"/>
      <c r="N283" s="719"/>
    </row>
    <row r="284" spans="1:14" ht="26.25" thickBot="1">
      <c r="A284" s="234">
        <v>4000</v>
      </c>
      <c r="B284" s="31"/>
      <c r="C284" s="174" t="s">
        <v>21</v>
      </c>
      <c r="D284" s="175" t="s">
        <v>78</v>
      </c>
      <c r="E284" s="176" t="s">
        <v>78</v>
      </c>
      <c r="F284" s="177">
        <f>'12. Current Rates'!$D$56</f>
        <v>40.04</v>
      </c>
      <c r="G284" s="168"/>
      <c r="H284" s="178" t="s">
        <v>21</v>
      </c>
      <c r="I284" s="175" t="str">
        <f>D284</f>
        <v>N/A</v>
      </c>
      <c r="J284" s="175" t="s">
        <v>78</v>
      </c>
      <c r="K284" s="235">
        <f>'11. 2005 Final Rate Schedule '!$F$43</f>
        <v>37.96940217025832</v>
      </c>
      <c r="L284" s="180"/>
      <c r="M284" s="720"/>
      <c r="N284" s="721"/>
    </row>
    <row r="285" spans="1:14" ht="13.5" thickBot="1">
      <c r="A285" s="12" t="s">
        <v>11</v>
      </c>
      <c r="B285" s="31"/>
      <c r="C285" s="181" t="s">
        <v>87</v>
      </c>
      <c r="D285" s="236">
        <f>A284</f>
        <v>4000</v>
      </c>
      <c r="E285" s="591">
        <f>'12. Current Rates'!$D$54</f>
        <v>1.0733</v>
      </c>
      <c r="F285" s="184">
        <f>D285*E285</f>
        <v>4293.2</v>
      </c>
      <c r="G285" s="168"/>
      <c r="H285" s="185" t="s">
        <v>87</v>
      </c>
      <c r="I285" s="186">
        <f>D285</f>
        <v>4000</v>
      </c>
      <c r="J285" s="592">
        <f>'11. 2005 Final Rate Schedule '!$F$44</f>
        <v>0.896610141588599</v>
      </c>
      <c r="K285" s="237">
        <f>I285*J285</f>
        <v>3586.4405663543957</v>
      </c>
      <c r="L285" s="180"/>
      <c r="M285" s="722"/>
      <c r="N285" s="723"/>
    </row>
    <row r="286" spans="1:14" ht="13.5" thickBot="1">
      <c r="A286" s="234">
        <v>1800000</v>
      </c>
      <c r="B286" s="31"/>
      <c r="C286" s="726"/>
      <c r="D286" s="727"/>
      <c r="E286" s="188" t="s">
        <v>51</v>
      </c>
      <c r="F286" s="189">
        <f>SUM(F284:F285)</f>
        <v>4333.24</v>
      </c>
      <c r="G286" s="168"/>
      <c r="H286" s="709"/>
      <c r="I286" s="710"/>
      <c r="J286" s="188" t="s">
        <v>80</v>
      </c>
      <c r="K286" s="190">
        <f>SUM(K284:K285)</f>
        <v>3624.4099685246542</v>
      </c>
      <c r="L286" s="180"/>
      <c r="M286" s="191">
        <f>K286-F286</f>
        <v>-708.8300314753455</v>
      </c>
      <c r="N286" s="192">
        <f>M286/F286</f>
        <v>-0.1635796843644353</v>
      </c>
    </row>
    <row r="287" spans="1:14" ht="25.5">
      <c r="A287" s="86"/>
      <c r="B287" s="31"/>
      <c r="C287" s="181" t="s">
        <v>88</v>
      </c>
      <c r="D287" s="236">
        <f>A284</f>
        <v>4000</v>
      </c>
      <c r="E287" s="193">
        <v>4.2138</v>
      </c>
      <c r="F287" s="194">
        <f>D287*E287</f>
        <v>16855.2</v>
      </c>
      <c r="G287" s="168"/>
      <c r="H287" s="185" t="s">
        <v>81</v>
      </c>
      <c r="I287" s="260">
        <f>D287</f>
        <v>4000</v>
      </c>
      <c r="J287" s="238">
        <f aca="true" t="shared" si="13" ref="J287:K289">E287</f>
        <v>4.2138</v>
      </c>
      <c r="K287" s="239">
        <f t="shared" si="13"/>
        <v>16855.2</v>
      </c>
      <c r="L287" s="180"/>
      <c r="M287" s="240"/>
      <c r="N287" s="258"/>
    </row>
    <row r="288" spans="1:14" ht="25.5">
      <c r="A288" s="86"/>
      <c r="B288" s="31"/>
      <c r="C288" s="181" t="s">
        <v>81</v>
      </c>
      <c r="D288" s="236">
        <f>A286</f>
        <v>1800000</v>
      </c>
      <c r="E288" s="193">
        <v>0.0132</v>
      </c>
      <c r="F288" s="194">
        <f>D288*E288</f>
        <v>23760</v>
      </c>
      <c r="G288" s="168"/>
      <c r="H288" s="185" t="s">
        <v>81</v>
      </c>
      <c r="I288" s="236">
        <f>D288</f>
        <v>1800000</v>
      </c>
      <c r="J288" s="238">
        <f t="shared" si="13"/>
        <v>0.0132</v>
      </c>
      <c r="K288" s="239">
        <f t="shared" si="13"/>
        <v>23760</v>
      </c>
      <c r="L288" s="180"/>
      <c r="M288" s="724"/>
      <c r="N288" s="725"/>
    </row>
    <row r="289" spans="1:14" ht="26.25" thickBot="1">
      <c r="A289" s="86"/>
      <c r="B289" s="31"/>
      <c r="C289" s="197" t="s">
        <v>82</v>
      </c>
      <c r="D289" s="236">
        <f>A286</f>
        <v>1800000</v>
      </c>
      <c r="E289" s="198">
        <v>0.055</v>
      </c>
      <c r="F289" s="184">
        <f>D289*E289</f>
        <v>99000</v>
      </c>
      <c r="G289" s="168"/>
      <c r="H289" s="199" t="s">
        <v>82</v>
      </c>
      <c r="I289" s="241">
        <f>D289</f>
        <v>1800000</v>
      </c>
      <c r="J289" s="242">
        <f t="shared" si="13"/>
        <v>0.055</v>
      </c>
      <c r="K289" s="243">
        <f t="shared" si="13"/>
        <v>99000</v>
      </c>
      <c r="L289" s="180"/>
      <c r="M289" s="724"/>
      <c r="N289" s="725"/>
    </row>
    <row r="290" spans="1:14" ht="8.25" customHeight="1" thickBot="1">
      <c r="A290" s="86"/>
      <c r="B290" s="31"/>
      <c r="C290" s="711"/>
      <c r="D290" s="712"/>
      <c r="E290" s="712"/>
      <c r="F290" s="712"/>
      <c r="G290" s="168"/>
      <c r="H290" s="712"/>
      <c r="I290" s="712"/>
      <c r="J290" s="712"/>
      <c r="K290" s="713"/>
      <c r="L290" s="31"/>
      <c r="M290" s="86"/>
      <c r="N290" s="203"/>
    </row>
    <row r="291" spans="1:14" ht="13.5" thickBot="1">
      <c r="A291" s="94"/>
      <c r="B291" s="149"/>
      <c r="C291" s="204" t="s">
        <v>83</v>
      </c>
      <c r="D291" s="205"/>
      <c r="E291" s="205"/>
      <c r="F291" s="206">
        <f>SUM(F287:F289)+F286</f>
        <v>143948.44</v>
      </c>
      <c r="G291" s="207"/>
      <c r="H291" s="728" t="s">
        <v>84</v>
      </c>
      <c r="I291" s="728"/>
      <c r="J291" s="728"/>
      <c r="K291" s="190">
        <f>SUM(K287:K289)+K286</f>
        <v>143239.60996852466</v>
      </c>
      <c r="L291" s="208"/>
      <c r="M291" s="191">
        <f>K291-F291</f>
        <v>-708.8300314753433</v>
      </c>
      <c r="N291" s="192">
        <f>M291/F291</f>
        <v>-0.0049241939091201215</v>
      </c>
    </row>
    <row r="292" spans="1:14" ht="12.75">
      <c r="A292" s="31"/>
      <c r="B292" s="31"/>
      <c r="C292" s="252"/>
      <c r="D292" s="123"/>
      <c r="E292" s="253"/>
      <c r="F292" s="180"/>
      <c r="G292" s="31"/>
      <c r="H292" s="252"/>
      <c r="I292" s="123"/>
      <c r="J292" s="254"/>
      <c r="K292" s="180"/>
      <c r="L292" s="180"/>
      <c r="M292" s="180"/>
      <c r="N292" s="230"/>
    </row>
    <row r="293" spans="1:14" ht="12.75">
      <c r="A293" s="31"/>
      <c r="B293" s="31"/>
      <c r="C293" s="252"/>
      <c r="D293" s="123"/>
      <c r="E293" s="253"/>
      <c r="F293" s="180"/>
      <c r="G293" s="31"/>
      <c r="H293" s="252"/>
      <c r="I293" s="123"/>
      <c r="J293" s="254"/>
      <c r="K293" s="180"/>
      <c r="L293" s="180"/>
      <c r="M293" s="180"/>
      <c r="N293" s="230"/>
    </row>
    <row r="294" ht="23.25">
      <c r="A294" s="221" t="s">
        <v>89</v>
      </c>
    </row>
    <row r="295" ht="15.75">
      <c r="A295" s="131"/>
    </row>
    <row r="296" spans="1:14" s="144" customFormat="1" ht="14.25">
      <c r="A296" s="141" t="s">
        <v>156</v>
      </c>
      <c r="N296" s="227"/>
    </row>
    <row r="297" spans="1:14" s="144" customFormat="1" ht="14.25">
      <c r="A297" s="141" t="s">
        <v>50</v>
      </c>
      <c r="N297" s="227"/>
    </row>
    <row r="298" spans="1:14" s="144" customFormat="1" ht="14.25">
      <c r="A298" s="141" t="s">
        <v>158</v>
      </c>
      <c r="N298" s="227"/>
    </row>
    <row r="299" spans="1:14" s="144" customFormat="1" ht="14.25">
      <c r="A299" s="141" t="s">
        <v>157</v>
      </c>
      <c r="N299" s="227"/>
    </row>
    <row r="300" spans="6:14" s="31" customFormat="1" ht="12.75">
      <c r="F300" s="180"/>
      <c r="J300" s="255"/>
      <c r="K300" s="180"/>
      <c r="L300" s="180"/>
      <c r="M300" s="180"/>
      <c r="N300" s="230"/>
    </row>
    <row r="301" spans="3:14" s="31" customFormat="1" ht="15.75" thickBot="1">
      <c r="C301" s="256"/>
      <c r="H301" s="256"/>
      <c r="K301" s="257"/>
      <c r="N301" s="230"/>
    </row>
    <row r="302" spans="1:15" ht="14.25" customHeight="1">
      <c r="A302" s="11"/>
      <c r="C302" s="693" t="s">
        <v>94</v>
      </c>
      <c r="D302" s="694"/>
      <c r="E302" s="694"/>
      <c r="F302" s="695"/>
      <c r="G302" s="167"/>
      <c r="H302" s="693" t="s">
        <v>95</v>
      </c>
      <c r="I302" s="694"/>
      <c r="J302" s="694"/>
      <c r="K302" s="694"/>
      <c r="L302" s="694"/>
      <c r="M302" s="694"/>
      <c r="N302" s="695"/>
      <c r="O302" s="31"/>
    </row>
    <row r="303" spans="1:14" ht="13.5" customHeight="1" thickBot="1">
      <c r="A303"/>
      <c r="C303" s="696"/>
      <c r="D303" s="697"/>
      <c r="E303" s="697"/>
      <c r="F303" s="698"/>
      <c r="G303" s="168"/>
      <c r="H303" s="696"/>
      <c r="I303" s="697"/>
      <c r="J303" s="697"/>
      <c r="K303" s="697"/>
      <c r="L303" s="697"/>
      <c r="M303" s="697"/>
      <c r="N303" s="698"/>
    </row>
    <row r="304" spans="1:14" ht="60">
      <c r="A304" s="169" t="s">
        <v>17</v>
      </c>
      <c r="B304" s="170"/>
      <c r="C304" s="705"/>
      <c r="D304" s="699" t="s">
        <v>85</v>
      </c>
      <c r="E304" s="701" t="s">
        <v>86</v>
      </c>
      <c r="F304" s="703" t="s">
        <v>197</v>
      </c>
      <c r="G304" s="167"/>
      <c r="H304" s="171"/>
      <c r="I304" s="699" t="s">
        <v>85</v>
      </c>
      <c r="J304" s="701" t="s">
        <v>86</v>
      </c>
      <c r="K304" s="703" t="s">
        <v>197</v>
      </c>
      <c r="L304" s="170"/>
      <c r="M304" s="716" t="s">
        <v>196</v>
      </c>
      <c r="N304" s="718" t="s">
        <v>77</v>
      </c>
    </row>
    <row r="305" spans="1:14" ht="13.5" thickBot="1">
      <c r="A305" s="12" t="s">
        <v>10</v>
      </c>
      <c r="B305" s="31"/>
      <c r="C305" s="706"/>
      <c r="D305" s="700"/>
      <c r="E305" s="702"/>
      <c r="F305" s="704"/>
      <c r="G305" s="168"/>
      <c r="H305" s="31"/>
      <c r="I305" s="700"/>
      <c r="J305" s="702"/>
      <c r="K305" s="704"/>
      <c r="L305" s="32"/>
      <c r="M305" s="717"/>
      <c r="N305" s="719"/>
    </row>
    <row r="306" spans="1:14" ht="26.25" thickBot="1">
      <c r="A306" s="234">
        <v>6000</v>
      </c>
      <c r="B306" s="31"/>
      <c r="C306" s="174" t="s">
        <v>21</v>
      </c>
      <c r="D306" s="175" t="s">
        <v>78</v>
      </c>
      <c r="E306" s="176" t="s">
        <v>78</v>
      </c>
      <c r="F306" s="177">
        <f>'12. Current Rates'!$D$63</f>
        <v>224.71</v>
      </c>
      <c r="G306" s="168"/>
      <c r="H306" s="178" t="s">
        <v>21</v>
      </c>
      <c r="I306" s="175" t="str">
        <f>D306</f>
        <v>N/A</v>
      </c>
      <c r="J306" s="175" t="s">
        <v>78</v>
      </c>
      <c r="K306" s="235">
        <f>'11. 2005 Final Rate Schedule '!$F$49</f>
        <v>179.8940168853936</v>
      </c>
      <c r="L306" s="180"/>
      <c r="M306" s="720"/>
      <c r="N306" s="721"/>
    </row>
    <row r="307" spans="1:14" ht="13.5" thickBot="1">
      <c r="A307" s="12" t="s">
        <v>11</v>
      </c>
      <c r="B307" s="31"/>
      <c r="C307" s="181" t="s">
        <v>87</v>
      </c>
      <c r="D307" s="236">
        <f>A306</f>
        <v>6000</v>
      </c>
      <c r="E307" s="591">
        <f>'12. Current Rates'!$D$61</f>
        <v>1.3827629215119934</v>
      </c>
      <c r="F307" s="184">
        <f>D307*E307</f>
        <v>8296.577529071961</v>
      </c>
      <c r="G307" s="168"/>
      <c r="H307" s="185" t="s">
        <v>87</v>
      </c>
      <c r="I307" s="186">
        <f>D307</f>
        <v>6000</v>
      </c>
      <c r="J307" s="594">
        <f>'11. 2005 Final Rate Schedule '!$F$50</f>
        <v>0.5506026269669638</v>
      </c>
      <c r="K307" s="237">
        <f>IF(ISERROR(I307*J307),0,I307*J307)</f>
        <v>3303.615761801783</v>
      </c>
      <c r="L307" s="180"/>
      <c r="M307" s="722"/>
      <c r="N307" s="723"/>
    </row>
    <row r="308" spans="1:14" ht="13.5" thickBot="1">
      <c r="A308" s="234">
        <v>2800000</v>
      </c>
      <c r="B308" s="31"/>
      <c r="C308" s="726"/>
      <c r="D308" s="727"/>
      <c r="E308" s="188" t="s">
        <v>51</v>
      </c>
      <c r="F308" s="189">
        <f>SUM(F306:F307)</f>
        <v>8521.28752907196</v>
      </c>
      <c r="G308" s="168"/>
      <c r="H308" s="709"/>
      <c r="I308" s="710"/>
      <c r="J308" s="188" t="s">
        <v>80</v>
      </c>
      <c r="K308" s="190">
        <f>SUM(K306:K307)</f>
        <v>3483.5097786871765</v>
      </c>
      <c r="L308" s="180"/>
      <c r="M308" s="191">
        <f>K308-F308</f>
        <v>-5037.777750384784</v>
      </c>
      <c r="N308" s="192">
        <f>M308/F308</f>
        <v>-0.5911991272677358</v>
      </c>
    </row>
    <row r="309" spans="1:14" ht="25.5">
      <c r="A309" s="86"/>
      <c r="B309" s="31"/>
      <c r="C309" s="181" t="s">
        <v>88</v>
      </c>
      <c r="D309" s="236">
        <f>A306</f>
        <v>6000</v>
      </c>
      <c r="E309" s="193">
        <v>0.047369</v>
      </c>
      <c r="F309" s="194">
        <f>D309*E309</f>
        <v>284.214</v>
      </c>
      <c r="G309" s="168"/>
      <c r="H309" s="185" t="s">
        <v>81</v>
      </c>
      <c r="I309" s="260">
        <f>D309</f>
        <v>6000</v>
      </c>
      <c r="J309" s="238">
        <f aca="true" t="shared" si="14" ref="J309:K311">E309</f>
        <v>0.047369</v>
      </c>
      <c r="K309" s="239">
        <f t="shared" si="14"/>
        <v>284.214</v>
      </c>
      <c r="L309" s="180"/>
      <c r="M309" s="240"/>
      <c r="N309" s="258"/>
    </row>
    <row r="310" spans="1:14" ht="25.5">
      <c r="A310" s="86"/>
      <c r="B310" s="31"/>
      <c r="C310" s="181" t="s">
        <v>81</v>
      </c>
      <c r="D310" s="236">
        <f>A308</f>
        <v>2800000</v>
      </c>
      <c r="E310" s="193">
        <v>0.0132</v>
      </c>
      <c r="F310" s="194">
        <f>D310*E310</f>
        <v>36960</v>
      </c>
      <c r="G310" s="168"/>
      <c r="H310" s="185" t="s">
        <v>81</v>
      </c>
      <c r="I310" s="236">
        <f>D310</f>
        <v>2800000</v>
      </c>
      <c r="J310" s="238">
        <f t="shared" si="14"/>
        <v>0.0132</v>
      </c>
      <c r="K310" s="239">
        <f t="shared" si="14"/>
        <v>36960</v>
      </c>
      <c r="L310" s="180"/>
      <c r="M310" s="724"/>
      <c r="N310" s="725"/>
    </row>
    <row r="311" spans="1:14" ht="26.25" thickBot="1">
      <c r="A311" s="86"/>
      <c r="B311" s="31"/>
      <c r="C311" s="197" t="s">
        <v>82</v>
      </c>
      <c r="D311" s="236">
        <f>A308</f>
        <v>2800000</v>
      </c>
      <c r="E311" s="198">
        <v>0.055</v>
      </c>
      <c r="F311" s="184">
        <f>D311*E311</f>
        <v>154000</v>
      </c>
      <c r="G311" s="168"/>
      <c r="H311" s="199" t="s">
        <v>82</v>
      </c>
      <c r="I311" s="241">
        <f>D311</f>
        <v>2800000</v>
      </c>
      <c r="J311" s="242">
        <f t="shared" si="14"/>
        <v>0.055</v>
      </c>
      <c r="K311" s="243">
        <f t="shared" si="14"/>
        <v>154000</v>
      </c>
      <c r="L311" s="180"/>
      <c r="M311" s="724"/>
      <c r="N311" s="725"/>
    </row>
    <row r="312" spans="1:14" ht="8.25" customHeight="1" thickBot="1">
      <c r="A312" s="86"/>
      <c r="B312" s="31"/>
      <c r="C312" s="711"/>
      <c r="D312" s="712"/>
      <c r="E312" s="712"/>
      <c r="F312" s="712"/>
      <c r="G312" s="168"/>
      <c r="H312" s="712"/>
      <c r="I312" s="712"/>
      <c r="J312" s="712"/>
      <c r="K312" s="713"/>
      <c r="L312" s="31"/>
      <c r="M312" s="94"/>
      <c r="N312" s="259"/>
    </row>
    <row r="313" spans="1:14" ht="13.5" thickBot="1">
      <c r="A313" s="94"/>
      <c r="B313" s="149"/>
      <c r="C313" s="204" t="s">
        <v>83</v>
      </c>
      <c r="D313" s="205"/>
      <c r="E313" s="205"/>
      <c r="F313" s="206">
        <f>SUM(F309:F311)+F308</f>
        <v>199765.50152907197</v>
      </c>
      <c r="G313" s="207"/>
      <c r="H313" s="728" t="s">
        <v>84</v>
      </c>
      <c r="I313" s="728"/>
      <c r="J313" s="728"/>
      <c r="K313" s="190">
        <f>SUM(K309:K311)+K308</f>
        <v>194727.72377868718</v>
      </c>
      <c r="L313" s="208"/>
      <c r="M313" s="191">
        <f>K313-F313</f>
        <v>-5037.77775038479</v>
      </c>
      <c r="N313" s="192">
        <f>M313/F313</f>
        <v>-0.025218457200186988</v>
      </c>
    </row>
    <row r="314" spans="6:14" ht="12.75">
      <c r="F314" s="180"/>
      <c r="K314" s="180"/>
      <c r="L314" s="217"/>
      <c r="M314" s="217"/>
      <c r="N314" s="230"/>
    </row>
    <row r="315" spans="1:14" ht="13.5" thickBot="1">
      <c r="A315" s="149"/>
      <c r="B315" s="149"/>
      <c r="C315" s="249"/>
      <c r="D315" s="149"/>
      <c r="E315" s="250"/>
      <c r="F315" s="208"/>
      <c r="G315" s="149"/>
      <c r="H315" s="249"/>
      <c r="I315" s="149"/>
      <c r="J315" s="251"/>
      <c r="K315" s="208"/>
      <c r="L315" s="208"/>
      <c r="M315" s="208"/>
      <c r="N315" s="232"/>
    </row>
    <row r="316" spans="1:14" ht="60">
      <c r="A316" s="169" t="s">
        <v>17</v>
      </c>
      <c r="B316" s="170"/>
      <c r="C316" s="705"/>
      <c r="D316" s="699" t="s">
        <v>85</v>
      </c>
      <c r="E316" s="701" t="s">
        <v>86</v>
      </c>
      <c r="F316" s="703" t="s">
        <v>197</v>
      </c>
      <c r="G316" s="167"/>
      <c r="H316" s="171"/>
      <c r="I316" s="699" t="s">
        <v>85</v>
      </c>
      <c r="J316" s="701" t="s">
        <v>86</v>
      </c>
      <c r="K316" s="703" t="s">
        <v>197</v>
      </c>
      <c r="L316" s="170"/>
      <c r="M316" s="716" t="s">
        <v>196</v>
      </c>
      <c r="N316" s="718" t="s">
        <v>77</v>
      </c>
    </row>
    <row r="317" spans="1:14" ht="13.5" thickBot="1">
      <c r="A317" s="12" t="s">
        <v>10</v>
      </c>
      <c r="B317" s="31"/>
      <c r="C317" s="706"/>
      <c r="D317" s="700"/>
      <c r="E317" s="702"/>
      <c r="F317" s="704"/>
      <c r="G317" s="168"/>
      <c r="H317" s="31"/>
      <c r="I317" s="700"/>
      <c r="J317" s="702"/>
      <c r="K317" s="704"/>
      <c r="L317" s="32"/>
      <c r="M317" s="717"/>
      <c r="N317" s="719"/>
    </row>
    <row r="318" spans="1:14" ht="26.25" thickBot="1">
      <c r="A318" s="234">
        <v>15000</v>
      </c>
      <c r="B318" s="31"/>
      <c r="C318" s="174" t="s">
        <v>21</v>
      </c>
      <c r="D318" s="175" t="s">
        <v>78</v>
      </c>
      <c r="E318" s="176" t="s">
        <v>78</v>
      </c>
      <c r="F318" s="177">
        <f>'12. Current Rates'!$D$63</f>
        <v>224.71</v>
      </c>
      <c r="G318" s="168"/>
      <c r="H318" s="178" t="s">
        <v>21</v>
      </c>
      <c r="I318" s="175" t="str">
        <f>D318</f>
        <v>N/A</v>
      </c>
      <c r="J318" s="175" t="s">
        <v>78</v>
      </c>
      <c r="K318" s="235">
        <f>'11. 2005 Final Rate Schedule '!$F$49</f>
        <v>179.8940168853936</v>
      </c>
      <c r="L318" s="180"/>
      <c r="M318" s="720"/>
      <c r="N318" s="721"/>
    </row>
    <row r="319" spans="1:14" ht="13.5" thickBot="1">
      <c r="A319" s="12" t="s">
        <v>11</v>
      </c>
      <c r="B319" s="31"/>
      <c r="C319" s="181" t="s">
        <v>87</v>
      </c>
      <c r="D319" s="236">
        <f>A318</f>
        <v>15000</v>
      </c>
      <c r="E319" s="591">
        <f>'12. Current Rates'!$D$61</f>
        <v>1.3827629215119934</v>
      </c>
      <c r="F319" s="184">
        <f>D319*E319</f>
        <v>20741.443822679903</v>
      </c>
      <c r="G319" s="168"/>
      <c r="H319" s="185" t="s">
        <v>87</v>
      </c>
      <c r="I319" s="186">
        <f>D319</f>
        <v>15000</v>
      </c>
      <c r="J319" s="594">
        <f>'11. 2005 Final Rate Schedule '!$F$50</f>
        <v>0.5506026269669638</v>
      </c>
      <c r="K319" s="237">
        <f>IF(ISERROR(I319*J319),0,I319*J319)</f>
        <v>8259.039404504458</v>
      </c>
      <c r="L319" s="180"/>
      <c r="M319" s="722"/>
      <c r="N319" s="723"/>
    </row>
    <row r="320" spans="1:14" ht="13.5" thickBot="1">
      <c r="A320" s="234">
        <v>10000000</v>
      </c>
      <c r="B320" s="31"/>
      <c r="C320" s="726"/>
      <c r="D320" s="727"/>
      <c r="E320" s="188" t="s">
        <v>51</v>
      </c>
      <c r="F320" s="189">
        <f>SUM(F318:F319)</f>
        <v>20966.153822679902</v>
      </c>
      <c r="G320" s="168"/>
      <c r="H320" s="709"/>
      <c r="I320" s="710"/>
      <c r="J320" s="188" t="s">
        <v>80</v>
      </c>
      <c r="K320" s="190">
        <f>SUM(K318:K319)</f>
        <v>8438.933421389851</v>
      </c>
      <c r="L320" s="180"/>
      <c r="M320" s="191">
        <f>K320-F320</f>
        <v>-12527.220401290051</v>
      </c>
      <c r="N320" s="192">
        <f>M320/F320</f>
        <v>-0.5974973048103306</v>
      </c>
    </row>
    <row r="321" spans="1:14" ht="25.5">
      <c r="A321" s="86"/>
      <c r="B321" s="31"/>
      <c r="C321" s="181" t="s">
        <v>88</v>
      </c>
      <c r="D321" s="236">
        <f>A318</f>
        <v>15000</v>
      </c>
      <c r="E321" s="193">
        <v>0.047369</v>
      </c>
      <c r="F321" s="194">
        <f>D321*E321</f>
        <v>710.535</v>
      </c>
      <c r="G321" s="168"/>
      <c r="H321" s="185" t="s">
        <v>81</v>
      </c>
      <c r="I321" s="260">
        <f>D321</f>
        <v>15000</v>
      </c>
      <c r="J321" s="238">
        <f aca="true" t="shared" si="15" ref="J321:K323">E321</f>
        <v>0.047369</v>
      </c>
      <c r="K321" s="239">
        <f t="shared" si="15"/>
        <v>710.535</v>
      </c>
      <c r="L321" s="180"/>
      <c r="M321" s="240"/>
      <c r="N321" s="258"/>
    </row>
    <row r="322" spans="1:14" ht="25.5">
      <c r="A322" s="86"/>
      <c r="B322" s="31"/>
      <c r="C322" s="181" t="s">
        <v>81</v>
      </c>
      <c r="D322" s="236">
        <f>A320</f>
        <v>10000000</v>
      </c>
      <c r="E322" s="193">
        <v>0.0132</v>
      </c>
      <c r="F322" s="194">
        <f>D322*E322</f>
        <v>132000</v>
      </c>
      <c r="G322" s="168"/>
      <c r="H322" s="185" t="s">
        <v>81</v>
      </c>
      <c r="I322" s="236">
        <f>D322</f>
        <v>10000000</v>
      </c>
      <c r="J322" s="238">
        <f t="shared" si="15"/>
        <v>0.0132</v>
      </c>
      <c r="K322" s="239">
        <f t="shared" si="15"/>
        <v>132000</v>
      </c>
      <c r="L322" s="180"/>
      <c r="M322" s="724"/>
      <c r="N322" s="725"/>
    </row>
    <row r="323" spans="1:14" ht="26.25" thickBot="1">
      <c r="A323" s="86"/>
      <c r="B323" s="31"/>
      <c r="C323" s="197" t="s">
        <v>82</v>
      </c>
      <c r="D323" s="236">
        <f>A320</f>
        <v>10000000</v>
      </c>
      <c r="E323" s="198">
        <v>0.055</v>
      </c>
      <c r="F323" s="184">
        <f>D323*E323</f>
        <v>550000</v>
      </c>
      <c r="G323" s="168"/>
      <c r="H323" s="199" t="s">
        <v>82</v>
      </c>
      <c r="I323" s="241">
        <f>D323</f>
        <v>10000000</v>
      </c>
      <c r="J323" s="242">
        <f t="shared" si="15"/>
        <v>0.055</v>
      </c>
      <c r="K323" s="243">
        <f t="shared" si="15"/>
        <v>550000</v>
      </c>
      <c r="L323" s="180"/>
      <c r="M323" s="724"/>
      <c r="N323" s="725"/>
    </row>
    <row r="324" spans="1:14" ht="8.25" customHeight="1" thickBot="1">
      <c r="A324" s="86"/>
      <c r="B324" s="31"/>
      <c r="C324" s="711"/>
      <c r="D324" s="712"/>
      <c r="E324" s="712"/>
      <c r="F324" s="712"/>
      <c r="G324" s="168"/>
      <c r="H324" s="712"/>
      <c r="I324" s="712"/>
      <c r="J324" s="712"/>
      <c r="K324" s="713"/>
      <c r="L324" s="31"/>
      <c r="M324" s="94"/>
      <c r="N324" s="259"/>
    </row>
    <row r="325" spans="1:14" ht="13.5" thickBot="1">
      <c r="A325" s="94"/>
      <c r="B325" s="149"/>
      <c r="C325" s="204" t="s">
        <v>83</v>
      </c>
      <c r="D325" s="205"/>
      <c r="E325" s="205"/>
      <c r="F325" s="206">
        <f>SUM(F321:F323)+F320</f>
        <v>703676.6888226799</v>
      </c>
      <c r="G325" s="207"/>
      <c r="H325" s="728" t="s">
        <v>84</v>
      </c>
      <c r="I325" s="728"/>
      <c r="J325" s="728"/>
      <c r="K325" s="190">
        <f>SUM(K321:K323)+K320</f>
        <v>691149.4684213899</v>
      </c>
      <c r="L325" s="208"/>
      <c r="M325" s="191">
        <f>K325-F325</f>
        <v>-12527.22040128999</v>
      </c>
      <c r="N325" s="192">
        <f>M325/F325</f>
        <v>-0.017802522948783848</v>
      </c>
    </row>
    <row r="326" spans="6:13" ht="12.75">
      <c r="F326" s="217"/>
      <c r="J326" s="222"/>
      <c r="K326" s="217"/>
      <c r="L326" s="217"/>
      <c r="M326" s="217"/>
    </row>
    <row r="327" spans="3:13" ht="12.75">
      <c r="C327" s="53"/>
      <c r="E327" s="222"/>
      <c r="F327" s="217"/>
      <c r="H327" s="53"/>
      <c r="J327" s="222"/>
      <c r="K327" s="217"/>
      <c r="L327" s="217"/>
      <c r="M327" s="217"/>
    </row>
    <row r="328" spans="1:14" ht="23.25">
      <c r="A328" s="733" t="s">
        <v>244</v>
      </c>
      <c r="B328" s="733"/>
      <c r="C328" s="733"/>
      <c r="D328" s="733"/>
      <c r="E328" s="635"/>
      <c r="F328" s="163"/>
      <c r="G328" s="31"/>
      <c r="H328" s="163"/>
      <c r="I328" s="163"/>
      <c r="J328" s="163"/>
      <c r="K328" s="163"/>
      <c r="L328" s="163"/>
      <c r="M328" s="163"/>
      <c r="N328" s="163"/>
    </row>
    <row r="329" spans="1:11" ht="18">
      <c r="A329" s="55"/>
      <c r="B329" s="131"/>
      <c r="D329" s="31"/>
      <c r="E329" s="682"/>
      <c r="F329" s="682"/>
      <c r="K329" s="162"/>
    </row>
    <row r="330" spans="1:11" ht="15.75">
      <c r="A330" s="141" t="s">
        <v>90</v>
      </c>
      <c r="B330" s="164"/>
      <c r="C330" s="140"/>
      <c r="D330" s="69"/>
      <c r="E330" s="165"/>
      <c r="F330" s="165"/>
      <c r="G330" s="140"/>
      <c r="H330" s="140"/>
      <c r="I330" s="140"/>
      <c r="J330" s="140"/>
      <c r="K330" s="166"/>
    </row>
    <row r="331" spans="1:11" ht="15.75">
      <c r="A331" s="141" t="s">
        <v>47</v>
      </c>
      <c r="B331" s="164"/>
      <c r="C331" s="140"/>
      <c r="D331" s="69"/>
      <c r="E331" s="165"/>
      <c r="F331" s="165"/>
      <c r="G331" s="140"/>
      <c r="H331" s="140"/>
      <c r="I331" s="140"/>
      <c r="J331" s="140"/>
      <c r="K331" s="166"/>
    </row>
    <row r="332" spans="1:11" ht="15.75">
      <c r="A332" s="141" t="s">
        <v>49</v>
      </c>
      <c r="B332" s="164"/>
      <c r="C332" s="140"/>
      <c r="D332" s="69"/>
      <c r="E332" s="165"/>
      <c r="F332" s="165"/>
      <c r="G332" s="69"/>
      <c r="H332" s="140"/>
      <c r="I332" s="140"/>
      <c r="J332" s="140"/>
      <c r="K332" s="166"/>
    </row>
    <row r="333" spans="5:11" ht="16.5" thickBot="1">
      <c r="E333" s="682"/>
      <c r="F333" s="682"/>
      <c r="G333" s="31"/>
      <c r="K333" s="162"/>
    </row>
    <row r="334" spans="1:14" ht="14.25">
      <c r="A334" s="11"/>
      <c r="C334" s="693" t="s">
        <v>94</v>
      </c>
      <c r="D334" s="694"/>
      <c r="E334" s="694"/>
      <c r="F334" s="695"/>
      <c r="G334" s="167"/>
      <c r="H334" s="693" t="s">
        <v>95</v>
      </c>
      <c r="I334" s="694"/>
      <c r="J334" s="694"/>
      <c r="K334" s="694"/>
      <c r="L334" s="694"/>
      <c r="M334" s="694"/>
      <c r="N334" s="695"/>
    </row>
    <row r="335" spans="1:14" ht="13.5" thickBot="1">
      <c r="A335"/>
      <c r="C335" s="696"/>
      <c r="D335" s="697"/>
      <c r="E335" s="697"/>
      <c r="F335" s="698"/>
      <c r="G335" s="168"/>
      <c r="H335" s="696"/>
      <c r="I335" s="697"/>
      <c r="J335" s="697"/>
      <c r="K335" s="697"/>
      <c r="L335" s="697"/>
      <c r="M335" s="697"/>
      <c r="N335" s="698"/>
    </row>
    <row r="336" spans="1:14" ht="60.75" thickBot="1">
      <c r="A336" s="169" t="s">
        <v>75</v>
      </c>
      <c r="B336" s="170"/>
      <c r="C336" s="705"/>
      <c r="D336" s="699" t="s">
        <v>11</v>
      </c>
      <c r="E336" s="701" t="s">
        <v>76</v>
      </c>
      <c r="F336" s="703" t="s">
        <v>197</v>
      </c>
      <c r="G336" s="167"/>
      <c r="H336" s="171"/>
      <c r="I336" s="699" t="s">
        <v>11</v>
      </c>
      <c r="J336" s="701" t="s">
        <v>76</v>
      </c>
      <c r="K336" s="703" t="s">
        <v>197</v>
      </c>
      <c r="L336" s="170"/>
      <c r="M336" s="716" t="s">
        <v>196</v>
      </c>
      <c r="N336" s="718" t="s">
        <v>77</v>
      </c>
    </row>
    <row r="337" spans="1:14" ht="13.5" thickBot="1">
      <c r="A337" s="172">
        <v>100</v>
      </c>
      <c r="B337" s="31"/>
      <c r="C337" s="706"/>
      <c r="D337" s="700"/>
      <c r="E337" s="702"/>
      <c r="F337" s="704"/>
      <c r="G337" s="168"/>
      <c r="H337" s="31"/>
      <c r="I337" s="714"/>
      <c r="J337" s="715"/>
      <c r="K337" s="704"/>
      <c r="L337" s="32"/>
      <c r="M337" s="717"/>
      <c r="N337" s="719"/>
    </row>
    <row r="338" spans="1:14" ht="25.5">
      <c r="A338" s="173"/>
      <c r="B338" s="31"/>
      <c r="C338" s="449" t="s">
        <v>21</v>
      </c>
      <c r="D338" s="175" t="s">
        <v>78</v>
      </c>
      <c r="E338" s="176" t="s">
        <v>78</v>
      </c>
      <c r="F338" s="502">
        <f>'12. Current Rates'!D100</f>
        <v>0</v>
      </c>
      <c r="G338" s="168"/>
      <c r="H338" s="452" t="s">
        <v>21</v>
      </c>
      <c r="I338" s="175" t="s">
        <v>78</v>
      </c>
      <c r="J338" s="175" t="s">
        <v>78</v>
      </c>
      <c r="K338" s="504">
        <f>'11. 2005 Final Rate Schedule '!F80</f>
      </c>
      <c r="L338" s="180"/>
      <c r="M338" s="720"/>
      <c r="N338" s="721"/>
    </row>
    <row r="339" spans="1:14" ht="26.25" thickBot="1">
      <c r="A339" s="86"/>
      <c r="B339" s="31"/>
      <c r="C339" s="450" t="s">
        <v>79</v>
      </c>
      <c r="D339" s="236">
        <f>A337</f>
        <v>100</v>
      </c>
      <c r="E339" s="501">
        <f>'12. Current Rates'!D98</f>
        <v>0</v>
      </c>
      <c r="F339" s="351">
        <f>D339*E339</f>
        <v>0</v>
      </c>
      <c r="G339" s="168"/>
      <c r="H339" s="453" t="s">
        <v>79</v>
      </c>
      <c r="I339" s="182">
        <f>D339</f>
        <v>100</v>
      </c>
      <c r="J339" s="503">
        <f>'11. 2005 Final Rate Schedule '!F81</f>
      </c>
      <c r="K339" s="237" t="e">
        <f>I339*J339</f>
        <v>#VALUE!</v>
      </c>
      <c r="L339" s="180"/>
      <c r="M339" s="722"/>
      <c r="N339" s="723"/>
    </row>
    <row r="340" spans="1:14" ht="13.5" thickBot="1">
      <c r="A340" s="86"/>
      <c r="B340" s="31"/>
      <c r="C340" s="707"/>
      <c r="D340" s="708"/>
      <c r="E340" s="188" t="s">
        <v>51</v>
      </c>
      <c r="F340" s="372">
        <f>SUM(F338:F339)</f>
        <v>0</v>
      </c>
      <c r="G340" s="168"/>
      <c r="H340" s="709"/>
      <c r="I340" s="710"/>
      <c r="J340" s="188" t="s">
        <v>80</v>
      </c>
      <c r="K340" s="190" t="e">
        <f>SUM(K338:K339)</f>
        <v>#VALUE!</v>
      </c>
      <c r="L340" s="180"/>
      <c r="M340" s="191" t="e">
        <f>K340-F340</f>
        <v>#VALUE!</v>
      </c>
      <c r="N340" s="192" t="e">
        <f>M340/F340</f>
        <v>#VALUE!</v>
      </c>
    </row>
    <row r="341" spans="1:14" ht="25.5">
      <c r="A341" s="86"/>
      <c r="B341" s="31"/>
      <c r="C341" s="450" t="s">
        <v>81</v>
      </c>
      <c r="D341" s="182">
        <f>A337</f>
        <v>100</v>
      </c>
      <c r="E341" s="439">
        <v>0.0239</v>
      </c>
      <c r="F341" s="373">
        <f>D341*E341</f>
        <v>2.39</v>
      </c>
      <c r="G341" s="168"/>
      <c r="H341" s="453" t="s">
        <v>81</v>
      </c>
      <c r="I341" s="182">
        <f aca="true" t="shared" si="16" ref="I341:K342">D341</f>
        <v>100</v>
      </c>
      <c r="J341" s="445">
        <f t="shared" si="16"/>
        <v>0.0239</v>
      </c>
      <c r="K341" s="239">
        <f t="shared" si="16"/>
        <v>2.39</v>
      </c>
      <c r="L341" s="180"/>
      <c r="M341" s="720"/>
      <c r="N341" s="721"/>
    </row>
    <row r="342" spans="1:14" ht="26.25" thickBot="1">
      <c r="A342" s="86"/>
      <c r="B342" s="31"/>
      <c r="C342" s="451" t="s">
        <v>82</v>
      </c>
      <c r="D342" s="182">
        <f>A337</f>
        <v>100</v>
      </c>
      <c r="E342" s="440">
        <v>0.047</v>
      </c>
      <c r="F342" s="351">
        <f>D342*E342</f>
        <v>4.7</v>
      </c>
      <c r="G342" s="168"/>
      <c r="H342" s="454" t="s">
        <v>82</v>
      </c>
      <c r="I342" s="446">
        <f t="shared" si="16"/>
        <v>100</v>
      </c>
      <c r="J342" s="447">
        <f t="shared" si="16"/>
        <v>0.047</v>
      </c>
      <c r="K342" s="243">
        <f t="shared" si="16"/>
        <v>4.7</v>
      </c>
      <c r="L342" s="180"/>
      <c r="M342" s="724"/>
      <c r="N342" s="725"/>
    </row>
    <row r="343" spans="1:14" ht="13.5" thickBot="1">
      <c r="A343" s="86"/>
      <c r="B343" s="31"/>
      <c r="C343" s="711"/>
      <c r="D343" s="712"/>
      <c r="E343" s="712"/>
      <c r="F343" s="713"/>
      <c r="G343" s="168"/>
      <c r="H343" s="712"/>
      <c r="I343" s="712"/>
      <c r="J343" s="712"/>
      <c r="K343" s="713"/>
      <c r="L343" s="31"/>
      <c r="M343" s="86"/>
      <c r="N343" s="203"/>
    </row>
    <row r="344" spans="1:14" ht="13.5" thickBot="1">
      <c r="A344" s="94"/>
      <c r="B344" s="149"/>
      <c r="C344" s="204" t="s">
        <v>83</v>
      </c>
      <c r="D344" s="205"/>
      <c r="E344" s="205"/>
      <c r="F344" s="190">
        <f>SUM(F341:F342,F340)</f>
        <v>7.09</v>
      </c>
      <c r="G344" s="207"/>
      <c r="H344" s="728" t="s">
        <v>84</v>
      </c>
      <c r="I344" s="728"/>
      <c r="J344" s="728"/>
      <c r="K344" s="190" t="e">
        <f>SUM(K340:K342)</f>
        <v>#VALUE!</v>
      </c>
      <c r="L344" s="208"/>
      <c r="M344" s="191" t="e">
        <f>K344-F344</f>
        <v>#VALUE!</v>
      </c>
      <c r="N344" s="192" t="e">
        <f>M344/F344</f>
        <v>#VALUE!</v>
      </c>
    </row>
    <row r="345" ht="12.75">
      <c r="K345" s="162"/>
    </row>
    <row r="346" spans="6:11" ht="13.5" thickBot="1">
      <c r="F346" s="162"/>
      <c r="K346" s="162"/>
    </row>
    <row r="347" spans="1:14" ht="60.75" thickBot="1">
      <c r="A347" s="169" t="s">
        <v>75</v>
      </c>
      <c r="B347" s="170"/>
      <c r="C347" s="705"/>
      <c r="D347" s="699" t="s">
        <v>11</v>
      </c>
      <c r="E347" s="701" t="s">
        <v>76</v>
      </c>
      <c r="F347" s="703" t="s">
        <v>197</v>
      </c>
      <c r="G347" s="167"/>
      <c r="H347" s="171"/>
      <c r="I347" s="699" t="s">
        <v>11</v>
      </c>
      <c r="J347" s="701" t="s">
        <v>76</v>
      </c>
      <c r="K347" s="703" t="s">
        <v>197</v>
      </c>
      <c r="L347" s="170"/>
      <c r="M347" s="716" t="s">
        <v>196</v>
      </c>
      <c r="N347" s="718" t="s">
        <v>77</v>
      </c>
    </row>
    <row r="348" spans="1:14" ht="13.5" thickBot="1">
      <c r="A348" s="172">
        <v>250</v>
      </c>
      <c r="B348" s="31"/>
      <c r="C348" s="706"/>
      <c r="D348" s="700"/>
      <c r="E348" s="702"/>
      <c r="F348" s="704"/>
      <c r="G348" s="168"/>
      <c r="H348" s="31"/>
      <c r="I348" s="714"/>
      <c r="J348" s="715"/>
      <c r="K348" s="704"/>
      <c r="L348" s="32"/>
      <c r="M348" s="717"/>
      <c r="N348" s="719"/>
    </row>
    <row r="349" spans="1:14" ht="25.5">
      <c r="A349" s="173"/>
      <c r="B349" s="31"/>
      <c r="C349" s="174" t="s">
        <v>21</v>
      </c>
      <c r="D349" s="175" t="s">
        <v>78</v>
      </c>
      <c r="E349" s="176" t="s">
        <v>78</v>
      </c>
      <c r="F349" s="235">
        <f>F338</f>
        <v>0</v>
      </c>
      <c r="G349" s="168"/>
      <c r="H349" s="178" t="s">
        <v>21</v>
      </c>
      <c r="I349" s="209" t="str">
        <f>D349</f>
        <v>N/A</v>
      </c>
      <c r="J349" s="179" t="s">
        <v>78</v>
      </c>
      <c r="K349" s="506">
        <f>K338</f>
      </c>
      <c r="L349" s="180"/>
      <c r="M349" s="720"/>
      <c r="N349" s="721"/>
    </row>
    <row r="350" spans="1:14" ht="26.25" thickBot="1">
      <c r="A350" s="86"/>
      <c r="B350" s="31"/>
      <c r="C350" s="181" t="s">
        <v>79</v>
      </c>
      <c r="D350" s="236">
        <f>A348</f>
        <v>250</v>
      </c>
      <c r="E350" s="183">
        <f>E339</f>
        <v>0</v>
      </c>
      <c r="F350" s="351">
        <f>D350*E350</f>
        <v>0</v>
      </c>
      <c r="G350" s="168"/>
      <c r="H350" s="185" t="s">
        <v>79</v>
      </c>
      <c r="I350" s="186">
        <f>D350</f>
        <v>250</v>
      </c>
      <c r="J350" s="507">
        <f>J339</f>
      </c>
      <c r="K350" s="187" t="e">
        <f>I350*J350</f>
        <v>#VALUE!</v>
      </c>
      <c r="L350" s="180"/>
      <c r="M350" s="722"/>
      <c r="N350" s="723"/>
    </row>
    <row r="351" spans="1:14" ht="13.5" thickBot="1">
      <c r="A351" s="86"/>
      <c r="B351" s="31"/>
      <c r="C351" s="726"/>
      <c r="D351" s="727"/>
      <c r="E351" s="188" t="s">
        <v>51</v>
      </c>
      <c r="F351" s="372">
        <f>SUM(F349:F350)</f>
        <v>0</v>
      </c>
      <c r="G351" s="168"/>
      <c r="H351" s="709"/>
      <c r="I351" s="710"/>
      <c r="J351" s="188" t="s">
        <v>80</v>
      </c>
      <c r="K351" s="190" t="e">
        <f>SUM(K349:K350)</f>
        <v>#VALUE!</v>
      </c>
      <c r="L351" s="180"/>
      <c r="M351" s="191" t="e">
        <f>K351-F351</f>
        <v>#VALUE!</v>
      </c>
      <c r="N351" s="192" t="e">
        <f>M351/F351</f>
        <v>#VALUE!</v>
      </c>
    </row>
    <row r="352" spans="1:14" ht="25.5">
      <c r="A352" s="86"/>
      <c r="B352" s="31"/>
      <c r="C352" s="181" t="s">
        <v>81</v>
      </c>
      <c r="D352" s="182">
        <f>A348</f>
        <v>250</v>
      </c>
      <c r="E352" s="439">
        <v>0.0239</v>
      </c>
      <c r="F352" s="373">
        <f>D352*E352</f>
        <v>5.9750000000000005</v>
      </c>
      <c r="G352" s="168"/>
      <c r="H352" s="185" t="s">
        <v>81</v>
      </c>
      <c r="I352" s="186">
        <f aca="true" t="shared" si="17" ref="I352:K353">D352</f>
        <v>250</v>
      </c>
      <c r="J352" s="441">
        <f t="shared" si="17"/>
        <v>0.0239</v>
      </c>
      <c r="K352" s="196">
        <f t="shared" si="17"/>
        <v>5.9750000000000005</v>
      </c>
      <c r="L352" s="180"/>
      <c r="M352" s="720"/>
      <c r="N352" s="721"/>
    </row>
    <row r="353" spans="1:14" ht="26.25" thickBot="1">
      <c r="A353" s="86"/>
      <c r="B353" s="31"/>
      <c r="C353" s="197" t="s">
        <v>82</v>
      </c>
      <c r="D353" s="182">
        <f>A348</f>
        <v>250</v>
      </c>
      <c r="E353" s="440">
        <v>0.047</v>
      </c>
      <c r="F353" s="351">
        <f>D353*E353</f>
        <v>11.75</v>
      </c>
      <c r="G353" s="168"/>
      <c r="H353" s="199" t="s">
        <v>82</v>
      </c>
      <c r="I353" s="200">
        <f t="shared" si="17"/>
        <v>250</v>
      </c>
      <c r="J353" s="442">
        <f t="shared" si="17"/>
        <v>0.047</v>
      </c>
      <c r="K353" s="202">
        <f t="shared" si="17"/>
        <v>11.75</v>
      </c>
      <c r="L353" s="180"/>
      <c r="M353" s="724"/>
      <c r="N353" s="725"/>
    </row>
    <row r="354" spans="1:14" ht="13.5" thickBot="1">
      <c r="A354" s="86"/>
      <c r="B354" s="31"/>
      <c r="C354" s="711"/>
      <c r="D354" s="712"/>
      <c r="E354" s="712"/>
      <c r="F354" s="713"/>
      <c r="G354" s="168"/>
      <c r="H354" s="712"/>
      <c r="I354" s="712"/>
      <c r="J354" s="712"/>
      <c r="K354" s="713"/>
      <c r="L354" s="31"/>
      <c r="M354" s="86"/>
      <c r="N354" s="203"/>
    </row>
    <row r="355" spans="1:14" ht="13.5" thickBot="1">
      <c r="A355" s="94"/>
      <c r="B355" s="149"/>
      <c r="C355" s="204" t="s">
        <v>83</v>
      </c>
      <c r="D355" s="205"/>
      <c r="E355" s="205"/>
      <c r="F355" s="190">
        <f>SUM(F352:F353,F351)</f>
        <v>17.725</v>
      </c>
      <c r="G355" s="207"/>
      <c r="H355" s="728" t="s">
        <v>84</v>
      </c>
      <c r="I355" s="728"/>
      <c r="J355" s="728"/>
      <c r="K355" s="190" t="e">
        <f>SUM(K351:K353)</f>
        <v>#VALUE!</v>
      </c>
      <c r="L355" s="208"/>
      <c r="M355" s="191" t="e">
        <f>K355-F355</f>
        <v>#VALUE!</v>
      </c>
      <c r="N355" s="192" t="e">
        <f>M355/F355</f>
        <v>#VALUE!</v>
      </c>
    </row>
    <row r="356" ht="12.75">
      <c r="K356" s="162"/>
    </row>
    <row r="357" spans="1:14" ht="15.75" thickBot="1">
      <c r="A357" s="47"/>
      <c r="B357" s="12"/>
      <c r="D357" s="10"/>
      <c r="E357" s="10"/>
      <c r="F357" s="210"/>
      <c r="I357" s="10"/>
      <c r="J357" s="10"/>
      <c r="K357" s="211"/>
      <c r="L357" s="12"/>
      <c r="M357" s="12"/>
      <c r="N357" s="212"/>
    </row>
    <row r="358" spans="1:14" ht="60.75" thickBot="1">
      <c r="A358" s="169" t="s">
        <v>75</v>
      </c>
      <c r="B358" s="170"/>
      <c r="C358" s="730"/>
      <c r="D358" s="699" t="s">
        <v>11</v>
      </c>
      <c r="E358" s="701" t="s">
        <v>76</v>
      </c>
      <c r="F358" s="703" t="s">
        <v>197</v>
      </c>
      <c r="G358" s="167"/>
      <c r="H358" s="171"/>
      <c r="I358" s="699" t="s">
        <v>11</v>
      </c>
      <c r="J358" s="701" t="s">
        <v>76</v>
      </c>
      <c r="K358" s="703" t="s">
        <v>197</v>
      </c>
      <c r="L358" s="170"/>
      <c r="M358" s="716" t="s">
        <v>196</v>
      </c>
      <c r="N358" s="718" t="s">
        <v>77</v>
      </c>
    </row>
    <row r="359" spans="1:14" ht="13.5" thickBot="1">
      <c r="A359" s="172">
        <v>500</v>
      </c>
      <c r="B359" s="31"/>
      <c r="C359" s="731"/>
      <c r="D359" s="700"/>
      <c r="E359" s="702"/>
      <c r="F359" s="704"/>
      <c r="G359" s="168"/>
      <c r="H359" s="31"/>
      <c r="I359" s="714"/>
      <c r="J359" s="715"/>
      <c r="K359" s="704"/>
      <c r="L359" s="32"/>
      <c r="M359" s="717"/>
      <c r="N359" s="719"/>
    </row>
    <row r="360" spans="1:14" ht="25.5">
      <c r="A360" s="173"/>
      <c r="B360" s="31"/>
      <c r="C360" s="174" t="s">
        <v>21</v>
      </c>
      <c r="D360" s="175" t="s">
        <v>78</v>
      </c>
      <c r="E360" s="176" t="s">
        <v>78</v>
      </c>
      <c r="F360" s="235">
        <f>F349</f>
        <v>0</v>
      </c>
      <c r="G360" s="168"/>
      <c r="H360" s="178" t="s">
        <v>21</v>
      </c>
      <c r="I360" s="209" t="str">
        <f>D360</f>
        <v>N/A</v>
      </c>
      <c r="J360" s="179" t="s">
        <v>78</v>
      </c>
      <c r="K360" s="506">
        <f>K349</f>
      </c>
      <c r="L360" s="180"/>
      <c r="M360" s="720"/>
      <c r="N360" s="721"/>
    </row>
    <row r="361" spans="1:14" ht="26.25" thickBot="1">
      <c r="A361" s="86"/>
      <c r="B361" s="31"/>
      <c r="C361" s="181" t="s">
        <v>79</v>
      </c>
      <c r="D361" s="236">
        <f>A359</f>
        <v>500</v>
      </c>
      <c r="E361" s="183">
        <f>E350</f>
        <v>0</v>
      </c>
      <c r="F361" s="351">
        <f>D361*E361</f>
        <v>0</v>
      </c>
      <c r="G361" s="168"/>
      <c r="H361" s="185" t="s">
        <v>79</v>
      </c>
      <c r="I361" s="374">
        <f>D361</f>
        <v>500</v>
      </c>
      <c r="J361" s="507">
        <f>J350</f>
      </c>
      <c r="K361" s="187" t="e">
        <f>I361*J361</f>
        <v>#VALUE!</v>
      </c>
      <c r="L361" s="180"/>
      <c r="M361" s="722"/>
      <c r="N361" s="723"/>
    </row>
    <row r="362" spans="1:14" ht="13.5" thickBot="1">
      <c r="A362" s="86"/>
      <c r="B362" s="31"/>
      <c r="C362" s="726"/>
      <c r="D362" s="729"/>
      <c r="E362" s="188" t="s">
        <v>51</v>
      </c>
      <c r="F362" s="372">
        <f>SUM(F360:F361)</f>
        <v>0</v>
      </c>
      <c r="G362" s="168"/>
      <c r="H362" s="709"/>
      <c r="I362" s="710"/>
      <c r="J362" s="188" t="s">
        <v>80</v>
      </c>
      <c r="K362" s="190" t="e">
        <f>SUM(K360:K361)</f>
        <v>#VALUE!</v>
      </c>
      <c r="L362" s="180"/>
      <c r="M362" s="191" t="e">
        <f>K362-F362</f>
        <v>#VALUE!</v>
      </c>
      <c r="N362" s="192" t="e">
        <f>M362/F362</f>
        <v>#VALUE!</v>
      </c>
    </row>
    <row r="363" spans="1:14" ht="25.5">
      <c r="A363" s="86"/>
      <c r="B363" s="31"/>
      <c r="C363" s="181" t="s">
        <v>81</v>
      </c>
      <c r="D363" s="182">
        <f>A359</f>
        <v>500</v>
      </c>
      <c r="E363" s="439">
        <v>0.0239</v>
      </c>
      <c r="F363" s="373">
        <f>D363*E363</f>
        <v>11.950000000000001</v>
      </c>
      <c r="G363" s="168"/>
      <c r="H363" s="185" t="s">
        <v>81</v>
      </c>
      <c r="I363" s="186">
        <f aca="true" t="shared" si="18" ref="I363:K364">D363</f>
        <v>500</v>
      </c>
      <c r="J363" s="441">
        <f t="shared" si="18"/>
        <v>0.0239</v>
      </c>
      <c r="K363" s="196">
        <f t="shared" si="18"/>
        <v>11.950000000000001</v>
      </c>
      <c r="L363" s="180"/>
      <c r="M363" s="720"/>
      <c r="N363" s="721"/>
    </row>
    <row r="364" spans="1:14" ht="26.25" thickBot="1">
      <c r="A364" s="86"/>
      <c r="B364" s="31"/>
      <c r="C364" s="197" t="s">
        <v>82</v>
      </c>
      <c r="D364" s="182">
        <f>A359</f>
        <v>500</v>
      </c>
      <c r="E364" s="440">
        <v>0.047</v>
      </c>
      <c r="F364" s="351">
        <f>D364*E364</f>
        <v>23.5</v>
      </c>
      <c r="G364" s="168"/>
      <c r="H364" s="199" t="s">
        <v>82</v>
      </c>
      <c r="I364" s="200">
        <f t="shared" si="18"/>
        <v>500</v>
      </c>
      <c r="J364" s="442">
        <f t="shared" si="18"/>
        <v>0.047</v>
      </c>
      <c r="K364" s="202">
        <f t="shared" si="18"/>
        <v>23.5</v>
      </c>
      <c r="L364" s="180"/>
      <c r="M364" s="724"/>
      <c r="N364" s="725"/>
    </row>
    <row r="365" spans="1:14" ht="13.5" thickBot="1">
      <c r="A365" s="86"/>
      <c r="B365" s="31"/>
      <c r="C365" s="711"/>
      <c r="D365" s="712"/>
      <c r="E365" s="712"/>
      <c r="F365" s="713"/>
      <c r="G365" s="168"/>
      <c r="H365" s="712"/>
      <c r="I365" s="712"/>
      <c r="J365" s="712"/>
      <c r="K365" s="713"/>
      <c r="L365" s="31"/>
      <c r="M365" s="86"/>
      <c r="N365" s="203"/>
    </row>
    <row r="366" spans="1:14" ht="13.5" thickBot="1">
      <c r="A366" s="94"/>
      <c r="B366" s="149"/>
      <c r="C366" s="204" t="s">
        <v>83</v>
      </c>
      <c r="D366" s="205"/>
      <c r="E366" s="205"/>
      <c r="F366" s="190">
        <f>SUM(F363:F364,F362)</f>
        <v>35.45</v>
      </c>
      <c r="G366" s="207"/>
      <c r="H366" s="728" t="s">
        <v>84</v>
      </c>
      <c r="I366" s="728"/>
      <c r="J366" s="728"/>
      <c r="K366" s="190" t="e">
        <f>SUM(K362:K364)</f>
        <v>#VALUE!</v>
      </c>
      <c r="L366" s="208"/>
      <c r="M366" s="191" t="e">
        <f>K366-F366</f>
        <v>#VALUE!</v>
      </c>
      <c r="N366" s="192" t="e">
        <f>M366/F366</f>
        <v>#VALUE!</v>
      </c>
    </row>
    <row r="367" spans="1:14" ht="15">
      <c r="A367" s="47"/>
      <c r="B367" s="12"/>
      <c r="D367" s="10"/>
      <c r="E367" s="10"/>
      <c r="F367" s="210"/>
      <c r="I367" s="10"/>
      <c r="J367" s="10"/>
      <c r="K367" s="211"/>
      <c r="L367" s="12"/>
      <c r="M367" s="12"/>
      <c r="N367" s="212"/>
    </row>
    <row r="368" spans="1:14" ht="13.5" thickBot="1">
      <c r="A368" s="12"/>
      <c r="D368" s="213"/>
      <c r="E368" s="10"/>
      <c r="F368" s="210"/>
      <c r="I368" s="10"/>
      <c r="J368" s="10"/>
      <c r="K368" s="211"/>
      <c r="L368" s="12"/>
      <c r="M368" s="12"/>
      <c r="N368" s="214"/>
    </row>
    <row r="369" spans="1:14" ht="60.75" thickBot="1">
      <c r="A369" s="169" t="s">
        <v>75</v>
      </c>
      <c r="B369" s="170"/>
      <c r="C369" s="705"/>
      <c r="D369" s="699" t="s">
        <v>11</v>
      </c>
      <c r="E369" s="701" t="s">
        <v>76</v>
      </c>
      <c r="F369" s="703" t="s">
        <v>197</v>
      </c>
      <c r="G369" s="167"/>
      <c r="H369" s="171"/>
      <c r="I369" s="699" t="s">
        <v>11</v>
      </c>
      <c r="J369" s="701" t="s">
        <v>76</v>
      </c>
      <c r="K369" s="703" t="s">
        <v>197</v>
      </c>
      <c r="L369" s="170"/>
      <c r="M369" s="716" t="s">
        <v>196</v>
      </c>
      <c r="N369" s="718" t="s">
        <v>77</v>
      </c>
    </row>
    <row r="370" spans="1:14" ht="13.5" thickBot="1">
      <c r="A370" s="172">
        <v>750</v>
      </c>
      <c r="B370" s="31"/>
      <c r="C370" s="706"/>
      <c r="D370" s="700"/>
      <c r="E370" s="702"/>
      <c r="F370" s="704"/>
      <c r="G370" s="168"/>
      <c r="H370" s="31"/>
      <c r="I370" s="714"/>
      <c r="J370" s="715"/>
      <c r="K370" s="704"/>
      <c r="L370" s="32"/>
      <c r="M370" s="717"/>
      <c r="N370" s="719"/>
    </row>
    <row r="371" spans="1:14" ht="25.5">
      <c r="A371" s="173"/>
      <c r="B371" s="31"/>
      <c r="C371" s="174" t="s">
        <v>21</v>
      </c>
      <c r="D371" s="175" t="s">
        <v>78</v>
      </c>
      <c r="E371" s="176" t="s">
        <v>78</v>
      </c>
      <c r="F371" s="235">
        <f>F360</f>
        <v>0</v>
      </c>
      <c r="G371" s="168"/>
      <c r="H371" s="178" t="s">
        <v>21</v>
      </c>
      <c r="I371" s="209" t="str">
        <f>D371</f>
        <v>N/A</v>
      </c>
      <c r="J371" s="179" t="s">
        <v>78</v>
      </c>
      <c r="K371" s="506">
        <f>K360</f>
      </c>
      <c r="L371" s="180"/>
      <c r="M371" s="720"/>
      <c r="N371" s="721"/>
    </row>
    <row r="372" spans="1:14" ht="26.25" thickBot="1">
      <c r="A372" s="86"/>
      <c r="B372" s="31"/>
      <c r="C372" s="181" t="s">
        <v>79</v>
      </c>
      <c r="D372" s="236">
        <f>A370</f>
        <v>750</v>
      </c>
      <c r="E372" s="183">
        <f>E361</f>
        <v>0</v>
      </c>
      <c r="F372" s="351">
        <f>D372*E372</f>
        <v>0</v>
      </c>
      <c r="G372" s="168"/>
      <c r="H372" s="185" t="s">
        <v>79</v>
      </c>
      <c r="I372" s="374">
        <f>D372</f>
        <v>750</v>
      </c>
      <c r="J372" s="507">
        <f>J361</f>
      </c>
      <c r="K372" s="187" t="e">
        <f>I372*J372</f>
        <v>#VALUE!</v>
      </c>
      <c r="L372" s="180"/>
      <c r="M372" s="722"/>
      <c r="N372" s="723"/>
    </row>
    <row r="373" spans="1:14" ht="13.5" thickBot="1">
      <c r="A373" s="86"/>
      <c r="B373" s="31"/>
      <c r="C373" s="726"/>
      <c r="D373" s="727"/>
      <c r="E373" s="188" t="s">
        <v>51</v>
      </c>
      <c r="F373" s="372">
        <f>SUM(F371:F372)</f>
        <v>0</v>
      </c>
      <c r="G373" s="168"/>
      <c r="H373" s="709"/>
      <c r="I373" s="710"/>
      <c r="J373" s="188" t="s">
        <v>80</v>
      </c>
      <c r="K373" s="190" t="e">
        <f>SUM(K371:K372)</f>
        <v>#VALUE!</v>
      </c>
      <c r="L373" s="180"/>
      <c r="M373" s="191" t="e">
        <f>K373-F373</f>
        <v>#VALUE!</v>
      </c>
      <c r="N373" s="192" t="e">
        <f>M373/F373</f>
        <v>#VALUE!</v>
      </c>
    </row>
    <row r="374" spans="1:14" ht="25.5">
      <c r="A374" s="86"/>
      <c r="B374" s="31"/>
      <c r="C374" s="181" t="s">
        <v>81</v>
      </c>
      <c r="D374" s="182">
        <f>A370</f>
        <v>750</v>
      </c>
      <c r="E374" s="193">
        <v>0.0239</v>
      </c>
      <c r="F374" s="373">
        <f>D374*E374</f>
        <v>17.925</v>
      </c>
      <c r="G374" s="168"/>
      <c r="H374" s="185" t="s">
        <v>81</v>
      </c>
      <c r="I374" s="186">
        <f aca="true" t="shared" si="19" ref="I374:K375">D374</f>
        <v>750</v>
      </c>
      <c r="J374" s="195">
        <f t="shared" si="19"/>
        <v>0.0239</v>
      </c>
      <c r="K374" s="196">
        <f t="shared" si="19"/>
        <v>17.925</v>
      </c>
      <c r="L374" s="180"/>
      <c r="M374" s="720"/>
      <c r="N374" s="721"/>
    </row>
    <row r="375" spans="1:14" ht="26.25" thickBot="1">
      <c r="A375" s="86"/>
      <c r="B375" s="31"/>
      <c r="C375" s="197" t="s">
        <v>82</v>
      </c>
      <c r="D375" s="182">
        <f>A370</f>
        <v>750</v>
      </c>
      <c r="E375" s="198">
        <v>0.047</v>
      </c>
      <c r="F375" s="351">
        <f>D375*E375</f>
        <v>35.25</v>
      </c>
      <c r="G375" s="168"/>
      <c r="H375" s="199" t="s">
        <v>82</v>
      </c>
      <c r="I375" s="200">
        <f t="shared" si="19"/>
        <v>750</v>
      </c>
      <c r="J375" s="201">
        <f t="shared" si="19"/>
        <v>0.047</v>
      </c>
      <c r="K375" s="202">
        <f t="shared" si="19"/>
        <v>35.25</v>
      </c>
      <c r="L375" s="180"/>
      <c r="M375" s="724"/>
      <c r="N375" s="725"/>
    </row>
    <row r="376" spans="1:14" ht="13.5" thickBot="1">
      <c r="A376" s="86"/>
      <c r="B376" s="31"/>
      <c r="C376" s="711"/>
      <c r="D376" s="712"/>
      <c r="E376" s="712"/>
      <c r="F376" s="713"/>
      <c r="G376" s="168"/>
      <c r="H376" s="712"/>
      <c r="I376" s="712"/>
      <c r="J376" s="712"/>
      <c r="K376" s="713"/>
      <c r="L376" s="31"/>
      <c r="M376" s="86"/>
      <c r="N376" s="203"/>
    </row>
    <row r="377" spans="1:14" ht="13.5" thickBot="1">
      <c r="A377" s="94"/>
      <c r="B377" s="149"/>
      <c r="C377" s="204" t="s">
        <v>83</v>
      </c>
      <c r="D377" s="205"/>
      <c r="E377" s="205"/>
      <c r="F377" s="190">
        <f>SUM(F374:F375,F373)</f>
        <v>53.175</v>
      </c>
      <c r="G377" s="207"/>
      <c r="H377" s="728" t="s">
        <v>84</v>
      </c>
      <c r="I377" s="728"/>
      <c r="J377" s="728"/>
      <c r="K377" s="190" t="e">
        <f>SUM(K373:K375)</f>
        <v>#VALUE!</v>
      </c>
      <c r="L377" s="208"/>
      <c r="M377" s="191" t="e">
        <f>K377-F377</f>
        <v>#VALUE!</v>
      </c>
      <c r="N377" s="192" t="e">
        <f>M377/F377</f>
        <v>#VALUE!</v>
      </c>
    </row>
    <row r="378" spans="1:14" ht="12.75">
      <c r="A378" s="12"/>
      <c r="D378" s="213"/>
      <c r="E378" s="10"/>
      <c r="F378" s="210"/>
      <c r="I378" s="10"/>
      <c r="J378" s="10"/>
      <c r="K378" s="211"/>
      <c r="L378" s="12"/>
      <c r="M378" s="12"/>
      <c r="N378" s="214"/>
    </row>
    <row r="379" spans="1:13" ht="15.75" thickBot="1">
      <c r="A379" s="215"/>
      <c r="B379" s="31"/>
      <c r="C379" s="133"/>
      <c r="D379" s="30"/>
      <c r="E379" s="30"/>
      <c r="F379" s="216"/>
      <c r="H379" s="133"/>
      <c r="I379" s="30"/>
      <c r="J379" s="30"/>
      <c r="K379" s="217"/>
      <c r="L379" s="217"/>
      <c r="M379" s="217"/>
    </row>
    <row r="380" spans="1:14" ht="60.75" thickBot="1">
      <c r="A380" s="169" t="s">
        <v>75</v>
      </c>
      <c r="B380" s="170"/>
      <c r="C380" s="705"/>
      <c r="D380" s="699" t="s">
        <v>11</v>
      </c>
      <c r="E380" s="701" t="s">
        <v>76</v>
      </c>
      <c r="F380" s="703" t="s">
        <v>197</v>
      </c>
      <c r="G380" s="167"/>
      <c r="H380" s="171"/>
      <c r="I380" s="699" t="s">
        <v>11</v>
      </c>
      <c r="J380" s="701" t="s">
        <v>76</v>
      </c>
      <c r="K380" s="703" t="s">
        <v>197</v>
      </c>
      <c r="L380" s="170"/>
      <c r="M380" s="716" t="s">
        <v>196</v>
      </c>
      <c r="N380" s="718" t="s">
        <v>77</v>
      </c>
    </row>
    <row r="381" spans="1:14" ht="13.5" thickBot="1">
      <c r="A381" s="172">
        <v>1000</v>
      </c>
      <c r="B381" s="31"/>
      <c r="C381" s="706"/>
      <c r="D381" s="700"/>
      <c r="E381" s="702"/>
      <c r="F381" s="704"/>
      <c r="G381" s="168"/>
      <c r="H381" s="31"/>
      <c r="I381" s="714"/>
      <c r="J381" s="715"/>
      <c r="K381" s="704"/>
      <c r="L381" s="32"/>
      <c r="M381" s="717"/>
      <c r="N381" s="719"/>
    </row>
    <row r="382" spans="1:14" ht="25.5">
      <c r="A382" s="173"/>
      <c r="B382" s="31"/>
      <c r="C382" s="174" t="s">
        <v>21</v>
      </c>
      <c r="D382" s="175" t="s">
        <v>78</v>
      </c>
      <c r="E382" s="176" t="s">
        <v>78</v>
      </c>
      <c r="F382" s="235">
        <f>F371</f>
        <v>0</v>
      </c>
      <c r="G382" s="168"/>
      <c r="H382" s="174" t="s">
        <v>21</v>
      </c>
      <c r="I382" s="209" t="str">
        <f>D382</f>
        <v>N/A</v>
      </c>
      <c r="J382" s="179" t="s">
        <v>78</v>
      </c>
      <c r="K382" s="506">
        <f>K371</f>
      </c>
      <c r="L382" s="180"/>
      <c r="M382" s="720"/>
      <c r="N382" s="721"/>
    </row>
    <row r="383" spans="1:14" ht="26.25" thickBot="1">
      <c r="A383" s="86"/>
      <c r="B383" s="31"/>
      <c r="C383" s="181" t="s">
        <v>79</v>
      </c>
      <c r="D383" s="182">
        <f>A381</f>
        <v>1000</v>
      </c>
      <c r="E383" s="183">
        <f>E372</f>
        <v>0</v>
      </c>
      <c r="F383" s="351">
        <f>D383*E383</f>
        <v>0</v>
      </c>
      <c r="G383" s="168"/>
      <c r="H383" s="181" t="s">
        <v>79</v>
      </c>
      <c r="I383" s="186">
        <f>D383</f>
        <v>1000</v>
      </c>
      <c r="J383" s="507">
        <f>J372</f>
      </c>
      <c r="K383" s="187" t="e">
        <f>I383*J383</f>
        <v>#VALUE!</v>
      </c>
      <c r="L383" s="180"/>
      <c r="M383" s="722"/>
      <c r="N383" s="723"/>
    </row>
    <row r="384" spans="1:14" ht="13.5" thickBot="1">
      <c r="A384" s="86"/>
      <c r="B384" s="31"/>
      <c r="C384" s="726"/>
      <c r="D384" s="727"/>
      <c r="E384" s="188" t="s">
        <v>51</v>
      </c>
      <c r="F384" s="372">
        <f>SUM(F382:F383)</f>
        <v>0</v>
      </c>
      <c r="G384" s="168"/>
      <c r="H384" s="732"/>
      <c r="I384" s="710"/>
      <c r="J384" s="188" t="s">
        <v>80</v>
      </c>
      <c r="K384" s="190" t="e">
        <f>SUM(K382:K383)</f>
        <v>#VALUE!</v>
      </c>
      <c r="L384" s="180"/>
      <c r="M384" s="191" t="e">
        <f>K384-F384</f>
        <v>#VALUE!</v>
      </c>
      <c r="N384" s="192" t="e">
        <f>M384/F384</f>
        <v>#VALUE!</v>
      </c>
    </row>
    <row r="385" spans="1:14" ht="25.5">
      <c r="A385" s="86"/>
      <c r="B385" s="31"/>
      <c r="C385" s="181" t="s">
        <v>81</v>
      </c>
      <c r="D385" s="182">
        <f>A381</f>
        <v>1000</v>
      </c>
      <c r="E385" s="193">
        <v>0.0239</v>
      </c>
      <c r="F385" s="373">
        <f>D385*E385</f>
        <v>23.900000000000002</v>
      </c>
      <c r="G385" s="168"/>
      <c r="H385" s="181" t="s">
        <v>81</v>
      </c>
      <c r="I385" s="186">
        <f>D385</f>
        <v>1000</v>
      </c>
      <c r="J385" s="195">
        <f>E385</f>
        <v>0.0239</v>
      </c>
      <c r="K385" s="196">
        <f>F385</f>
        <v>23.900000000000002</v>
      </c>
      <c r="L385" s="180"/>
      <c r="M385" s="720"/>
      <c r="N385" s="721"/>
    </row>
    <row r="386" spans="1:14" ht="25.5">
      <c r="A386" s="86"/>
      <c r="B386" s="31"/>
      <c r="C386" s="197" t="s">
        <v>82</v>
      </c>
      <c r="D386" s="182">
        <v>750</v>
      </c>
      <c r="E386" s="198">
        <v>0.047</v>
      </c>
      <c r="F386" s="351">
        <f>D386*E386</f>
        <v>35.25</v>
      </c>
      <c r="G386" s="168"/>
      <c r="H386" s="197" t="s">
        <v>82</v>
      </c>
      <c r="I386" s="182">
        <f>D386</f>
        <v>750</v>
      </c>
      <c r="J386" s="198">
        <v>0.047</v>
      </c>
      <c r="K386" s="351">
        <f>I386*J386</f>
        <v>35.25</v>
      </c>
      <c r="L386" s="180"/>
      <c r="M386" s="724"/>
      <c r="N386" s="725"/>
    </row>
    <row r="387" spans="1:14" ht="26.25" thickBot="1">
      <c r="A387" s="86"/>
      <c r="B387" s="31"/>
      <c r="C387" s="197" t="s">
        <v>82</v>
      </c>
      <c r="D387" s="236">
        <f>A381-D386</f>
        <v>250</v>
      </c>
      <c r="E387" s="198">
        <v>0.055</v>
      </c>
      <c r="F387" s="351">
        <f>D387*E387</f>
        <v>13.75</v>
      </c>
      <c r="G387" s="168"/>
      <c r="H387" s="352" t="s">
        <v>82</v>
      </c>
      <c r="I387" s="375">
        <f>D387</f>
        <v>250</v>
      </c>
      <c r="J387" s="353">
        <v>0.055</v>
      </c>
      <c r="K387" s="354">
        <f>I387*J387</f>
        <v>13.75</v>
      </c>
      <c r="L387" s="180"/>
      <c r="M387" s="724"/>
      <c r="N387" s="725"/>
    </row>
    <row r="388" spans="1:14" ht="13.5" thickBot="1">
      <c r="A388" s="86"/>
      <c r="B388" s="31"/>
      <c r="C388" s="711"/>
      <c r="D388" s="712"/>
      <c r="E388" s="712"/>
      <c r="F388" s="713"/>
      <c r="G388" s="168"/>
      <c r="H388" s="712"/>
      <c r="I388" s="712"/>
      <c r="J388" s="712"/>
      <c r="K388" s="713"/>
      <c r="L388" s="31"/>
      <c r="M388" s="86"/>
      <c r="N388" s="203"/>
    </row>
    <row r="389" spans="1:14" ht="13.5" thickBot="1">
      <c r="A389" s="94"/>
      <c r="B389" s="149"/>
      <c r="C389" s="204" t="s">
        <v>83</v>
      </c>
      <c r="D389" s="205"/>
      <c r="E389" s="205"/>
      <c r="F389" s="190">
        <f>SUM(F385:F387,F384)</f>
        <v>72.9</v>
      </c>
      <c r="G389" s="207"/>
      <c r="H389" s="728" t="s">
        <v>84</v>
      </c>
      <c r="I389" s="728"/>
      <c r="J389" s="728"/>
      <c r="K389" s="190" t="e">
        <f>SUM(K384:K387)</f>
        <v>#VALUE!</v>
      </c>
      <c r="L389" s="208"/>
      <c r="M389" s="191" t="e">
        <f>K389-F389</f>
        <v>#VALUE!</v>
      </c>
      <c r="N389" s="192" t="e">
        <f>M389/F389</f>
        <v>#VALUE!</v>
      </c>
    </row>
    <row r="390" spans="1:14" ht="12.75">
      <c r="A390" s="12"/>
      <c r="D390" s="213"/>
      <c r="E390" s="10"/>
      <c r="F390" s="210"/>
      <c r="I390" s="10"/>
      <c r="J390" s="10"/>
      <c r="K390" s="211"/>
      <c r="L390" s="12"/>
      <c r="M390" s="12"/>
      <c r="N390" s="214"/>
    </row>
    <row r="391" spans="1:13" ht="15.75" thickBot="1">
      <c r="A391" s="215"/>
      <c r="B391" s="31"/>
      <c r="C391" s="133"/>
      <c r="D391" s="30"/>
      <c r="E391" s="30"/>
      <c r="F391" s="216"/>
      <c r="H391" s="133"/>
      <c r="I391" s="30"/>
      <c r="J391" s="30"/>
      <c r="K391" s="217"/>
      <c r="L391" s="217"/>
      <c r="M391" s="217"/>
    </row>
    <row r="392" spans="1:14" ht="60.75" thickBot="1">
      <c r="A392" s="169" t="s">
        <v>75</v>
      </c>
      <c r="B392" s="170"/>
      <c r="C392" s="705"/>
      <c r="D392" s="699" t="s">
        <v>11</v>
      </c>
      <c r="E392" s="701" t="s">
        <v>76</v>
      </c>
      <c r="F392" s="703" t="s">
        <v>197</v>
      </c>
      <c r="G392" s="167"/>
      <c r="H392" s="171"/>
      <c r="I392" s="699" t="s">
        <v>11</v>
      </c>
      <c r="J392" s="701" t="s">
        <v>76</v>
      </c>
      <c r="K392" s="703" t="s">
        <v>197</v>
      </c>
      <c r="L392" s="170"/>
      <c r="M392" s="716" t="s">
        <v>196</v>
      </c>
      <c r="N392" s="718" t="s">
        <v>77</v>
      </c>
    </row>
    <row r="393" spans="1:14" ht="13.5" thickBot="1">
      <c r="A393" s="172">
        <v>1500</v>
      </c>
      <c r="B393" s="31"/>
      <c r="C393" s="706"/>
      <c r="D393" s="700"/>
      <c r="E393" s="702"/>
      <c r="F393" s="704"/>
      <c r="G393" s="168"/>
      <c r="H393" s="31"/>
      <c r="I393" s="714"/>
      <c r="J393" s="715"/>
      <c r="K393" s="704"/>
      <c r="L393" s="32"/>
      <c r="M393" s="717"/>
      <c r="N393" s="719"/>
    </row>
    <row r="394" spans="1:14" ht="25.5">
      <c r="A394" s="173"/>
      <c r="B394" s="31"/>
      <c r="C394" s="174" t="s">
        <v>21</v>
      </c>
      <c r="D394" s="175" t="s">
        <v>78</v>
      </c>
      <c r="E394" s="176" t="s">
        <v>78</v>
      </c>
      <c r="F394" s="235">
        <f>F382</f>
        <v>0</v>
      </c>
      <c r="G394" s="168"/>
      <c r="H394" s="178" t="s">
        <v>21</v>
      </c>
      <c r="I394" s="209" t="str">
        <f>D394</f>
        <v>N/A</v>
      </c>
      <c r="J394" s="179" t="s">
        <v>78</v>
      </c>
      <c r="K394" s="506">
        <f>K382</f>
      </c>
      <c r="L394" s="180"/>
      <c r="M394" s="720"/>
      <c r="N394" s="721"/>
    </row>
    <row r="395" spans="1:14" ht="26.25" thickBot="1">
      <c r="A395" s="86"/>
      <c r="B395" s="31"/>
      <c r="C395" s="181" t="s">
        <v>79</v>
      </c>
      <c r="D395" s="182">
        <f>A393</f>
        <v>1500</v>
      </c>
      <c r="E395" s="183">
        <f>E383</f>
        <v>0</v>
      </c>
      <c r="F395" s="351">
        <f>D395*E395</f>
        <v>0</v>
      </c>
      <c r="G395" s="168"/>
      <c r="H395" s="185" t="s">
        <v>79</v>
      </c>
      <c r="I395" s="186">
        <f>D395</f>
        <v>1500</v>
      </c>
      <c r="J395" s="505">
        <f>J383</f>
      </c>
      <c r="K395" s="187" t="e">
        <f>I395*J395</f>
        <v>#VALUE!</v>
      </c>
      <c r="L395" s="180"/>
      <c r="M395" s="722"/>
      <c r="N395" s="723"/>
    </row>
    <row r="396" spans="1:14" ht="13.5" thickBot="1">
      <c r="A396" s="86"/>
      <c r="B396" s="31"/>
      <c r="C396" s="726"/>
      <c r="D396" s="727"/>
      <c r="E396" s="188" t="s">
        <v>51</v>
      </c>
      <c r="F396" s="372">
        <f>SUM(F394:F395)</f>
        <v>0</v>
      </c>
      <c r="G396" s="168"/>
      <c r="H396" s="709"/>
      <c r="I396" s="710"/>
      <c r="J396" s="188" t="s">
        <v>80</v>
      </c>
      <c r="K396" s="190" t="e">
        <f>SUM(K394:K395)</f>
        <v>#VALUE!</v>
      </c>
      <c r="L396" s="180"/>
      <c r="M396" s="191" t="e">
        <f>K396-F396</f>
        <v>#VALUE!</v>
      </c>
      <c r="N396" s="192" t="e">
        <f>M396/F396</f>
        <v>#VALUE!</v>
      </c>
    </row>
    <row r="397" spans="1:14" ht="25.5">
      <c r="A397" s="86"/>
      <c r="B397" s="31"/>
      <c r="C397" s="181" t="s">
        <v>81</v>
      </c>
      <c r="D397" s="182">
        <f>A393</f>
        <v>1500</v>
      </c>
      <c r="E397" s="193">
        <v>0.0239</v>
      </c>
      <c r="F397" s="373">
        <f>D397*E397</f>
        <v>35.85</v>
      </c>
      <c r="G397" s="168"/>
      <c r="H397" s="185" t="s">
        <v>81</v>
      </c>
      <c r="I397" s="186">
        <f>D397</f>
        <v>1500</v>
      </c>
      <c r="J397" s="195">
        <f>E397</f>
        <v>0.0239</v>
      </c>
      <c r="K397" s="196">
        <f>F397</f>
        <v>35.85</v>
      </c>
      <c r="L397" s="180"/>
      <c r="M397" s="720"/>
      <c r="N397" s="721"/>
    </row>
    <row r="398" spans="1:14" ht="25.5">
      <c r="A398" s="86"/>
      <c r="B398" s="31"/>
      <c r="C398" s="197" t="s">
        <v>82</v>
      </c>
      <c r="D398" s="182">
        <v>750</v>
      </c>
      <c r="E398" s="198">
        <v>0.047</v>
      </c>
      <c r="F398" s="351">
        <f>D398*E398</f>
        <v>35.25</v>
      </c>
      <c r="G398" s="168"/>
      <c r="H398" s="197" t="s">
        <v>82</v>
      </c>
      <c r="I398" s="186">
        <f>D398</f>
        <v>750</v>
      </c>
      <c r="J398" s="198">
        <v>0.047</v>
      </c>
      <c r="K398" s="351">
        <f>I398*J398</f>
        <v>35.25</v>
      </c>
      <c r="L398" s="180"/>
      <c r="M398" s="724"/>
      <c r="N398" s="725"/>
    </row>
    <row r="399" spans="1:14" ht="26.25" thickBot="1">
      <c r="A399" s="86"/>
      <c r="B399" s="31"/>
      <c r="C399" s="197" t="s">
        <v>82</v>
      </c>
      <c r="D399" s="236">
        <f>A393-D398</f>
        <v>750</v>
      </c>
      <c r="E399" s="198">
        <v>0.055</v>
      </c>
      <c r="F399" s="351">
        <f>D399*E399</f>
        <v>41.25</v>
      </c>
      <c r="G399" s="168"/>
      <c r="H399" s="352" t="s">
        <v>82</v>
      </c>
      <c r="I399" s="375">
        <f>D399</f>
        <v>750</v>
      </c>
      <c r="J399" s="353">
        <v>0.055</v>
      </c>
      <c r="K399" s="354">
        <f>I399*J399</f>
        <v>41.25</v>
      </c>
      <c r="L399" s="180"/>
      <c r="M399" s="724"/>
      <c r="N399" s="725"/>
    </row>
    <row r="400" spans="1:14" ht="13.5" thickBot="1">
      <c r="A400" s="86"/>
      <c r="B400" s="31"/>
      <c r="C400" s="711"/>
      <c r="D400" s="712"/>
      <c r="E400" s="712"/>
      <c r="F400" s="713"/>
      <c r="G400" s="168"/>
      <c r="H400" s="712"/>
      <c r="I400" s="712"/>
      <c r="J400" s="712"/>
      <c r="K400" s="713"/>
      <c r="L400" s="31"/>
      <c r="M400" s="86"/>
      <c r="N400" s="203"/>
    </row>
    <row r="401" spans="1:14" ht="13.5" thickBot="1">
      <c r="A401" s="94"/>
      <c r="B401" s="149"/>
      <c r="C401" s="204" t="s">
        <v>83</v>
      </c>
      <c r="D401" s="205"/>
      <c r="E401" s="205"/>
      <c r="F401" s="190">
        <f>SUM(F397:F399,F396)</f>
        <v>112.35</v>
      </c>
      <c r="G401" s="207"/>
      <c r="H401" s="728" t="s">
        <v>84</v>
      </c>
      <c r="I401" s="728"/>
      <c r="J401" s="728"/>
      <c r="K401" s="190" t="e">
        <f>SUM(K396:K399)</f>
        <v>#VALUE!</v>
      </c>
      <c r="L401" s="208"/>
      <c r="M401" s="191" t="e">
        <f>K401-F401</f>
        <v>#VALUE!</v>
      </c>
      <c r="N401" s="192" t="e">
        <f>M401/F401</f>
        <v>#VALUE!</v>
      </c>
    </row>
    <row r="402" spans="1:14" ht="12.75">
      <c r="A402" s="12"/>
      <c r="D402" s="213"/>
      <c r="E402" s="10"/>
      <c r="F402" s="210"/>
      <c r="I402" s="10"/>
      <c r="J402" s="10"/>
      <c r="K402" s="211"/>
      <c r="L402" s="12"/>
      <c r="M402" s="12"/>
      <c r="N402" s="214"/>
    </row>
    <row r="403" spans="1:13" ht="15.75" thickBot="1">
      <c r="A403" s="215"/>
      <c r="B403" s="31"/>
      <c r="C403" s="133"/>
      <c r="D403" s="30"/>
      <c r="E403" s="30"/>
      <c r="F403" s="216"/>
      <c r="H403" s="133"/>
      <c r="I403" s="30"/>
      <c r="J403" s="30"/>
      <c r="K403" s="217"/>
      <c r="L403" s="217"/>
      <c r="M403" s="217"/>
    </row>
    <row r="404" spans="1:14" ht="60.75" thickBot="1">
      <c r="A404" s="169" t="s">
        <v>75</v>
      </c>
      <c r="B404" s="170"/>
      <c r="C404" s="705"/>
      <c r="D404" s="699" t="s">
        <v>11</v>
      </c>
      <c r="E404" s="701" t="s">
        <v>76</v>
      </c>
      <c r="F404" s="703" t="s">
        <v>197</v>
      </c>
      <c r="G404" s="167"/>
      <c r="H404" s="171"/>
      <c r="I404" s="699" t="s">
        <v>11</v>
      </c>
      <c r="J404" s="701" t="s">
        <v>76</v>
      </c>
      <c r="K404" s="703" t="s">
        <v>197</v>
      </c>
      <c r="L404" s="170"/>
      <c r="M404" s="716" t="s">
        <v>196</v>
      </c>
      <c r="N404" s="718" t="s">
        <v>77</v>
      </c>
    </row>
    <row r="405" spans="1:14" ht="13.5" thickBot="1">
      <c r="A405" s="172">
        <v>2000</v>
      </c>
      <c r="B405" s="31"/>
      <c r="C405" s="706"/>
      <c r="D405" s="700"/>
      <c r="E405" s="702"/>
      <c r="F405" s="704"/>
      <c r="G405" s="168"/>
      <c r="H405" s="31"/>
      <c r="I405" s="714"/>
      <c r="J405" s="715"/>
      <c r="K405" s="704"/>
      <c r="L405" s="32"/>
      <c r="M405" s="717"/>
      <c r="N405" s="719"/>
    </row>
    <row r="406" spans="1:14" ht="25.5">
      <c r="A406" s="173"/>
      <c r="B406" s="31"/>
      <c r="C406" s="174" t="s">
        <v>21</v>
      </c>
      <c r="D406" s="175" t="s">
        <v>78</v>
      </c>
      <c r="E406" s="176" t="s">
        <v>78</v>
      </c>
      <c r="F406" s="235">
        <f>F394</f>
        <v>0</v>
      </c>
      <c r="G406" s="168"/>
      <c r="H406" s="178" t="s">
        <v>21</v>
      </c>
      <c r="I406" s="209" t="str">
        <f>D406</f>
        <v>N/A</v>
      </c>
      <c r="J406" s="179" t="s">
        <v>78</v>
      </c>
      <c r="K406" s="506">
        <f>K394</f>
      </c>
      <c r="L406" s="180"/>
      <c r="M406" s="720"/>
      <c r="N406" s="721"/>
    </row>
    <row r="407" spans="1:14" ht="26.25" thickBot="1">
      <c r="A407" s="86"/>
      <c r="B407" s="31"/>
      <c r="C407" s="181" t="s">
        <v>79</v>
      </c>
      <c r="D407" s="182">
        <f>A405</f>
        <v>2000</v>
      </c>
      <c r="E407" s="183">
        <f>E395</f>
        <v>0</v>
      </c>
      <c r="F407" s="351">
        <f>D407*E407</f>
        <v>0</v>
      </c>
      <c r="G407" s="168"/>
      <c r="H407" s="185" t="s">
        <v>79</v>
      </c>
      <c r="I407" s="186">
        <f>D407</f>
        <v>2000</v>
      </c>
      <c r="J407" s="505">
        <f>J395</f>
      </c>
      <c r="K407" s="187" t="e">
        <f>I407*J407</f>
        <v>#VALUE!</v>
      </c>
      <c r="L407" s="180"/>
      <c r="M407" s="722"/>
      <c r="N407" s="723"/>
    </row>
    <row r="408" spans="1:14" ht="13.5" thickBot="1">
      <c r="A408" s="86"/>
      <c r="B408" s="31"/>
      <c r="C408" s="726"/>
      <c r="D408" s="727"/>
      <c r="E408" s="188" t="s">
        <v>51</v>
      </c>
      <c r="F408" s="372">
        <f>SUM(F406:F407)</f>
        <v>0</v>
      </c>
      <c r="G408" s="168"/>
      <c r="H408" s="709"/>
      <c r="I408" s="710"/>
      <c r="J408" s="188" t="s">
        <v>80</v>
      </c>
      <c r="K408" s="190" t="e">
        <f>SUM(K406:K407)</f>
        <v>#VALUE!</v>
      </c>
      <c r="L408" s="180"/>
      <c r="M408" s="191" t="e">
        <f>K408-F408</f>
        <v>#VALUE!</v>
      </c>
      <c r="N408" s="192" t="e">
        <f>M408/F408</f>
        <v>#VALUE!</v>
      </c>
    </row>
    <row r="409" spans="1:14" ht="25.5">
      <c r="A409" s="86"/>
      <c r="B409" s="31"/>
      <c r="C409" s="181" t="s">
        <v>81</v>
      </c>
      <c r="D409" s="182">
        <f>A405</f>
        <v>2000</v>
      </c>
      <c r="E409" s="193">
        <v>0.0239</v>
      </c>
      <c r="F409" s="373">
        <f>D409*E409</f>
        <v>47.800000000000004</v>
      </c>
      <c r="G409" s="168"/>
      <c r="H409" s="185" t="s">
        <v>81</v>
      </c>
      <c r="I409" s="186">
        <f>D409</f>
        <v>2000</v>
      </c>
      <c r="J409" s="195">
        <f>E409</f>
        <v>0.0239</v>
      </c>
      <c r="K409" s="196">
        <f>F409</f>
        <v>47.800000000000004</v>
      </c>
      <c r="L409" s="180"/>
      <c r="M409" s="720"/>
      <c r="N409" s="721"/>
    </row>
    <row r="410" spans="1:14" ht="25.5">
      <c r="A410" s="86"/>
      <c r="B410" s="31"/>
      <c r="C410" s="197" t="s">
        <v>82</v>
      </c>
      <c r="D410" s="182">
        <v>750</v>
      </c>
      <c r="E410" s="198">
        <v>0.047</v>
      </c>
      <c r="F410" s="351">
        <f>D410*E410</f>
        <v>35.25</v>
      </c>
      <c r="G410" s="168"/>
      <c r="H410" s="197" t="s">
        <v>82</v>
      </c>
      <c r="I410" s="186">
        <f>D410</f>
        <v>750</v>
      </c>
      <c r="J410" s="198">
        <v>0.047</v>
      </c>
      <c r="K410" s="351">
        <f>I410*J410</f>
        <v>35.25</v>
      </c>
      <c r="L410" s="180"/>
      <c r="M410" s="724"/>
      <c r="N410" s="725"/>
    </row>
    <row r="411" spans="1:14" ht="26.25" thickBot="1">
      <c r="A411" s="86"/>
      <c r="B411" s="31"/>
      <c r="C411" s="197" t="s">
        <v>82</v>
      </c>
      <c r="D411" s="236">
        <f>A405-D410</f>
        <v>1250</v>
      </c>
      <c r="E411" s="198">
        <v>0.055</v>
      </c>
      <c r="F411" s="351">
        <f>D411*E411</f>
        <v>68.75</v>
      </c>
      <c r="G411" s="168"/>
      <c r="H411" s="352" t="s">
        <v>82</v>
      </c>
      <c r="I411" s="375">
        <f>D411</f>
        <v>1250</v>
      </c>
      <c r="J411" s="353">
        <v>0.055</v>
      </c>
      <c r="K411" s="354">
        <f>I411*J411</f>
        <v>68.75</v>
      </c>
      <c r="L411" s="180"/>
      <c r="M411" s="724"/>
      <c r="N411" s="725"/>
    </row>
    <row r="412" spans="1:14" ht="13.5" thickBot="1">
      <c r="A412" s="86"/>
      <c r="B412" s="31"/>
      <c r="C412" s="711"/>
      <c r="D412" s="712"/>
      <c r="E412" s="712"/>
      <c r="F412" s="713"/>
      <c r="G412" s="168"/>
      <c r="H412" s="712"/>
      <c r="I412" s="712"/>
      <c r="J412" s="712"/>
      <c r="K412" s="713"/>
      <c r="L412" s="31"/>
      <c r="M412" s="86"/>
      <c r="N412" s="203"/>
    </row>
    <row r="413" spans="1:14" ht="13.5" thickBot="1">
      <c r="A413" s="94"/>
      <c r="B413" s="149"/>
      <c r="C413" s="204" t="s">
        <v>83</v>
      </c>
      <c r="D413" s="205"/>
      <c r="E413" s="205"/>
      <c r="F413" s="190">
        <f>SUM(F409:F411,F408)</f>
        <v>151.8</v>
      </c>
      <c r="G413" s="207"/>
      <c r="H413" s="728" t="s">
        <v>84</v>
      </c>
      <c r="I413" s="728"/>
      <c r="J413" s="728"/>
      <c r="K413" s="190" t="e">
        <f>SUM(K408:K411)</f>
        <v>#VALUE!</v>
      </c>
      <c r="L413" s="208"/>
      <c r="M413" s="191" t="e">
        <f>K413-F413</f>
        <v>#VALUE!</v>
      </c>
      <c r="N413" s="192" t="e">
        <f>M413/F413</f>
        <v>#VALUE!</v>
      </c>
    </row>
    <row r="414" spans="3:14" ht="12.75">
      <c r="C414" s="32"/>
      <c r="D414" s="32"/>
      <c r="E414" s="32"/>
      <c r="F414" s="218"/>
      <c r="G414" s="31"/>
      <c r="H414" s="219"/>
      <c r="I414" s="219"/>
      <c r="J414" s="219"/>
      <c r="K414" s="218"/>
      <c r="L414" s="217"/>
      <c r="M414" s="218"/>
      <c r="N414" s="220"/>
    </row>
    <row r="415" spans="3:14" ht="12.75">
      <c r="C415" s="32"/>
      <c r="D415" s="32"/>
      <c r="E415" s="32"/>
      <c r="F415" s="218"/>
      <c r="G415" s="31"/>
      <c r="H415" s="219"/>
      <c r="I415" s="219"/>
      <c r="J415" s="219"/>
      <c r="K415" s="218"/>
      <c r="L415" s="217"/>
      <c r="M415" s="218"/>
      <c r="N415" s="220"/>
    </row>
    <row r="416" spans="1:13" ht="23.25">
      <c r="A416" s="221" t="s">
        <v>217</v>
      </c>
      <c r="B416" s="54"/>
      <c r="D416" s="31"/>
      <c r="F416" s="217"/>
      <c r="J416" s="222"/>
      <c r="K416" s="217"/>
      <c r="L416" s="217"/>
      <c r="M416" s="217"/>
    </row>
    <row r="417" spans="1:13" ht="15.75">
      <c r="A417" s="54"/>
      <c r="B417" s="54"/>
      <c r="D417" s="31"/>
      <c r="F417" s="217"/>
      <c r="J417" s="222"/>
      <c r="K417" s="217"/>
      <c r="L417" s="217"/>
      <c r="M417" s="217"/>
    </row>
    <row r="418" spans="1:14" ht="15">
      <c r="A418" s="141" t="s">
        <v>91</v>
      </c>
      <c r="B418" s="223"/>
      <c r="C418" s="144"/>
      <c r="D418" s="224"/>
      <c r="E418" s="144"/>
      <c r="F418" s="225"/>
      <c r="G418" s="144"/>
      <c r="H418" s="144"/>
      <c r="I418" s="144"/>
      <c r="J418" s="226"/>
      <c r="K418" s="225"/>
      <c r="L418" s="225"/>
      <c r="M418" s="225"/>
      <c r="N418" s="227"/>
    </row>
    <row r="419" spans="1:14" ht="15">
      <c r="A419" s="141" t="s">
        <v>48</v>
      </c>
      <c r="B419" s="223"/>
      <c r="C419" s="144"/>
      <c r="D419" s="224"/>
      <c r="E419" s="144"/>
      <c r="F419" s="225"/>
      <c r="G419" s="144"/>
      <c r="H419" s="144"/>
      <c r="I419" s="144"/>
      <c r="J419" s="226"/>
      <c r="K419" s="225"/>
      <c r="L419" s="225"/>
      <c r="M419" s="225"/>
      <c r="N419" s="227"/>
    </row>
    <row r="420" spans="1:14" ht="15">
      <c r="A420" s="141" t="s">
        <v>49</v>
      </c>
      <c r="B420" s="223"/>
      <c r="C420" s="144"/>
      <c r="D420" s="224"/>
      <c r="E420" s="144"/>
      <c r="F420" s="225"/>
      <c r="G420" s="144"/>
      <c r="H420" s="144"/>
      <c r="I420" s="144"/>
      <c r="J420" s="226"/>
      <c r="K420" s="225"/>
      <c r="L420" s="225"/>
      <c r="M420" s="225"/>
      <c r="N420" s="227"/>
    </row>
    <row r="421" spans="1:13" ht="16.5" thickBot="1">
      <c r="A421" s="11"/>
      <c r="B421" s="54"/>
      <c r="D421" s="31"/>
      <c r="F421" s="217"/>
      <c r="J421" s="222"/>
      <c r="K421" s="217"/>
      <c r="L421" s="217"/>
      <c r="M421" s="217"/>
    </row>
    <row r="422" spans="1:14" ht="14.25">
      <c r="A422" s="11"/>
      <c r="C422" s="693" t="s">
        <v>94</v>
      </c>
      <c r="D422" s="694"/>
      <c r="E422" s="694"/>
      <c r="F422" s="695"/>
      <c r="G422" s="167"/>
      <c r="H422" s="693" t="s">
        <v>95</v>
      </c>
      <c r="I422" s="694"/>
      <c r="J422" s="694"/>
      <c r="K422" s="694"/>
      <c r="L422" s="694"/>
      <c r="M422" s="694"/>
      <c r="N422" s="695"/>
    </row>
    <row r="423" spans="1:14" ht="13.5" thickBot="1">
      <c r="A423"/>
      <c r="C423" s="696"/>
      <c r="D423" s="697"/>
      <c r="E423" s="697"/>
      <c r="F423" s="698"/>
      <c r="G423" s="168"/>
      <c r="H423" s="696"/>
      <c r="I423" s="697"/>
      <c r="J423" s="697"/>
      <c r="K423" s="697"/>
      <c r="L423" s="697"/>
      <c r="M423" s="697"/>
      <c r="N423" s="698"/>
    </row>
    <row r="424" spans="1:14" ht="60.75" thickBot="1">
      <c r="A424" s="169" t="s">
        <v>75</v>
      </c>
      <c r="B424" s="170"/>
      <c r="C424" s="705"/>
      <c r="D424" s="699" t="s">
        <v>11</v>
      </c>
      <c r="E424" s="701" t="s">
        <v>76</v>
      </c>
      <c r="F424" s="703" t="s">
        <v>197</v>
      </c>
      <c r="G424" s="167"/>
      <c r="H424" s="171"/>
      <c r="I424" s="699" t="s">
        <v>11</v>
      </c>
      <c r="J424" s="701" t="s">
        <v>76</v>
      </c>
      <c r="K424" s="703" t="s">
        <v>197</v>
      </c>
      <c r="L424" s="170"/>
      <c r="M424" s="716" t="s">
        <v>196</v>
      </c>
      <c r="N424" s="718" t="s">
        <v>77</v>
      </c>
    </row>
    <row r="425" spans="1:14" ht="13.5" thickBot="1">
      <c r="A425" s="172">
        <v>1000</v>
      </c>
      <c r="B425" s="31"/>
      <c r="C425" s="706"/>
      <c r="D425" s="700"/>
      <c r="E425" s="702"/>
      <c r="F425" s="704"/>
      <c r="G425" s="168"/>
      <c r="H425" s="31"/>
      <c r="I425" s="714"/>
      <c r="J425" s="715"/>
      <c r="K425" s="704"/>
      <c r="L425" s="32"/>
      <c r="M425" s="717"/>
      <c r="N425" s="719"/>
    </row>
    <row r="426" spans="1:14" ht="25.5">
      <c r="A426" s="173"/>
      <c r="B426" s="31"/>
      <c r="C426" s="174" t="s">
        <v>21</v>
      </c>
      <c r="D426" s="175" t="s">
        <v>78</v>
      </c>
      <c r="E426" s="176" t="s">
        <v>78</v>
      </c>
      <c r="F426" s="502">
        <f>'12. Current Rates'!D107</f>
        <v>0</v>
      </c>
      <c r="G426" s="168"/>
      <c r="H426" s="178" t="s">
        <v>21</v>
      </c>
      <c r="I426" s="175" t="str">
        <f>D426</f>
        <v>N/A</v>
      </c>
      <c r="J426" s="175" t="s">
        <v>78</v>
      </c>
      <c r="K426" s="502">
        <f>'11. 2005 Final Rate Schedule '!F86</f>
      </c>
      <c r="L426" s="180"/>
      <c r="M426" s="720"/>
      <c r="N426" s="721"/>
    </row>
    <row r="427" spans="1:14" ht="26.25" thickBot="1">
      <c r="A427" s="86"/>
      <c r="B427" s="31"/>
      <c r="C427" s="181" t="s">
        <v>79</v>
      </c>
      <c r="D427" s="182">
        <f>A425</f>
        <v>1000</v>
      </c>
      <c r="E427" s="501">
        <f>'12. Current Rates'!D105</f>
        <v>0</v>
      </c>
      <c r="F427" s="351">
        <f>D427*E427</f>
        <v>0</v>
      </c>
      <c r="G427" s="168"/>
      <c r="H427" s="185" t="s">
        <v>79</v>
      </c>
      <c r="I427" s="182">
        <f>D427</f>
        <v>1000</v>
      </c>
      <c r="J427" s="503">
        <f>'11. 2005 Final Rate Schedule '!F87</f>
      </c>
      <c r="K427" s="237" t="e">
        <f>I427*J427</f>
        <v>#VALUE!</v>
      </c>
      <c r="L427" s="180"/>
      <c r="M427" s="722"/>
      <c r="N427" s="723"/>
    </row>
    <row r="428" spans="1:14" ht="13.5" thickBot="1">
      <c r="A428" s="86"/>
      <c r="B428" s="31"/>
      <c r="C428" s="726"/>
      <c r="D428" s="727"/>
      <c r="E428" s="188" t="s">
        <v>51</v>
      </c>
      <c r="F428" s="372">
        <f>SUM(F426:F427)</f>
        <v>0</v>
      </c>
      <c r="G428" s="168"/>
      <c r="H428" s="709"/>
      <c r="I428" s="710"/>
      <c r="J428" s="188" t="s">
        <v>80</v>
      </c>
      <c r="K428" s="190" t="e">
        <f>SUM(K426:K427)</f>
        <v>#VALUE!</v>
      </c>
      <c r="L428" s="180"/>
      <c r="M428" s="191" t="e">
        <f>K428-F428</f>
        <v>#VALUE!</v>
      </c>
      <c r="N428" s="448" t="e">
        <f>M428/F428</f>
        <v>#VALUE!</v>
      </c>
    </row>
    <row r="429" spans="1:14" ht="25.5">
      <c r="A429" s="86"/>
      <c r="B429" s="31"/>
      <c r="C429" s="181" t="s">
        <v>81</v>
      </c>
      <c r="D429" s="182">
        <f>A425</f>
        <v>1000</v>
      </c>
      <c r="E429" s="439">
        <v>0.0229</v>
      </c>
      <c r="F429" s="373">
        <f>D429*E429</f>
        <v>22.9</v>
      </c>
      <c r="G429" s="168"/>
      <c r="H429" s="185" t="s">
        <v>81</v>
      </c>
      <c r="I429" s="182">
        <f aca="true" t="shared" si="20" ref="I429:K430">D429</f>
        <v>1000</v>
      </c>
      <c r="J429" s="445">
        <f t="shared" si="20"/>
        <v>0.0229</v>
      </c>
      <c r="K429" s="239">
        <f t="shared" si="20"/>
        <v>22.9</v>
      </c>
      <c r="L429" s="180"/>
      <c r="M429" s="720"/>
      <c r="N429" s="721"/>
    </row>
    <row r="430" spans="1:14" ht="26.25" thickBot="1">
      <c r="A430" s="86"/>
      <c r="B430" s="31"/>
      <c r="C430" s="197" t="s">
        <v>82</v>
      </c>
      <c r="D430" s="182">
        <f>A425</f>
        <v>1000</v>
      </c>
      <c r="E430" s="440">
        <v>0.047</v>
      </c>
      <c r="F430" s="351">
        <f>D430*E430</f>
        <v>47</v>
      </c>
      <c r="G430" s="168"/>
      <c r="H430" s="199" t="s">
        <v>82</v>
      </c>
      <c r="I430" s="446">
        <f t="shared" si="20"/>
        <v>1000</v>
      </c>
      <c r="J430" s="447">
        <f t="shared" si="20"/>
        <v>0.047</v>
      </c>
      <c r="K430" s="243">
        <f t="shared" si="20"/>
        <v>47</v>
      </c>
      <c r="L430" s="180"/>
      <c r="M430" s="724"/>
      <c r="N430" s="725"/>
    </row>
    <row r="431" spans="1:14" ht="13.5" thickBot="1">
      <c r="A431" s="86"/>
      <c r="B431" s="31"/>
      <c r="C431" s="711"/>
      <c r="D431" s="712"/>
      <c r="E431" s="712"/>
      <c r="F431" s="713"/>
      <c r="G431" s="168"/>
      <c r="H431" s="712"/>
      <c r="I431" s="712"/>
      <c r="J431" s="712"/>
      <c r="K431" s="713"/>
      <c r="L431" s="31"/>
      <c r="M431" s="86"/>
      <c r="N431" s="203"/>
    </row>
    <row r="432" spans="1:14" ht="13.5" thickBot="1">
      <c r="A432" s="94"/>
      <c r="B432" s="149"/>
      <c r="C432" s="204" t="s">
        <v>83</v>
      </c>
      <c r="D432" s="205"/>
      <c r="E432" s="205"/>
      <c r="F432" s="190">
        <f>SUM(F429:F430,F428)</f>
        <v>69.9</v>
      </c>
      <c r="G432" s="207"/>
      <c r="H432" s="728" t="s">
        <v>84</v>
      </c>
      <c r="I432" s="728"/>
      <c r="J432" s="728"/>
      <c r="K432" s="190" t="e">
        <f>SUM(K428:K430)</f>
        <v>#VALUE!</v>
      </c>
      <c r="L432" s="208"/>
      <c r="M432" s="191" t="e">
        <f>K432-F432</f>
        <v>#VALUE!</v>
      </c>
      <c r="N432" s="448" t="e">
        <f>M432/F432</f>
        <v>#VALUE!</v>
      </c>
    </row>
    <row r="433" ht="12.75">
      <c r="K433" s="162"/>
    </row>
    <row r="434" ht="13.5" thickBot="1">
      <c r="K434" s="162"/>
    </row>
    <row r="435" spans="1:14" ht="60.75" thickBot="1">
      <c r="A435" s="169" t="s">
        <v>75</v>
      </c>
      <c r="B435" s="170"/>
      <c r="C435" s="705"/>
      <c r="D435" s="699" t="s">
        <v>11</v>
      </c>
      <c r="E435" s="701" t="s">
        <v>76</v>
      </c>
      <c r="F435" s="703" t="s">
        <v>197</v>
      </c>
      <c r="G435" s="167"/>
      <c r="H435" s="171"/>
      <c r="I435" s="699" t="s">
        <v>11</v>
      </c>
      <c r="J435" s="701" t="s">
        <v>76</v>
      </c>
      <c r="K435" s="703" t="s">
        <v>197</v>
      </c>
      <c r="L435" s="170"/>
      <c r="M435" s="716" t="s">
        <v>196</v>
      </c>
      <c r="N435" s="718" t="s">
        <v>77</v>
      </c>
    </row>
    <row r="436" spans="1:14" ht="13.5" thickBot="1">
      <c r="A436" s="172">
        <v>2000</v>
      </c>
      <c r="B436" s="31"/>
      <c r="C436" s="706"/>
      <c r="D436" s="700"/>
      <c r="E436" s="702"/>
      <c r="F436" s="704"/>
      <c r="G436" s="168"/>
      <c r="H436" s="31"/>
      <c r="I436" s="714"/>
      <c r="J436" s="715"/>
      <c r="K436" s="704"/>
      <c r="L436" s="32"/>
      <c r="M436" s="717"/>
      <c r="N436" s="719"/>
    </row>
    <row r="437" spans="1:14" ht="25.5">
      <c r="A437" s="173"/>
      <c r="B437" s="31"/>
      <c r="C437" s="174" t="s">
        <v>21</v>
      </c>
      <c r="D437" s="175" t="s">
        <v>78</v>
      </c>
      <c r="E437" s="176" t="s">
        <v>78</v>
      </c>
      <c r="F437" s="235">
        <f>F426</f>
        <v>0</v>
      </c>
      <c r="G437" s="168"/>
      <c r="H437" s="178" t="s">
        <v>21</v>
      </c>
      <c r="I437" s="179" t="str">
        <f>D437</f>
        <v>N/A</v>
      </c>
      <c r="J437" s="179" t="s">
        <v>78</v>
      </c>
      <c r="K437" s="506">
        <f>K426</f>
      </c>
      <c r="L437" s="180"/>
      <c r="M437" s="720"/>
      <c r="N437" s="721"/>
    </row>
    <row r="438" spans="1:14" ht="26.25" thickBot="1">
      <c r="A438" s="86"/>
      <c r="B438" s="31"/>
      <c r="C438" s="181" t="s">
        <v>79</v>
      </c>
      <c r="D438" s="182">
        <f>A436</f>
        <v>2000</v>
      </c>
      <c r="E438" s="183">
        <f>E427</f>
        <v>0</v>
      </c>
      <c r="F438" s="351">
        <f>D438*E438</f>
        <v>0</v>
      </c>
      <c r="G438" s="168"/>
      <c r="H438" s="185" t="s">
        <v>79</v>
      </c>
      <c r="I438" s="186">
        <f>D438</f>
        <v>2000</v>
      </c>
      <c r="J438" s="508">
        <f>J427</f>
      </c>
      <c r="K438" s="187" t="e">
        <f>I438*J438</f>
        <v>#VALUE!</v>
      </c>
      <c r="L438" s="180"/>
      <c r="M438" s="722"/>
      <c r="N438" s="723"/>
    </row>
    <row r="439" spans="1:14" ht="13.5" thickBot="1">
      <c r="A439" s="86"/>
      <c r="B439" s="31"/>
      <c r="C439" s="726"/>
      <c r="D439" s="727"/>
      <c r="E439" s="188" t="s">
        <v>51</v>
      </c>
      <c r="F439" s="372">
        <f>SUM(F437:F438)</f>
        <v>0</v>
      </c>
      <c r="G439" s="168"/>
      <c r="H439" s="709"/>
      <c r="I439" s="710"/>
      <c r="J439" s="188" t="s">
        <v>80</v>
      </c>
      <c r="K439" s="190" t="e">
        <f>SUM(K437:K438)</f>
        <v>#VALUE!</v>
      </c>
      <c r="L439" s="180"/>
      <c r="M439" s="191" t="e">
        <f>K439-F439</f>
        <v>#VALUE!</v>
      </c>
      <c r="N439" s="192" t="e">
        <f>M439/F439</f>
        <v>#VALUE!</v>
      </c>
    </row>
    <row r="440" spans="1:14" ht="25.5">
      <c r="A440" s="86"/>
      <c r="B440" s="31"/>
      <c r="C440" s="181" t="s">
        <v>81</v>
      </c>
      <c r="D440" s="182">
        <f>A436</f>
        <v>2000</v>
      </c>
      <c r="E440" s="428">
        <v>0.0229</v>
      </c>
      <c r="F440" s="373">
        <f>D440*E440</f>
        <v>45.8</v>
      </c>
      <c r="G440" s="168"/>
      <c r="H440" s="185" t="s">
        <v>81</v>
      </c>
      <c r="I440" s="236">
        <f>D440</f>
        <v>2000</v>
      </c>
      <c r="J440" s="430">
        <f>E440</f>
        <v>0.0229</v>
      </c>
      <c r="K440" s="196">
        <f>F440</f>
        <v>45.8</v>
      </c>
      <c r="L440" s="180"/>
      <c r="M440" s="720"/>
      <c r="N440" s="721"/>
    </row>
    <row r="441" spans="1:14" ht="25.5">
      <c r="A441" s="86"/>
      <c r="B441" s="31"/>
      <c r="C441" s="197" t="s">
        <v>82</v>
      </c>
      <c r="D441" s="182">
        <v>750</v>
      </c>
      <c r="E441" s="429">
        <v>0.047</v>
      </c>
      <c r="F441" s="351">
        <f>D441*E441</f>
        <v>35.25</v>
      </c>
      <c r="G441" s="168"/>
      <c r="H441" s="197" t="s">
        <v>82</v>
      </c>
      <c r="I441" s="236">
        <f>D441</f>
        <v>750</v>
      </c>
      <c r="J441" s="429">
        <v>0.047</v>
      </c>
      <c r="K441" s="351">
        <f>I441*J441</f>
        <v>35.25</v>
      </c>
      <c r="L441" s="180"/>
      <c r="M441" s="724"/>
      <c r="N441" s="725"/>
    </row>
    <row r="442" spans="1:14" ht="26.25" thickBot="1">
      <c r="A442" s="86"/>
      <c r="B442" s="31"/>
      <c r="C442" s="197" t="s">
        <v>82</v>
      </c>
      <c r="D442" s="236">
        <f>A436-D441</f>
        <v>1250</v>
      </c>
      <c r="E442" s="429">
        <v>0.055</v>
      </c>
      <c r="F442" s="351">
        <f>D442*E442</f>
        <v>68.75</v>
      </c>
      <c r="G442" s="168"/>
      <c r="H442" s="352" t="s">
        <v>82</v>
      </c>
      <c r="I442" s="241">
        <f>D442</f>
        <v>1250</v>
      </c>
      <c r="J442" s="432">
        <v>0.055</v>
      </c>
      <c r="K442" s="354">
        <f>I442*J442</f>
        <v>68.75</v>
      </c>
      <c r="L442" s="180"/>
      <c r="M442" s="724"/>
      <c r="N442" s="725"/>
    </row>
    <row r="443" spans="1:14" ht="13.5" thickBot="1">
      <c r="A443" s="86"/>
      <c r="B443" s="31"/>
      <c r="C443" s="711"/>
      <c r="D443" s="712"/>
      <c r="E443" s="712"/>
      <c r="F443" s="713"/>
      <c r="G443" s="168"/>
      <c r="H443" s="712"/>
      <c r="I443" s="712"/>
      <c r="J443" s="712"/>
      <c r="K443" s="713"/>
      <c r="L443" s="31"/>
      <c r="M443" s="86"/>
      <c r="N443" s="203"/>
    </row>
    <row r="444" spans="1:14" ht="13.5" thickBot="1">
      <c r="A444" s="94"/>
      <c r="B444" s="149"/>
      <c r="C444" s="204" t="s">
        <v>83</v>
      </c>
      <c r="D444" s="205"/>
      <c r="E444" s="205"/>
      <c r="F444" s="190">
        <f>SUM(F440:F442,F439)</f>
        <v>149.8</v>
      </c>
      <c r="G444" s="207"/>
      <c r="H444" s="728" t="s">
        <v>84</v>
      </c>
      <c r="I444" s="728"/>
      <c r="J444" s="728"/>
      <c r="K444" s="190" t="e">
        <f>SUM(K439:K442)</f>
        <v>#VALUE!</v>
      </c>
      <c r="L444" s="208"/>
      <c r="M444" s="191" t="e">
        <f>K444-F444</f>
        <v>#VALUE!</v>
      </c>
      <c r="N444" s="192" t="e">
        <f>M444/F444</f>
        <v>#VALUE!</v>
      </c>
    </row>
    <row r="445" ht="12.75">
      <c r="K445" s="162"/>
    </row>
    <row r="446" ht="13.5" thickBot="1">
      <c r="K446" s="162"/>
    </row>
    <row r="447" spans="1:14" ht="60.75" thickBot="1">
      <c r="A447" s="169" t="s">
        <v>75</v>
      </c>
      <c r="B447" s="170"/>
      <c r="C447" s="705"/>
      <c r="D447" s="699" t="s">
        <v>11</v>
      </c>
      <c r="E447" s="701" t="s">
        <v>76</v>
      </c>
      <c r="F447" s="703" t="s">
        <v>197</v>
      </c>
      <c r="G447" s="167"/>
      <c r="H447" s="171"/>
      <c r="I447" s="699" t="s">
        <v>11</v>
      </c>
      <c r="J447" s="701" t="s">
        <v>76</v>
      </c>
      <c r="K447" s="703" t="s">
        <v>197</v>
      </c>
      <c r="L447" s="170"/>
      <c r="M447" s="716" t="s">
        <v>196</v>
      </c>
      <c r="N447" s="718" t="s">
        <v>77</v>
      </c>
    </row>
    <row r="448" spans="1:14" ht="13.5" thickBot="1">
      <c r="A448" s="172">
        <v>5000</v>
      </c>
      <c r="B448" s="31"/>
      <c r="C448" s="706"/>
      <c r="D448" s="700"/>
      <c r="E448" s="702"/>
      <c r="F448" s="704"/>
      <c r="G448" s="168"/>
      <c r="H448" s="31"/>
      <c r="I448" s="714"/>
      <c r="J448" s="715"/>
      <c r="K448" s="704"/>
      <c r="L448" s="32"/>
      <c r="M448" s="717"/>
      <c r="N448" s="719"/>
    </row>
    <row r="449" spans="1:14" ht="25.5">
      <c r="A449" s="173"/>
      <c r="B449" s="31"/>
      <c r="C449" s="174" t="s">
        <v>21</v>
      </c>
      <c r="D449" s="175" t="s">
        <v>78</v>
      </c>
      <c r="E449" s="176" t="s">
        <v>78</v>
      </c>
      <c r="F449" s="235">
        <f>F437</f>
        <v>0</v>
      </c>
      <c r="G449" s="168"/>
      <c r="H449" s="178" t="s">
        <v>21</v>
      </c>
      <c r="I449" s="179" t="str">
        <f>D449</f>
        <v>N/A</v>
      </c>
      <c r="J449" s="179" t="s">
        <v>78</v>
      </c>
      <c r="K449" s="506">
        <f>K437</f>
      </c>
      <c r="L449" s="180"/>
      <c r="M449" s="720"/>
      <c r="N449" s="721"/>
    </row>
    <row r="450" spans="1:14" ht="26.25" thickBot="1">
      <c r="A450" s="86"/>
      <c r="B450" s="31"/>
      <c r="C450" s="181" t="s">
        <v>79</v>
      </c>
      <c r="D450" s="182">
        <f>A448</f>
        <v>5000</v>
      </c>
      <c r="E450" s="183">
        <f>E438</f>
        <v>0</v>
      </c>
      <c r="F450" s="351">
        <f>D450*E450</f>
        <v>0</v>
      </c>
      <c r="G450" s="168"/>
      <c r="H450" s="185" t="s">
        <v>79</v>
      </c>
      <c r="I450" s="186">
        <f>D450</f>
        <v>5000</v>
      </c>
      <c r="J450" s="508">
        <f>J438</f>
      </c>
      <c r="K450" s="187" t="e">
        <f>I450*J450</f>
        <v>#VALUE!</v>
      </c>
      <c r="L450" s="180"/>
      <c r="M450" s="722"/>
      <c r="N450" s="723"/>
    </row>
    <row r="451" spans="1:14" ht="13.5" thickBot="1">
      <c r="A451" s="86"/>
      <c r="B451" s="31"/>
      <c r="C451" s="726"/>
      <c r="D451" s="727"/>
      <c r="E451" s="188" t="s">
        <v>51</v>
      </c>
      <c r="F451" s="372">
        <f>SUM(F449:F450)</f>
        <v>0</v>
      </c>
      <c r="G451" s="168"/>
      <c r="H451" s="709"/>
      <c r="I451" s="710"/>
      <c r="J451" s="188" t="s">
        <v>80</v>
      </c>
      <c r="K451" s="190" t="e">
        <f>SUM(K449:K450)</f>
        <v>#VALUE!</v>
      </c>
      <c r="L451" s="180"/>
      <c r="M451" s="191" t="e">
        <f>K451-F451</f>
        <v>#VALUE!</v>
      </c>
      <c r="N451" s="192" t="e">
        <f>M451/F451</f>
        <v>#VALUE!</v>
      </c>
    </row>
    <row r="452" spans="1:14" ht="25.5">
      <c r="A452" s="86"/>
      <c r="B452" s="31"/>
      <c r="C452" s="181" t="s">
        <v>81</v>
      </c>
      <c r="D452" s="182">
        <f>A448</f>
        <v>5000</v>
      </c>
      <c r="E452" s="428">
        <v>0.0229</v>
      </c>
      <c r="F452" s="373">
        <f>D452*E452</f>
        <v>114.5</v>
      </c>
      <c r="G452" s="168"/>
      <c r="H452" s="185" t="s">
        <v>81</v>
      </c>
      <c r="I452" s="236">
        <f>D452</f>
        <v>5000</v>
      </c>
      <c r="J452" s="430">
        <f>E452</f>
        <v>0.0229</v>
      </c>
      <c r="K452" s="196">
        <f>F452</f>
        <v>114.5</v>
      </c>
      <c r="L452" s="180"/>
      <c r="M452" s="720"/>
      <c r="N452" s="721"/>
    </row>
    <row r="453" spans="1:14" ht="25.5">
      <c r="A453" s="86"/>
      <c r="B453" s="31"/>
      <c r="C453" s="197" t="s">
        <v>82</v>
      </c>
      <c r="D453" s="182">
        <v>750</v>
      </c>
      <c r="E453" s="429">
        <v>0.047</v>
      </c>
      <c r="F453" s="351">
        <f>D453*E453</f>
        <v>35.25</v>
      </c>
      <c r="G453" s="168"/>
      <c r="H453" s="197" t="s">
        <v>82</v>
      </c>
      <c r="I453" s="236">
        <f>D453</f>
        <v>750</v>
      </c>
      <c r="J453" s="429">
        <v>0.047</v>
      </c>
      <c r="K453" s="351">
        <f>I453*J453</f>
        <v>35.25</v>
      </c>
      <c r="L453" s="180"/>
      <c r="M453" s="724"/>
      <c r="N453" s="725"/>
    </row>
    <row r="454" spans="1:14" ht="26.25" thickBot="1">
      <c r="A454" s="86"/>
      <c r="B454" s="31"/>
      <c r="C454" s="197" t="s">
        <v>82</v>
      </c>
      <c r="D454" s="236">
        <f>A448-D453</f>
        <v>4250</v>
      </c>
      <c r="E454" s="429">
        <v>0.055</v>
      </c>
      <c r="F454" s="351">
        <f>D454*E454</f>
        <v>233.75</v>
      </c>
      <c r="G454" s="168"/>
      <c r="H454" s="352" t="s">
        <v>82</v>
      </c>
      <c r="I454" s="241">
        <f>D454</f>
        <v>4250</v>
      </c>
      <c r="J454" s="432">
        <v>0.055</v>
      </c>
      <c r="K454" s="354">
        <f>I454*J454</f>
        <v>233.75</v>
      </c>
      <c r="L454" s="180"/>
      <c r="M454" s="724"/>
      <c r="N454" s="725"/>
    </row>
    <row r="455" spans="1:14" ht="13.5" thickBot="1">
      <c r="A455" s="86"/>
      <c r="B455" s="31"/>
      <c r="C455" s="711"/>
      <c r="D455" s="712"/>
      <c r="E455" s="712"/>
      <c r="F455" s="713"/>
      <c r="G455" s="168"/>
      <c r="H455" s="712"/>
      <c r="I455" s="712"/>
      <c r="J455" s="712"/>
      <c r="K455" s="713"/>
      <c r="L455" s="31"/>
      <c r="M455" s="86"/>
      <c r="N455" s="203"/>
    </row>
    <row r="456" spans="1:14" ht="13.5" thickBot="1">
      <c r="A456" s="94"/>
      <c r="B456" s="149"/>
      <c r="C456" s="204" t="s">
        <v>83</v>
      </c>
      <c r="D456" s="205"/>
      <c r="E456" s="205"/>
      <c r="F456" s="190">
        <f>SUM(F452:F454,F451)</f>
        <v>383.5</v>
      </c>
      <c r="G456" s="207"/>
      <c r="H456" s="728" t="s">
        <v>84</v>
      </c>
      <c r="I456" s="728"/>
      <c r="J456" s="728"/>
      <c r="K456" s="190" t="e">
        <f>SUM(K451:K454)</f>
        <v>#VALUE!</v>
      </c>
      <c r="L456" s="208"/>
      <c r="M456" s="191" t="e">
        <f>K456-F456</f>
        <v>#VALUE!</v>
      </c>
      <c r="N456" s="192" t="e">
        <f>M456/F456</f>
        <v>#VALUE!</v>
      </c>
    </row>
    <row r="457" spans="6:14" ht="12.75">
      <c r="F457" s="180"/>
      <c r="K457" s="180"/>
      <c r="L457" s="217"/>
      <c r="M457" s="217"/>
      <c r="N457" s="230"/>
    </row>
    <row r="458" spans="6:14" ht="13.5" thickBot="1">
      <c r="F458" s="180"/>
      <c r="K458" s="180"/>
      <c r="L458" s="217"/>
      <c r="M458" s="217"/>
      <c r="N458" s="230"/>
    </row>
    <row r="459" spans="1:14" ht="60.75" thickBot="1">
      <c r="A459" s="169" t="s">
        <v>75</v>
      </c>
      <c r="B459" s="170"/>
      <c r="C459" s="705"/>
      <c r="D459" s="699" t="s">
        <v>11</v>
      </c>
      <c r="E459" s="701" t="s">
        <v>76</v>
      </c>
      <c r="F459" s="703" t="s">
        <v>197</v>
      </c>
      <c r="G459" s="167"/>
      <c r="H459" s="171"/>
      <c r="I459" s="699" t="s">
        <v>11</v>
      </c>
      <c r="J459" s="701" t="s">
        <v>76</v>
      </c>
      <c r="K459" s="703" t="s">
        <v>197</v>
      </c>
      <c r="L459" s="170"/>
      <c r="M459" s="716" t="s">
        <v>196</v>
      </c>
      <c r="N459" s="718" t="s">
        <v>77</v>
      </c>
    </row>
    <row r="460" spans="1:14" ht="13.5" thickBot="1">
      <c r="A460" s="172">
        <v>10000</v>
      </c>
      <c r="B460" s="31"/>
      <c r="C460" s="706"/>
      <c r="D460" s="700"/>
      <c r="E460" s="702"/>
      <c r="F460" s="704"/>
      <c r="G460" s="168"/>
      <c r="H460" s="31"/>
      <c r="I460" s="714"/>
      <c r="J460" s="715"/>
      <c r="K460" s="704"/>
      <c r="L460" s="32"/>
      <c r="M460" s="717"/>
      <c r="N460" s="719"/>
    </row>
    <row r="461" spans="1:14" ht="25.5">
      <c r="A461" s="173"/>
      <c r="B461" s="31"/>
      <c r="C461" s="174" t="s">
        <v>21</v>
      </c>
      <c r="D461" s="175" t="s">
        <v>78</v>
      </c>
      <c r="E461" s="176" t="s">
        <v>78</v>
      </c>
      <c r="F461" s="235">
        <f>F449</f>
        <v>0</v>
      </c>
      <c r="G461" s="168"/>
      <c r="H461" s="178" t="s">
        <v>21</v>
      </c>
      <c r="I461" s="179" t="str">
        <f>D461</f>
        <v>N/A</v>
      </c>
      <c r="J461" s="179" t="s">
        <v>78</v>
      </c>
      <c r="K461" s="506">
        <f>K449</f>
      </c>
      <c r="L461" s="180"/>
      <c r="M461" s="720"/>
      <c r="N461" s="721"/>
    </row>
    <row r="462" spans="1:14" ht="26.25" thickBot="1">
      <c r="A462" s="86"/>
      <c r="B462" s="31"/>
      <c r="C462" s="181" t="s">
        <v>79</v>
      </c>
      <c r="D462" s="182">
        <f>A460</f>
        <v>10000</v>
      </c>
      <c r="E462" s="183">
        <f>E450</f>
        <v>0</v>
      </c>
      <c r="F462" s="351">
        <f>D462*E462</f>
        <v>0</v>
      </c>
      <c r="G462" s="168"/>
      <c r="H462" s="185" t="s">
        <v>79</v>
      </c>
      <c r="I462" s="186">
        <f>D462</f>
        <v>10000</v>
      </c>
      <c r="J462" s="508">
        <f>J450</f>
      </c>
      <c r="K462" s="187" t="e">
        <f>I462*J462</f>
        <v>#VALUE!</v>
      </c>
      <c r="L462" s="180"/>
      <c r="M462" s="722"/>
      <c r="N462" s="723"/>
    </row>
    <row r="463" spans="1:14" ht="13.5" thickBot="1">
      <c r="A463" s="86"/>
      <c r="B463" s="31"/>
      <c r="C463" s="726"/>
      <c r="D463" s="727"/>
      <c r="E463" s="188" t="s">
        <v>51</v>
      </c>
      <c r="F463" s="372">
        <f>SUM(F461:F462)</f>
        <v>0</v>
      </c>
      <c r="G463" s="168"/>
      <c r="H463" s="709"/>
      <c r="I463" s="710"/>
      <c r="J463" s="188" t="s">
        <v>80</v>
      </c>
      <c r="K463" s="190" t="e">
        <f>SUM(K461:K462)</f>
        <v>#VALUE!</v>
      </c>
      <c r="L463" s="180"/>
      <c r="M463" s="191" t="e">
        <f>K463-F463</f>
        <v>#VALUE!</v>
      </c>
      <c r="N463" s="192" t="e">
        <f>M463/F463</f>
        <v>#VALUE!</v>
      </c>
    </row>
    <row r="464" spans="1:14" ht="25.5">
      <c r="A464" s="86"/>
      <c r="B464" s="31"/>
      <c r="C464" s="181" t="s">
        <v>81</v>
      </c>
      <c r="D464" s="182">
        <f>A460</f>
        <v>10000</v>
      </c>
      <c r="E464" s="428">
        <v>0.0229</v>
      </c>
      <c r="F464" s="373">
        <f>D464*E464</f>
        <v>229</v>
      </c>
      <c r="G464" s="168"/>
      <c r="H464" s="185" t="s">
        <v>81</v>
      </c>
      <c r="I464" s="236">
        <f>D464</f>
        <v>10000</v>
      </c>
      <c r="J464" s="430">
        <f>E464</f>
        <v>0.0229</v>
      </c>
      <c r="K464" s="196">
        <f>F464</f>
        <v>229</v>
      </c>
      <c r="L464" s="180"/>
      <c r="M464" s="720"/>
      <c r="N464" s="721"/>
    </row>
    <row r="465" spans="1:14" ht="25.5">
      <c r="A465" s="86"/>
      <c r="B465" s="31"/>
      <c r="C465" s="197" t="s">
        <v>82</v>
      </c>
      <c r="D465" s="182">
        <v>750</v>
      </c>
      <c r="E465" s="429">
        <v>0.047</v>
      </c>
      <c r="F465" s="351">
        <f>D465*E465</f>
        <v>35.25</v>
      </c>
      <c r="G465" s="168"/>
      <c r="H465" s="197" t="s">
        <v>82</v>
      </c>
      <c r="I465" s="236">
        <f>D465</f>
        <v>750</v>
      </c>
      <c r="J465" s="429">
        <v>0.047</v>
      </c>
      <c r="K465" s="351">
        <f>I465*J465</f>
        <v>35.25</v>
      </c>
      <c r="L465" s="180"/>
      <c r="M465" s="724"/>
      <c r="N465" s="725"/>
    </row>
    <row r="466" spans="1:14" ht="26.25" thickBot="1">
      <c r="A466" s="86"/>
      <c r="B466" s="31"/>
      <c r="C466" s="197" t="s">
        <v>82</v>
      </c>
      <c r="D466" s="236">
        <f>A460-D465</f>
        <v>9250</v>
      </c>
      <c r="E466" s="429">
        <v>0.055</v>
      </c>
      <c r="F466" s="351">
        <f>D466*E466</f>
        <v>508.75</v>
      </c>
      <c r="G466" s="168"/>
      <c r="H466" s="352" t="s">
        <v>82</v>
      </c>
      <c r="I466" s="241">
        <f>D466</f>
        <v>9250</v>
      </c>
      <c r="J466" s="432">
        <v>0.055</v>
      </c>
      <c r="K466" s="354">
        <f>I466*J466</f>
        <v>508.75</v>
      </c>
      <c r="L466" s="180"/>
      <c r="M466" s="724"/>
      <c r="N466" s="725"/>
    </row>
    <row r="467" spans="1:14" ht="13.5" thickBot="1">
      <c r="A467" s="86"/>
      <c r="B467" s="31"/>
      <c r="C467" s="711"/>
      <c r="D467" s="712"/>
      <c r="E467" s="712"/>
      <c r="F467" s="713"/>
      <c r="G467" s="168"/>
      <c r="H467" s="712"/>
      <c r="I467" s="712"/>
      <c r="J467" s="712"/>
      <c r="K467" s="713"/>
      <c r="L467" s="31"/>
      <c r="M467" s="86"/>
      <c r="N467" s="203"/>
    </row>
    <row r="468" spans="1:14" ht="13.5" thickBot="1">
      <c r="A468" s="94"/>
      <c r="B468" s="149"/>
      <c r="C468" s="204" t="s">
        <v>83</v>
      </c>
      <c r="D468" s="205"/>
      <c r="E468" s="205"/>
      <c r="F468" s="190">
        <f>SUM(F464:F466,F463)</f>
        <v>773</v>
      </c>
      <c r="G468" s="207"/>
      <c r="H468" s="728" t="s">
        <v>84</v>
      </c>
      <c r="I468" s="728"/>
      <c r="J468" s="728"/>
      <c r="K468" s="190" t="e">
        <f>SUM(K463:K466)</f>
        <v>#VALUE!</v>
      </c>
      <c r="L468" s="208"/>
      <c r="M468" s="191" t="e">
        <f>K468-F468</f>
        <v>#VALUE!</v>
      </c>
      <c r="N468" s="192" t="e">
        <f>M468/F468</f>
        <v>#VALUE!</v>
      </c>
    </row>
    <row r="469" spans="6:14" ht="12.75">
      <c r="F469" s="180"/>
      <c r="K469" s="180"/>
      <c r="L469" s="217"/>
      <c r="M469" s="217"/>
      <c r="N469" s="230"/>
    </row>
    <row r="470" spans="6:14" ht="13.5" thickBot="1">
      <c r="F470" s="180"/>
      <c r="K470" s="180"/>
      <c r="L470" s="217"/>
      <c r="M470" s="217"/>
      <c r="N470" s="230"/>
    </row>
    <row r="471" spans="1:14" ht="60.75" thickBot="1">
      <c r="A471" s="169" t="s">
        <v>75</v>
      </c>
      <c r="B471" s="170"/>
      <c r="C471" s="705"/>
      <c r="D471" s="699" t="s">
        <v>11</v>
      </c>
      <c r="E471" s="701" t="s">
        <v>76</v>
      </c>
      <c r="F471" s="703" t="s">
        <v>197</v>
      </c>
      <c r="G471" s="167"/>
      <c r="H471" s="171"/>
      <c r="I471" s="699" t="s">
        <v>11</v>
      </c>
      <c r="J471" s="701" t="s">
        <v>76</v>
      </c>
      <c r="K471" s="703" t="s">
        <v>197</v>
      </c>
      <c r="L471" s="170"/>
      <c r="M471" s="716" t="s">
        <v>196</v>
      </c>
      <c r="N471" s="718" t="s">
        <v>77</v>
      </c>
    </row>
    <row r="472" spans="1:14" ht="13.5" thickBot="1">
      <c r="A472" s="172">
        <v>15000</v>
      </c>
      <c r="B472" s="31"/>
      <c r="C472" s="706"/>
      <c r="D472" s="700"/>
      <c r="E472" s="702"/>
      <c r="F472" s="704"/>
      <c r="G472" s="168"/>
      <c r="H472" s="31"/>
      <c r="I472" s="714"/>
      <c r="J472" s="715"/>
      <c r="K472" s="704"/>
      <c r="L472" s="32"/>
      <c r="M472" s="717"/>
      <c r="N472" s="719"/>
    </row>
    <row r="473" spans="1:14" ht="25.5">
      <c r="A473" s="173"/>
      <c r="B473" s="31"/>
      <c r="C473" s="174" t="s">
        <v>21</v>
      </c>
      <c r="D473" s="175" t="s">
        <v>78</v>
      </c>
      <c r="E473" s="176" t="s">
        <v>78</v>
      </c>
      <c r="F473" s="177">
        <f>F461</f>
        <v>0</v>
      </c>
      <c r="G473" s="168"/>
      <c r="H473" s="178" t="s">
        <v>21</v>
      </c>
      <c r="I473" s="179" t="str">
        <f>D473</f>
        <v>N/A</v>
      </c>
      <c r="J473" s="179" t="s">
        <v>78</v>
      </c>
      <c r="K473" s="506">
        <f>K461</f>
      </c>
      <c r="L473" s="180"/>
      <c r="M473" s="720"/>
      <c r="N473" s="721"/>
    </row>
    <row r="474" spans="1:14" ht="26.25" thickBot="1">
      <c r="A474" s="86"/>
      <c r="B474" s="31"/>
      <c r="C474" s="181" t="s">
        <v>79</v>
      </c>
      <c r="D474" s="182">
        <f>A472</f>
        <v>15000</v>
      </c>
      <c r="E474" s="183">
        <f>E462</f>
        <v>0</v>
      </c>
      <c r="F474" s="184">
        <f>D474*E474</f>
        <v>0</v>
      </c>
      <c r="G474" s="168"/>
      <c r="H474" s="185" t="s">
        <v>79</v>
      </c>
      <c r="I474" s="186">
        <f>D474</f>
        <v>15000</v>
      </c>
      <c r="J474" s="508">
        <f>J462</f>
      </c>
      <c r="K474" s="187" t="e">
        <f>I474*J474</f>
        <v>#VALUE!</v>
      </c>
      <c r="L474" s="180"/>
      <c r="M474" s="722"/>
      <c r="N474" s="723"/>
    </row>
    <row r="475" spans="1:14" ht="13.5" thickBot="1">
      <c r="A475" s="86"/>
      <c r="B475" s="31"/>
      <c r="C475" s="726"/>
      <c r="D475" s="727"/>
      <c r="E475" s="188" t="s">
        <v>51</v>
      </c>
      <c r="F475" s="189">
        <f>SUM(F473:F474)</f>
        <v>0</v>
      </c>
      <c r="G475" s="168"/>
      <c r="H475" s="709"/>
      <c r="I475" s="710"/>
      <c r="J475" s="188" t="s">
        <v>80</v>
      </c>
      <c r="K475" s="190" t="e">
        <f>SUM(K473:K474)</f>
        <v>#VALUE!</v>
      </c>
      <c r="L475" s="180"/>
      <c r="M475" s="191" t="e">
        <f>K475-F475</f>
        <v>#VALUE!</v>
      </c>
      <c r="N475" s="192" t="e">
        <f>M475/F475</f>
        <v>#VALUE!</v>
      </c>
    </row>
    <row r="476" spans="1:14" ht="25.5">
      <c r="A476" s="86"/>
      <c r="B476" s="31"/>
      <c r="C476" s="181" t="s">
        <v>81</v>
      </c>
      <c r="D476" s="182">
        <f>A472</f>
        <v>15000</v>
      </c>
      <c r="E476" s="428">
        <v>0.0229</v>
      </c>
      <c r="F476" s="194">
        <f>D476*E476</f>
        <v>343.5</v>
      </c>
      <c r="G476" s="168"/>
      <c r="H476" s="185" t="s">
        <v>81</v>
      </c>
      <c r="I476" s="236">
        <f>D476</f>
        <v>15000</v>
      </c>
      <c r="J476" s="433">
        <f>E476</f>
        <v>0.0229</v>
      </c>
      <c r="K476" s="196">
        <f>F476</f>
        <v>343.5</v>
      </c>
      <c r="L476" s="180"/>
      <c r="M476" s="720"/>
      <c r="N476" s="721"/>
    </row>
    <row r="477" spans="1:14" ht="25.5">
      <c r="A477" s="86"/>
      <c r="B477" s="31"/>
      <c r="C477" s="197" t="s">
        <v>82</v>
      </c>
      <c r="D477" s="182">
        <v>750</v>
      </c>
      <c r="E477" s="429">
        <v>0.047</v>
      </c>
      <c r="F477" s="184">
        <f>D477*E477</f>
        <v>35.25</v>
      </c>
      <c r="G477" s="168"/>
      <c r="H477" s="197" t="s">
        <v>82</v>
      </c>
      <c r="I477" s="236">
        <f>D477</f>
        <v>750</v>
      </c>
      <c r="J477" s="434">
        <v>0.047</v>
      </c>
      <c r="K477" s="351">
        <f>I477*J477</f>
        <v>35.25</v>
      </c>
      <c r="L477" s="180"/>
      <c r="M477" s="724"/>
      <c r="N477" s="725"/>
    </row>
    <row r="478" spans="1:14" ht="26.25" thickBot="1">
      <c r="A478" s="86"/>
      <c r="B478" s="31"/>
      <c r="C478" s="197" t="s">
        <v>82</v>
      </c>
      <c r="D478" s="236">
        <f>A472-D477</f>
        <v>14250</v>
      </c>
      <c r="E478" s="429">
        <v>0.055</v>
      </c>
      <c r="F478" s="184">
        <f>D478*E478</f>
        <v>783.75</v>
      </c>
      <c r="G478" s="168"/>
      <c r="H478" s="352" t="s">
        <v>82</v>
      </c>
      <c r="I478" s="241">
        <f>D478</f>
        <v>14250</v>
      </c>
      <c r="J478" s="435">
        <v>0.055</v>
      </c>
      <c r="K478" s="354">
        <f>I478*J478</f>
        <v>783.75</v>
      </c>
      <c r="L478" s="180"/>
      <c r="M478" s="724"/>
      <c r="N478" s="725"/>
    </row>
    <row r="479" spans="1:14" ht="13.5" thickBot="1">
      <c r="A479" s="86"/>
      <c r="B479" s="31"/>
      <c r="C479" s="711"/>
      <c r="D479" s="712"/>
      <c r="E479" s="712"/>
      <c r="F479" s="712"/>
      <c r="G479" s="168"/>
      <c r="H479" s="712"/>
      <c r="I479" s="712"/>
      <c r="J479" s="712"/>
      <c r="K479" s="713"/>
      <c r="L479" s="31"/>
      <c r="M479" s="86"/>
      <c r="N479" s="203"/>
    </row>
    <row r="480" spans="1:14" ht="13.5" thickBot="1">
      <c r="A480" s="94"/>
      <c r="B480" s="149"/>
      <c r="C480" s="204" t="s">
        <v>83</v>
      </c>
      <c r="D480" s="205"/>
      <c r="E480" s="205"/>
      <c r="F480" s="206">
        <f>SUM(F476:F478,F475)</f>
        <v>1162.5</v>
      </c>
      <c r="G480" s="207"/>
      <c r="H480" s="728" t="s">
        <v>84</v>
      </c>
      <c r="I480" s="728"/>
      <c r="J480" s="728"/>
      <c r="K480" s="190" t="e">
        <f>SUM(K475:K478)</f>
        <v>#VALUE!</v>
      </c>
      <c r="L480" s="208"/>
      <c r="M480" s="191" t="e">
        <f>K480-F480</f>
        <v>#VALUE!</v>
      </c>
      <c r="N480" s="192" t="e">
        <f>M480/F480</f>
        <v>#VALUE!</v>
      </c>
    </row>
    <row r="481" spans="6:14" ht="12.75">
      <c r="F481" s="180"/>
      <c r="K481" s="180"/>
      <c r="L481" s="217"/>
      <c r="M481" s="217"/>
      <c r="N481" s="230"/>
    </row>
    <row r="482" spans="1:14" ht="13.5" thickBot="1">
      <c r="A482" s="149"/>
      <c r="B482" s="149"/>
      <c r="C482" s="149"/>
      <c r="D482" s="149"/>
      <c r="E482" s="149"/>
      <c r="F482" s="149"/>
      <c r="G482" s="149"/>
      <c r="H482" s="149"/>
      <c r="I482" s="149"/>
      <c r="J482" s="149"/>
      <c r="K482" s="231"/>
      <c r="L482" s="149"/>
      <c r="M482" s="149"/>
      <c r="N482" s="232"/>
    </row>
    <row r="483" ht="12.75">
      <c r="K483" s="162"/>
    </row>
    <row r="484" spans="1:13" ht="23.25">
      <c r="A484" s="221" t="s">
        <v>245</v>
      </c>
      <c r="B484" s="131"/>
      <c r="F484" s="217"/>
      <c r="J484" s="222"/>
      <c r="K484" s="217"/>
      <c r="L484" s="217"/>
      <c r="M484" s="217"/>
    </row>
    <row r="485" spans="1:13" ht="15.75">
      <c r="A485" s="131"/>
      <c r="B485" s="131"/>
      <c r="D485" s="31"/>
      <c r="F485" s="217"/>
      <c r="J485" s="222"/>
      <c r="K485" s="217"/>
      <c r="L485" s="217"/>
      <c r="M485" s="217"/>
    </row>
    <row r="486" spans="1:14" ht="15">
      <c r="A486" s="141" t="s">
        <v>92</v>
      </c>
      <c r="B486" s="233"/>
      <c r="C486" s="144"/>
      <c r="D486" s="224"/>
      <c r="E486" s="144"/>
      <c r="F486" s="225"/>
      <c r="G486" s="144"/>
      <c r="H486" s="144"/>
      <c r="I486" s="144"/>
      <c r="J486" s="226"/>
      <c r="K486" s="225"/>
      <c r="L486" s="225"/>
      <c r="M486" s="225"/>
      <c r="N486" s="227"/>
    </row>
    <row r="487" spans="1:14" ht="15">
      <c r="A487" s="141" t="s">
        <v>50</v>
      </c>
      <c r="B487" s="233"/>
      <c r="C487" s="144"/>
      <c r="D487" s="224"/>
      <c r="E487" s="144"/>
      <c r="F487" s="225"/>
      <c r="G487" s="144"/>
      <c r="H487" s="144"/>
      <c r="I487" s="144"/>
      <c r="J487" s="226"/>
      <c r="K487" s="225"/>
      <c r="L487" s="225"/>
      <c r="M487" s="225"/>
      <c r="N487" s="227"/>
    </row>
    <row r="488" spans="1:14" ht="15">
      <c r="A488" s="141" t="s">
        <v>158</v>
      </c>
      <c r="B488" s="233"/>
      <c r="C488" s="144"/>
      <c r="D488" s="224"/>
      <c r="E488" s="144"/>
      <c r="F488" s="225"/>
      <c r="G488" s="144"/>
      <c r="H488" s="144"/>
      <c r="I488" s="144"/>
      <c r="J488" s="226"/>
      <c r="K488" s="225"/>
      <c r="L488" s="225"/>
      <c r="M488" s="225"/>
      <c r="N488" s="227"/>
    </row>
    <row r="489" spans="1:14" ht="15">
      <c r="A489" s="141" t="s">
        <v>157</v>
      </c>
      <c r="B489" s="233"/>
      <c r="C489" s="144"/>
      <c r="D489" s="224"/>
      <c r="E489" s="144"/>
      <c r="F489" s="225"/>
      <c r="G489" s="144"/>
      <c r="H489" s="144"/>
      <c r="I489" s="144"/>
      <c r="J489" s="226"/>
      <c r="K489" s="225"/>
      <c r="L489" s="225"/>
      <c r="M489" s="225"/>
      <c r="N489" s="227"/>
    </row>
    <row r="490" spans="1:13" ht="16.5" thickBot="1">
      <c r="A490" s="131"/>
      <c r="B490" s="131"/>
      <c r="D490" s="31"/>
      <c r="F490" s="217"/>
      <c r="J490" s="222"/>
      <c r="K490" s="217"/>
      <c r="L490" s="217"/>
      <c r="M490" s="217"/>
    </row>
    <row r="491" spans="1:14" ht="14.25">
      <c r="A491" s="11"/>
      <c r="C491" s="693" t="s">
        <v>94</v>
      </c>
      <c r="D491" s="694"/>
      <c r="E491" s="694"/>
      <c r="F491" s="695"/>
      <c r="G491" s="167"/>
      <c r="H491" s="693" t="s">
        <v>95</v>
      </c>
      <c r="I491" s="694"/>
      <c r="J491" s="694"/>
      <c r="K491" s="694"/>
      <c r="L491" s="694"/>
      <c r="M491" s="694"/>
      <c r="N491" s="695"/>
    </row>
    <row r="492" spans="1:14" ht="13.5" thickBot="1">
      <c r="A492"/>
      <c r="C492" s="696"/>
      <c r="D492" s="697"/>
      <c r="E492" s="697"/>
      <c r="F492" s="698"/>
      <c r="G492" s="168"/>
      <c r="H492" s="696"/>
      <c r="I492" s="697"/>
      <c r="J492" s="697"/>
      <c r="K492" s="697"/>
      <c r="L492" s="697"/>
      <c r="M492" s="697"/>
      <c r="N492" s="698"/>
    </row>
    <row r="493" spans="1:14" ht="60">
      <c r="A493" s="169" t="s">
        <v>17</v>
      </c>
      <c r="B493" s="170"/>
      <c r="C493" s="705"/>
      <c r="D493" s="699" t="s">
        <v>85</v>
      </c>
      <c r="E493" s="701" t="s">
        <v>86</v>
      </c>
      <c r="F493" s="703" t="s">
        <v>197</v>
      </c>
      <c r="G493" s="167"/>
      <c r="H493" s="171"/>
      <c r="I493" s="699" t="s">
        <v>85</v>
      </c>
      <c r="J493" s="701" t="s">
        <v>86</v>
      </c>
      <c r="K493" s="703" t="s">
        <v>197</v>
      </c>
      <c r="L493" s="170"/>
      <c r="M493" s="716" t="s">
        <v>196</v>
      </c>
      <c r="N493" s="718" t="s">
        <v>77</v>
      </c>
    </row>
    <row r="494" spans="1:14" ht="13.5" thickBot="1">
      <c r="A494" s="12" t="s">
        <v>10</v>
      </c>
      <c r="B494" s="31"/>
      <c r="C494" s="706"/>
      <c r="D494" s="700"/>
      <c r="E494" s="702"/>
      <c r="F494" s="704"/>
      <c r="G494" s="168"/>
      <c r="H494" s="31"/>
      <c r="I494" s="700"/>
      <c r="J494" s="702"/>
      <c r="K494" s="704"/>
      <c r="L494" s="32"/>
      <c r="M494" s="717"/>
      <c r="N494" s="719"/>
    </row>
    <row r="495" spans="1:14" ht="26.25" thickBot="1">
      <c r="A495" s="234">
        <v>60</v>
      </c>
      <c r="B495" s="31"/>
      <c r="C495" s="174" t="s">
        <v>21</v>
      </c>
      <c r="D495" s="175" t="s">
        <v>78</v>
      </c>
      <c r="E495" s="176" t="s">
        <v>78</v>
      </c>
      <c r="F495" s="510">
        <f>'12. Current Rates'!$D$114</f>
        <v>0</v>
      </c>
      <c r="G495" s="168"/>
      <c r="H495" s="178" t="s">
        <v>21</v>
      </c>
      <c r="I495" s="175" t="str">
        <f>D495</f>
        <v>N/A</v>
      </c>
      <c r="J495" s="175" t="s">
        <v>78</v>
      </c>
      <c r="K495" s="502">
        <f>'11. 2005 Final Rate Schedule '!$F$92</f>
      </c>
      <c r="L495" s="180"/>
      <c r="M495" s="720"/>
      <c r="N495" s="721"/>
    </row>
    <row r="496" spans="1:14" ht="13.5" thickBot="1">
      <c r="A496" s="12" t="s">
        <v>11</v>
      </c>
      <c r="B496" s="31"/>
      <c r="C496" s="181" t="s">
        <v>87</v>
      </c>
      <c r="D496" s="236">
        <f>A495</f>
        <v>60</v>
      </c>
      <c r="E496" s="509">
        <f>'12. Current Rates'!$D$112</f>
        <v>0</v>
      </c>
      <c r="F496" s="184">
        <f>D496*E496</f>
        <v>0</v>
      </c>
      <c r="G496" s="168"/>
      <c r="H496" s="185" t="s">
        <v>87</v>
      </c>
      <c r="I496" s="186">
        <f>D496</f>
        <v>60</v>
      </c>
      <c r="J496" s="511">
        <f>'11. 2005 Final Rate Schedule '!$F$93</f>
      </c>
      <c r="K496" s="237" t="e">
        <f>I496*J496</f>
        <v>#VALUE!</v>
      </c>
      <c r="L496" s="180"/>
      <c r="M496" s="722"/>
      <c r="N496" s="723"/>
    </row>
    <row r="497" spans="1:14" ht="13.5" thickBot="1">
      <c r="A497" s="234">
        <v>15000</v>
      </c>
      <c r="B497" s="31"/>
      <c r="C497" s="726"/>
      <c r="D497" s="727"/>
      <c r="E497" s="188" t="s">
        <v>51</v>
      </c>
      <c r="F497" s="189">
        <f>SUM(F495:F496)</f>
        <v>0</v>
      </c>
      <c r="G497" s="168"/>
      <c r="H497" s="709"/>
      <c r="I497" s="710"/>
      <c r="J497" s="188" t="s">
        <v>80</v>
      </c>
      <c r="K497" s="190" t="e">
        <f>SUM(K495:K496)</f>
        <v>#VALUE!</v>
      </c>
      <c r="L497" s="180"/>
      <c r="M497" s="191" t="e">
        <f>K497-F497</f>
        <v>#VALUE!</v>
      </c>
      <c r="N497" s="192" t="e">
        <f>M497/F497</f>
        <v>#VALUE!</v>
      </c>
    </row>
    <row r="498" spans="1:14" ht="25.5">
      <c r="A498" s="86"/>
      <c r="B498" s="31"/>
      <c r="C498" s="181" t="s">
        <v>88</v>
      </c>
      <c r="D498" s="236">
        <f>A495</f>
        <v>60</v>
      </c>
      <c r="E498" s="428">
        <v>3.91</v>
      </c>
      <c r="F498" s="194">
        <f>D498*E498</f>
        <v>234.60000000000002</v>
      </c>
      <c r="G498" s="168"/>
      <c r="H498" s="185" t="s">
        <v>88</v>
      </c>
      <c r="I498" s="260">
        <f aca="true" t="shared" si="21" ref="I498:K499">D498</f>
        <v>60</v>
      </c>
      <c r="J498" s="436">
        <f t="shared" si="21"/>
        <v>3.91</v>
      </c>
      <c r="K498" s="239">
        <f t="shared" si="21"/>
        <v>234.60000000000002</v>
      </c>
      <c r="L498" s="180"/>
      <c r="M498" s="240"/>
      <c r="N498" s="258"/>
    </row>
    <row r="499" spans="1:14" ht="25.5">
      <c r="A499" s="86"/>
      <c r="B499" s="31"/>
      <c r="C499" s="181" t="s">
        <v>81</v>
      </c>
      <c r="D499" s="236">
        <f>A497</f>
        <v>15000</v>
      </c>
      <c r="E499" s="428">
        <v>0.0132</v>
      </c>
      <c r="F499" s="194">
        <f>D499*E499</f>
        <v>198</v>
      </c>
      <c r="G499" s="168"/>
      <c r="H499" s="185" t="s">
        <v>81</v>
      </c>
      <c r="I499" s="236">
        <f t="shared" si="21"/>
        <v>15000</v>
      </c>
      <c r="J499" s="436">
        <f t="shared" si="21"/>
        <v>0.0132</v>
      </c>
      <c r="K499" s="239">
        <f t="shared" si="21"/>
        <v>198</v>
      </c>
      <c r="L499" s="180"/>
      <c r="M499" s="724"/>
      <c r="N499" s="725"/>
    </row>
    <row r="500" spans="1:14" ht="26.25" thickBot="1">
      <c r="A500" s="86"/>
      <c r="B500" s="31"/>
      <c r="C500" s="197" t="s">
        <v>82</v>
      </c>
      <c r="D500" s="182">
        <v>750</v>
      </c>
      <c r="E500" s="429">
        <v>0.055</v>
      </c>
      <c r="F500" s="184">
        <f>D500*E500</f>
        <v>41.25</v>
      </c>
      <c r="G500" s="168"/>
      <c r="H500" s="197" t="s">
        <v>82</v>
      </c>
      <c r="I500" s="241">
        <f>D500</f>
        <v>750</v>
      </c>
      <c r="J500" s="429">
        <f>E500</f>
        <v>0.055</v>
      </c>
      <c r="K500" s="351">
        <f>I500*J500</f>
        <v>41.25</v>
      </c>
      <c r="L500" s="180"/>
      <c r="M500" s="724"/>
      <c r="N500" s="725"/>
    </row>
    <row r="501" spans="1:14" ht="13.5" thickBot="1">
      <c r="A501" s="86"/>
      <c r="B501" s="31"/>
      <c r="C501" s="711"/>
      <c r="D501" s="712"/>
      <c r="E501" s="712"/>
      <c r="F501" s="712"/>
      <c r="G501" s="168"/>
      <c r="H501" s="712"/>
      <c r="I501" s="712"/>
      <c r="J501" s="712"/>
      <c r="K501" s="713"/>
      <c r="L501" s="31"/>
      <c r="M501" s="86"/>
      <c r="N501" s="203"/>
    </row>
    <row r="502" spans="1:14" ht="13.5" thickBot="1">
      <c r="A502" s="94"/>
      <c r="B502" s="149"/>
      <c r="C502" s="204" t="s">
        <v>83</v>
      </c>
      <c r="D502" s="205"/>
      <c r="E502" s="205"/>
      <c r="F502" s="206">
        <f>SUM(F498:F500)+F497</f>
        <v>473.85</v>
      </c>
      <c r="G502" s="207"/>
      <c r="H502" s="728" t="s">
        <v>84</v>
      </c>
      <c r="I502" s="728"/>
      <c r="J502" s="728"/>
      <c r="K502" s="190" t="e">
        <f>SUM(K498:K500)+K497</f>
        <v>#VALUE!</v>
      </c>
      <c r="L502" s="208"/>
      <c r="M502" s="191" t="e">
        <f>K502-F502</f>
        <v>#VALUE!</v>
      </c>
      <c r="N502" s="192" t="e">
        <f>M502/F502</f>
        <v>#VALUE!</v>
      </c>
    </row>
    <row r="503" spans="6:14" ht="12.75">
      <c r="F503" s="180"/>
      <c r="K503" s="180"/>
      <c r="L503" s="217"/>
      <c r="M503" s="217"/>
      <c r="N503" s="230"/>
    </row>
    <row r="504" spans="6:14" ht="13.5" thickBot="1">
      <c r="F504" s="180"/>
      <c r="K504" s="180"/>
      <c r="L504" s="217"/>
      <c r="M504" s="217"/>
      <c r="N504" s="230"/>
    </row>
    <row r="505" spans="1:14" ht="60">
      <c r="A505" s="169" t="s">
        <v>17</v>
      </c>
      <c r="B505" s="170"/>
      <c r="C505" s="705"/>
      <c r="D505" s="699" t="s">
        <v>85</v>
      </c>
      <c r="E505" s="701" t="s">
        <v>86</v>
      </c>
      <c r="F505" s="703" t="s">
        <v>197</v>
      </c>
      <c r="G505" s="167"/>
      <c r="H505" s="171"/>
      <c r="I505" s="699" t="s">
        <v>85</v>
      </c>
      <c r="J505" s="701" t="s">
        <v>86</v>
      </c>
      <c r="K505" s="703" t="s">
        <v>197</v>
      </c>
      <c r="L505" s="170"/>
      <c r="M505" s="716" t="s">
        <v>196</v>
      </c>
      <c r="N505" s="718" t="s">
        <v>77</v>
      </c>
    </row>
    <row r="506" spans="1:14" ht="13.5" thickBot="1">
      <c r="A506" s="12" t="s">
        <v>10</v>
      </c>
      <c r="B506" s="31"/>
      <c r="C506" s="706"/>
      <c r="D506" s="700"/>
      <c r="E506" s="702"/>
      <c r="F506" s="704"/>
      <c r="G506" s="168"/>
      <c r="H506" s="31"/>
      <c r="I506" s="700"/>
      <c r="J506" s="702"/>
      <c r="K506" s="704"/>
      <c r="L506" s="32"/>
      <c r="M506" s="717"/>
      <c r="N506" s="719"/>
    </row>
    <row r="507" spans="1:14" ht="26.25" thickBot="1">
      <c r="A507" s="234">
        <v>100</v>
      </c>
      <c r="B507" s="31"/>
      <c r="C507" s="174" t="s">
        <v>21</v>
      </c>
      <c r="D507" s="175" t="s">
        <v>78</v>
      </c>
      <c r="E507" s="176" t="s">
        <v>78</v>
      </c>
      <c r="F507" s="510">
        <f>F495</f>
        <v>0</v>
      </c>
      <c r="G507" s="168"/>
      <c r="H507" s="178" t="s">
        <v>21</v>
      </c>
      <c r="I507" s="175" t="str">
        <f>D507</f>
        <v>N/A</v>
      </c>
      <c r="J507" s="175" t="s">
        <v>78</v>
      </c>
      <c r="K507" s="502">
        <f>K495</f>
      </c>
      <c r="L507" s="180"/>
      <c r="M507" s="720"/>
      <c r="N507" s="721"/>
    </row>
    <row r="508" spans="1:14" ht="13.5" thickBot="1">
      <c r="A508" s="12" t="s">
        <v>11</v>
      </c>
      <c r="B508" s="31"/>
      <c r="C508" s="181" t="s">
        <v>87</v>
      </c>
      <c r="D508" s="236">
        <f>A507</f>
        <v>100</v>
      </c>
      <c r="E508" s="509">
        <f>E496</f>
        <v>0</v>
      </c>
      <c r="F508" s="184">
        <f>D508*E508</f>
        <v>0</v>
      </c>
      <c r="G508" s="168"/>
      <c r="H508" s="185" t="s">
        <v>87</v>
      </c>
      <c r="I508" s="186">
        <f>D508</f>
        <v>100</v>
      </c>
      <c r="J508" s="511">
        <f>J496</f>
      </c>
      <c r="K508" s="237" t="e">
        <f>I508*J508</f>
        <v>#VALUE!</v>
      </c>
      <c r="L508" s="180"/>
      <c r="M508" s="722"/>
      <c r="N508" s="723"/>
    </row>
    <row r="509" spans="1:14" ht="13.5" thickBot="1">
      <c r="A509" s="234">
        <v>40000</v>
      </c>
      <c r="B509" s="31"/>
      <c r="C509" s="726"/>
      <c r="D509" s="727"/>
      <c r="E509" s="188" t="s">
        <v>51</v>
      </c>
      <c r="F509" s="189">
        <f>SUM(F507:F508)</f>
        <v>0</v>
      </c>
      <c r="G509" s="168"/>
      <c r="H509" s="709"/>
      <c r="I509" s="710"/>
      <c r="J509" s="188" t="s">
        <v>80</v>
      </c>
      <c r="K509" s="190" t="e">
        <f>SUM(K507:K508)</f>
        <v>#VALUE!</v>
      </c>
      <c r="L509" s="180"/>
      <c r="M509" s="191" t="e">
        <f>K509-F509</f>
        <v>#VALUE!</v>
      </c>
      <c r="N509" s="192" t="e">
        <f>M509/F509</f>
        <v>#VALUE!</v>
      </c>
    </row>
    <row r="510" spans="1:14" ht="25.5">
      <c r="A510" s="86"/>
      <c r="B510" s="31"/>
      <c r="C510" s="181" t="s">
        <v>88</v>
      </c>
      <c r="D510" s="236">
        <f>A507</f>
        <v>100</v>
      </c>
      <c r="E510" s="428">
        <v>3.91</v>
      </c>
      <c r="F510" s="194">
        <f>D510*E510</f>
        <v>391</v>
      </c>
      <c r="G510" s="168"/>
      <c r="H510" s="185" t="s">
        <v>88</v>
      </c>
      <c r="I510" s="260">
        <f aca="true" t="shared" si="22" ref="I510:K511">D510</f>
        <v>100</v>
      </c>
      <c r="J510" s="436">
        <f t="shared" si="22"/>
        <v>3.91</v>
      </c>
      <c r="K510" s="239">
        <f t="shared" si="22"/>
        <v>391</v>
      </c>
      <c r="L510" s="180"/>
      <c r="M510" s="240"/>
      <c r="N510" s="258"/>
    </row>
    <row r="511" spans="1:14" ht="25.5">
      <c r="A511" s="86"/>
      <c r="B511" s="31"/>
      <c r="C511" s="181" t="s">
        <v>81</v>
      </c>
      <c r="D511" s="236">
        <f>A509</f>
        <v>40000</v>
      </c>
      <c r="E511" s="428">
        <v>0.0132</v>
      </c>
      <c r="F511" s="194">
        <f>D511*E511</f>
        <v>528</v>
      </c>
      <c r="G511" s="168"/>
      <c r="H511" s="185" t="s">
        <v>81</v>
      </c>
      <c r="I511" s="236">
        <f t="shared" si="22"/>
        <v>40000</v>
      </c>
      <c r="J511" s="436">
        <f t="shared" si="22"/>
        <v>0.0132</v>
      </c>
      <c r="K511" s="239">
        <f t="shared" si="22"/>
        <v>528</v>
      </c>
      <c r="L511" s="180"/>
      <c r="M511" s="724"/>
      <c r="N511" s="725"/>
    </row>
    <row r="512" spans="1:14" ht="26.25" thickBot="1">
      <c r="A512" s="86"/>
      <c r="B512" s="31"/>
      <c r="C512" s="197" t="s">
        <v>82</v>
      </c>
      <c r="D512" s="236">
        <f>A509</f>
        <v>40000</v>
      </c>
      <c r="E512" s="429">
        <v>0.055</v>
      </c>
      <c r="F512" s="184">
        <f>D512*E512</f>
        <v>2200</v>
      </c>
      <c r="G512" s="168"/>
      <c r="H512" s="197" t="s">
        <v>82</v>
      </c>
      <c r="I512" s="241">
        <f>D512</f>
        <v>40000</v>
      </c>
      <c r="J512" s="437">
        <v>0.055</v>
      </c>
      <c r="K512" s="243">
        <f>F512</f>
        <v>2200</v>
      </c>
      <c r="L512" s="180"/>
      <c r="M512" s="724"/>
      <c r="N512" s="725"/>
    </row>
    <row r="513" spans="1:14" ht="13.5" thickBot="1">
      <c r="A513" s="86"/>
      <c r="B513" s="31"/>
      <c r="C513" s="711"/>
      <c r="D513" s="712"/>
      <c r="E513" s="712"/>
      <c r="F513" s="712"/>
      <c r="G513" s="168"/>
      <c r="H513" s="712"/>
      <c r="I513" s="712"/>
      <c r="J513" s="712"/>
      <c r="K513" s="713"/>
      <c r="L513" s="31"/>
      <c r="M513" s="86"/>
      <c r="N513" s="203"/>
    </row>
    <row r="514" spans="1:14" ht="13.5" thickBot="1">
      <c r="A514" s="94"/>
      <c r="B514" s="149"/>
      <c r="C514" s="204" t="s">
        <v>83</v>
      </c>
      <c r="D514" s="205"/>
      <c r="E514" s="205"/>
      <c r="F514" s="206">
        <f>SUM(F510:F512)+F509</f>
        <v>3119</v>
      </c>
      <c r="G514" s="207"/>
      <c r="H514" s="728" t="s">
        <v>84</v>
      </c>
      <c r="I514" s="728"/>
      <c r="J514" s="728"/>
      <c r="K514" s="190" t="e">
        <f>SUM(K510:K512)+K509</f>
        <v>#VALUE!</v>
      </c>
      <c r="L514" s="208"/>
      <c r="M514" s="191" t="e">
        <f>K514-F514</f>
        <v>#VALUE!</v>
      </c>
      <c r="N514" s="192" t="e">
        <f>M514/F514</f>
        <v>#VALUE!</v>
      </c>
    </row>
    <row r="515" spans="1:13" ht="15.75">
      <c r="A515" s="131"/>
      <c r="B515" s="131"/>
      <c r="F515" s="217"/>
      <c r="J515" s="222"/>
      <c r="K515" s="217"/>
      <c r="L515" s="217"/>
      <c r="M515" s="217"/>
    </row>
    <row r="516" spans="6:13" ht="13.5" thickBot="1">
      <c r="F516" s="217"/>
      <c r="J516" s="222"/>
      <c r="K516" s="217"/>
      <c r="L516" s="217"/>
      <c r="M516" s="217"/>
    </row>
    <row r="517" spans="1:14" ht="60">
      <c r="A517" s="169" t="s">
        <v>17</v>
      </c>
      <c r="B517" s="170"/>
      <c r="C517" s="705"/>
      <c r="D517" s="699" t="s">
        <v>85</v>
      </c>
      <c r="E517" s="701" t="s">
        <v>86</v>
      </c>
      <c r="F517" s="703" t="s">
        <v>197</v>
      </c>
      <c r="G517" s="167"/>
      <c r="H517" s="171"/>
      <c r="I517" s="699" t="s">
        <v>85</v>
      </c>
      <c r="J517" s="701" t="s">
        <v>86</v>
      </c>
      <c r="K517" s="703" t="s">
        <v>197</v>
      </c>
      <c r="L517" s="170"/>
      <c r="M517" s="716" t="s">
        <v>196</v>
      </c>
      <c r="N517" s="718" t="s">
        <v>77</v>
      </c>
    </row>
    <row r="518" spans="1:14" ht="13.5" thickBot="1">
      <c r="A518" s="12" t="s">
        <v>10</v>
      </c>
      <c r="B518" s="31"/>
      <c r="C518" s="706"/>
      <c r="D518" s="700"/>
      <c r="E518" s="702"/>
      <c r="F518" s="704"/>
      <c r="G518" s="168"/>
      <c r="H518" s="31"/>
      <c r="I518" s="700"/>
      <c r="J518" s="702"/>
      <c r="K518" s="704"/>
      <c r="L518" s="32"/>
      <c r="M518" s="717"/>
      <c r="N518" s="719"/>
    </row>
    <row r="519" spans="1:14" ht="26.25" thickBot="1">
      <c r="A519" s="234">
        <v>500</v>
      </c>
      <c r="B519" s="31"/>
      <c r="C519" s="174" t="s">
        <v>21</v>
      </c>
      <c r="D519" s="175" t="s">
        <v>78</v>
      </c>
      <c r="E519" s="176" t="s">
        <v>78</v>
      </c>
      <c r="F519" s="510">
        <f>F507</f>
        <v>0</v>
      </c>
      <c r="G519" s="168"/>
      <c r="H519" s="178" t="s">
        <v>21</v>
      </c>
      <c r="I519" s="175" t="str">
        <f>D519</f>
        <v>N/A</v>
      </c>
      <c r="J519" s="175" t="s">
        <v>78</v>
      </c>
      <c r="K519" s="502">
        <f>K507</f>
      </c>
      <c r="L519" s="180"/>
      <c r="M519" s="720"/>
      <c r="N519" s="721"/>
    </row>
    <row r="520" spans="1:14" ht="13.5" thickBot="1">
      <c r="A520" s="12" t="s">
        <v>11</v>
      </c>
      <c r="B520" s="31"/>
      <c r="C520" s="181" t="s">
        <v>87</v>
      </c>
      <c r="D520" s="236">
        <f>A519</f>
        <v>500</v>
      </c>
      <c r="E520" s="509">
        <f>E508</f>
        <v>0</v>
      </c>
      <c r="F520" s="184">
        <f>D520*E520</f>
        <v>0</v>
      </c>
      <c r="G520" s="168"/>
      <c r="H520" s="185" t="s">
        <v>87</v>
      </c>
      <c r="I520" s="186">
        <f>D520</f>
        <v>500</v>
      </c>
      <c r="J520" s="511">
        <f>J508</f>
      </c>
      <c r="K520" s="237" t="e">
        <f>I520*J520</f>
        <v>#VALUE!</v>
      </c>
      <c r="L520" s="180"/>
      <c r="M520" s="722"/>
      <c r="N520" s="723"/>
    </row>
    <row r="521" spans="1:14" ht="13.5" thickBot="1">
      <c r="A521" s="234">
        <v>100000</v>
      </c>
      <c r="B521" s="31"/>
      <c r="C521" s="726"/>
      <c r="D521" s="727"/>
      <c r="E521" s="188" t="s">
        <v>51</v>
      </c>
      <c r="F521" s="189">
        <f>SUM(F519:F520)</f>
        <v>0</v>
      </c>
      <c r="G521" s="168"/>
      <c r="H521" s="709"/>
      <c r="I521" s="710"/>
      <c r="J521" s="188" t="s">
        <v>80</v>
      </c>
      <c r="K521" s="190" t="e">
        <f>SUM(K519:K520)</f>
        <v>#VALUE!</v>
      </c>
      <c r="L521" s="180"/>
      <c r="M521" s="191" t="e">
        <f>K521-F521</f>
        <v>#VALUE!</v>
      </c>
      <c r="N521" s="192" t="e">
        <f>M521/F521</f>
        <v>#VALUE!</v>
      </c>
    </row>
    <row r="522" spans="1:14" ht="25.5">
      <c r="A522" s="86"/>
      <c r="B522" s="31"/>
      <c r="C522" s="181" t="s">
        <v>88</v>
      </c>
      <c r="D522" s="236">
        <f>A519</f>
        <v>500</v>
      </c>
      <c r="E522" s="428">
        <v>3.91</v>
      </c>
      <c r="F522" s="194">
        <f>D522*E522</f>
        <v>1955</v>
      </c>
      <c r="G522" s="168"/>
      <c r="H522" s="185" t="s">
        <v>88</v>
      </c>
      <c r="I522" s="260">
        <f aca="true" t="shared" si="23" ref="I522:K524">D522</f>
        <v>500</v>
      </c>
      <c r="J522" s="436">
        <f t="shared" si="23"/>
        <v>3.91</v>
      </c>
      <c r="K522" s="239">
        <f t="shared" si="23"/>
        <v>1955</v>
      </c>
      <c r="L522" s="180"/>
      <c r="M522" s="240"/>
      <c r="N522" s="258"/>
    </row>
    <row r="523" spans="1:14" ht="25.5">
      <c r="A523" s="86"/>
      <c r="B523" s="31"/>
      <c r="C523" s="181" t="s">
        <v>81</v>
      </c>
      <c r="D523" s="236">
        <f>A521</f>
        <v>100000</v>
      </c>
      <c r="E523" s="428">
        <v>0.0132</v>
      </c>
      <c r="F523" s="194">
        <f>D523*E523</f>
        <v>1320</v>
      </c>
      <c r="G523" s="168"/>
      <c r="H523" s="185" t="s">
        <v>81</v>
      </c>
      <c r="I523" s="236">
        <f t="shared" si="23"/>
        <v>100000</v>
      </c>
      <c r="J523" s="436">
        <f t="shared" si="23"/>
        <v>0.0132</v>
      </c>
      <c r="K523" s="239">
        <f t="shared" si="23"/>
        <v>1320</v>
      </c>
      <c r="L523" s="180"/>
      <c r="M523" s="724"/>
      <c r="N523" s="725"/>
    </row>
    <row r="524" spans="1:14" ht="26.25" thickBot="1">
      <c r="A524" s="86"/>
      <c r="B524" s="31"/>
      <c r="C524" s="197" t="s">
        <v>82</v>
      </c>
      <c r="D524" s="236">
        <f>A521</f>
        <v>100000</v>
      </c>
      <c r="E524" s="429">
        <v>0.055</v>
      </c>
      <c r="F524" s="184">
        <f>D524*E524</f>
        <v>5500</v>
      </c>
      <c r="G524" s="168"/>
      <c r="H524" s="197" t="s">
        <v>82</v>
      </c>
      <c r="I524" s="241">
        <f t="shared" si="23"/>
        <v>100000</v>
      </c>
      <c r="J524" s="437">
        <f t="shared" si="23"/>
        <v>0.055</v>
      </c>
      <c r="K524" s="243">
        <f t="shared" si="23"/>
        <v>5500</v>
      </c>
      <c r="L524" s="180"/>
      <c r="M524" s="724"/>
      <c r="N524" s="725"/>
    </row>
    <row r="525" spans="1:14" ht="13.5" thickBot="1">
      <c r="A525" s="86"/>
      <c r="B525" s="31"/>
      <c r="C525" s="711"/>
      <c r="D525" s="712"/>
      <c r="E525" s="712"/>
      <c r="F525" s="712"/>
      <c r="G525" s="168"/>
      <c r="H525" s="712"/>
      <c r="I525" s="712"/>
      <c r="J525" s="712"/>
      <c r="K525" s="713"/>
      <c r="L525" s="31"/>
      <c r="M525" s="86"/>
      <c r="N525" s="203"/>
    </row>
    <row r="526" spans="1:14" ht="13.5" thickBot="1">
      <c r="A526" s="94"/>
      <c r="B526" s="149"/>
      <c r="C526" s="204" t="s">
        <v>83</v>
      </c>
      <c r="D526" s="205"/>
      <c r="E526" s="205"/>
      <c r="F526" s="206">
        <f>SUM(F522:F524)+F521</f>
        <v>8775</v>
      </c>
      <c r="G526" s="207"/>
      <c r="H526" s="728" t="s">
        <v>84</v>
      </c>
      <c r="I526" s="728"/>
      <c r="J526" s="728"/>
      <c r="K526" s="190" t="e">
        <f>SUM(K522:K524)+K521</f>
        <v>#VALUE!</v>
      </c>
      <c r="L526" s="208"/>
      <c r="M526" s="191" t="e">
        <f>K526-F526</f>
        <v>#VALUE!</v>
      </c>
      <c r="N526" s="192" t="e">
        <f>M526/F526</f>
        <v>#VALUE!</v>
      </c>
    </row>
    <row r="527" ht="12.75">
      <c r="K527" s="162"/>
    </row>
    <row r="528" spans="6:13" ht="13.5" thickBot="1">
      <c r="F528" s="217"/>
      <c r="J528" s="222"/>
      <c r="K528" s="217"/>
      <c r="L528" s="217"/>
      <c r="M528" s="217"/>
    </row>
    <row r="529" spans="1:14" ht="60">
      <c r="A529" s="169" t="s">
        <v>17</v>
      </c>
      <c r="B529" s="170"/>
      <c r="C529" s="705"/>
      <c r="D529" s="699" t="s">
        <v>85</v>
      </c>
      <c r="E529" s="701" t="s">
        <v>86</v>
      </c>
      <c r="F529" s="703" t="s">
        <v>197</v>
      </c>
      <c r="G529" s="167"/>
      <c r="H529" s="171"/>
      <c r="I529" s="699" t="s">
        <v>85</v>
      </c>
      <c r="J529" s="701" t="s">
        <v>86</v>
      </c>
      <c r="K529" s="703" t="s">
        <v>197</v>
      </c>
      <c r="L529" s="170"/>
      <c r="M529" s="716" t="s">
        <v>196</v>
      </c>
      <c r="N529" s="718" t="s">
        <v>77</v>
      </c>
    </row>
    <row r="530" spans="1:14" ht="13.5" thickBot="1">
      <c r="A530" s="12" t="s">
        <v>10</v>
      </c>
      <c r="B530" s="31"/>
      <c r="C530" s="706"/>
      <c r="D530" s="700"/>
      <c r="E530" s="702"/>
      <c r="F530" s="704"/>
      <c r="G530" s="168"/>
      <c r="H530" s="31"/>
      <c r="I530" s="700"/>
      <c r="J530" s="702"/>
      <c r="K530" s="704"/>
      <c r="L530" s="32"/>
      <c r="M530" s="717"/>
      <c r="N530" s="719"/>
    </row>
    <row r="531" spans="1:14" ht="26.25" thickBot="1">
      <c r="A531" s="234">
        <v>1000</v>
      </c>
      <c r="B531" s="31"/>
      <c r="C531" s="174" t="s">
        <v>21</v>
      </c>
      <c r="D531" s="175" t="s">
        <v>78</v>
      </c>
      <c r="E531" s="176" t="s">
        <v>78</v>
      </c>
      <c r="F531" s="510">
        <f>F519</f>
        <v>0</v>
      </c>
      <c r="G531" s="168"/>
      <c r="H531" s="178" t="s">
        <v>21</v>
      </c>
      <c r="I531" s="175" t="str">
        <f>D531</f>
        <v>N/A</v>
      </c>
      <c r="J531" s="175" t="s">
        <v>78</v>
      </c>
      <c r="K531" s="502">
        <f>K519</f>
      </c>
      <c r="L531" s="180"/>
      <c r="M531" s="720"/>
      <c r="N531" s="721"/>
    </row>
    <row r="532" spans="1:14" ht="13.5" thickBot="1">
      <c r="A532" s="12" t="s">
        <v>11</v>
      </c>
      <c r="B532" s="31"/>
      <c r="C532" s="181" t="s">
        <v>87</v>
      </c>
      <c r="D532" s="236">
        <f>A531</f>
        <v>1000</v>
      </c>
      <c r="E532" s="509">
        <f>E520</f>
        <v>0</v>
      </c>
      <c r="F532" s="184">
        <f>D532*E532</f>
        <v>0</v>
      </c>
      <c r="G532" s="168"/>
      <c r="H532" s="185" t="s">
        <v>87</v>
      </c>
      <c r="I532" s="186">
        <f>D532</f>
        <v>1000</v>
      </c>
      <c r="J532" s="512">
        <f>J520</f>
      </c>
      <c r="K532" s="237" t="e">
        <f>I532*J532</f>
        <v>#VALUE!</v>
      </c>
      <c r="L532" s="180"/>
      <c r="M532" s="722"/>
      <c r="N532" s="723"/>
    </row>
    <row r="533" spans="1:14" ht="13.5" thickBot="1">
      <c r="A533" s="234">
        <v>400000</v>
      </c>
      <c r="B533" s="31"/>
      <c r="C533" s="726"/>
      <c r="D533" s="727"/>
      <c r="E533" s="188" t="s">
        <v>51</v>
      </c>
      <c r="F533" s="189">
        <f>SUM(F531:F532)</f>
        <v>0</v>
      </c>
      <c r="G533" s="168"/>
      <c r="H533" s="709"/>
      <c r="I533" s="710"/>
      <c r="J533" s="188" t="s">
        <v>80</v>
      </c>
      <c r="K533" s="190" t="e">
        <f>SUM(K531:K532)</f>
        <v>#VALUE!</v>
      </c>
      <c r="L533" s="180"/>
      <c r="M533" s="191" t="e">
        <f>K533-F533</f>
        <v>#VALUE!</v>
      </c>
      <c r="N533" s="192" t="e">
        <f>M533/F533</f>
        <v>#VALUE!</v>
      </c>
    </row>
    <row r="534" spans="1:14" ht="25.5">
      <c r="A534" s="86"/>
      <c r="B534" s="31"/>
      <c r="C534" s="181" t="s">
        <v>88</v>
      </c>
      <c r="D534" s="236">
        <f>A531</f>
        <v>1000</v>
      </c>
      <c r="E534" s="193">
        <v>3.91</v>
      </c>
      <c r="F534" s="194">
        <f>D534*E534</f>
        <v>3910</v>
      </c>
      <c r="G534" s="168"/>
      <c r="H534" s="185" t="s">
        <v>88</v>
      </c>
      <c r="I534" s="260">
        <f aca="true" t="shared" si="24" ref="I534:K536">D534</f>
        <v>1000</v>
      </c>
      <c r="J534" s="238">
        <f t="shared" si="24"/>
        <v>3.91</v>
      </c>
      <c r="K534" s="239">
        <f t="shared" si="24"/>
        <v>3910</v>
      </c>
      <c r="L534" s="180"/>
      <c r="M534" s="240"/>
      <c r="N534" s="258"/>
    </row>
    <row r="535" spans="1:14" ht="25.5">
      <c r="A535" s="86"/>
      <c r="B535" s="31"/>
      <c r="C535" s="181" t="s">
        <v>81</v>
      </c>
      <c r="D535" s="236">
        <f>A533</f>
        <v>400000</v>
      </c>
      <c r="E535" s="193">
        <v>0.0132</v>
      </c>
      <c r="F535" s="194">
        <f>D535*E535</f>
        <v>5280</v>
      </c>
      <c r="G535" s="168"/>
      <c r="H535" s="185" t="s">
        <v>81</v>
      </c>
      <c r="I535" s="236">
        <f t="shared" si="24"/>
        <v>400000</v>
      </c>
      <c r="J535" s="238">
        <f t="shared" si="24"/>
        <v>0.0132</v>
      </c>
      <c r="K535" s="239">
        <f t="shared" si="24"/>
        <v>5280</v>
      </c>
      <c r="L535" s="180"/>
      <c r="M535" s="724"/>
      <c r="N535" s="725"/>
    </row>
    <row r="536" spans="1:14" ht="26.25" thickBot="1">
      <c r="A536" s="86"/>
      <c r="B536" s="31"/>
      <c r="C536" s="197" t="s">
        <v>82</v>
      </c>
      <c r="D536" s="236">
        <f>A533</f>
        <v>400000</v>
      </c>
      <c r="E536" s="198">
        <v>0.055</v>
      </c>
      <c r="F536" s="184">
        <f>D536*E536</f>
        <v>22000</v>
      </c>
      <c r="G536" s="168"/>
      <c r="H536" s="197" t="s">
        <v>82</v>
      </c>
      <c r="I536" s="241">
        <f t="shared" si="24"/>
        <v>400000</v>
      </c>
      <c r="J536" s="242">
        <f t="shared" si="24"/>
        <v>0.055</v>
      </c>
      <c r="K536" s="243">
        <f t="shared" si="24"/>
        <v>22000</v>
      </c>
      <c r="L536" s="180"/>
      <c r="M536" s="724"/>
      <c r="N536" s="725"/>
    </row>
    <row r="537" spans="1:14" ht="13.5" thickBot="1">
      <c r="A537" s="86"/>
      <c r="B537" s="31"/>
      <c r="C537" s="711"/>
      <c r="D537" s="712"/>
      <c r="E537" s="712"/>
      <c r="F537" s="712"/>
      <c r="G537" s="168"/>
      <c r="H537" s="712"/>
      <c r="I537" s="712"/>
      <c r="J537" s="712"/>
      <c r="K537" s="713"/>
      <c r="L537" s="31"/>
      <c r="M537" s="86"/>
      <c r="N537" s="203"/>
    </row>
    <row r="538" spans="1:14" ht="13.5" thickBot="1">
      <c r="A538" s="94"/>
      <c r="B538" s="149"/>
      <c r="C538" s="204" t="s">
        <v>83</v>
      </c>
      <c r="D538" s="205"/>
      <c r="E538" s="205"/>
      <c r="F538" s="206">
        <f>SUM(F534:F536)+F533</f>
        <v>31190</v>
      </c>
      <c r="G538" s="207"/>
      <c r="H538" s="728" t="s">
        <v>84</v>
      </c>
      <c r="I538" s="728"/>
      <c r="J538" s="728"/>
      <c r="K538" s="190" t="e">
        <f>SUM(K534:K536)+K533</f>
        <v>#VALUE!</v>
      </c>
      <c r="L538" s="208"/>
      <c r="M538" s="191" t="e">
        <f>K538-F538</f>
        <v>#VALUE!</v>
      </c>
      <c r="N538" s="192" t="e">
        <f>M538/F538</f>
        <v>#VALUE!</v>
      </c>
    </row>
    <row r="539" spans="6:14" ht="12.75">
      <c r="F539" s="180"/>
      <c r="K539" s="180"/>
      <c r="L539" s="217"/>
      <c r="M539" s="217"/>
      <c r="N539" s="230"/>
    </row>
    <row r="540" spans="3:13" ht="13.5" thickBot="1">
      <c r="C540" s="53"/>
      <c r="E540" s="244"/>
      <c r="F540" s="217"/>
      <c r="J540" s="222"/>
      <c r="K540" s="217"/>
      <c r="L540" s="217"/>
      <c r="M540" s="217"/>
    </row>
    <row r="541" spans="1:14" ht="60">
      <c r="A541" s="169" t="s">
        <v>17</v>
      </c>
      <c r="B541" s="170"/>
      <c r="C541" s="705"/>
      <c r="D541" s="699" t="s">
        <v>85</v>
      </c>
      <c r="E541" s="701" t="s">
        <v>86</v>
      </c>
      <c r="F541" s="703" t="s">
        <v>197</v>
      </c>
      <c r="G541" s="167"/>
      <c r="H541" s="171"/>
      <c r="I541" s="699" t="s">
        <v>85</v>
      </c>
      <c r="J541" s="701" t="s">
        <v>86</v>
      </c>
      <c r="K541" s="703" t="s">
        <v>197</v>
      </c>
      <c r="L541" s="170"/>
      <c r="M541" s="716" t="s">
        <v>196</v>
      </c>
      <c r="N541" s="718" t="s">
        <v>77</v>
      </c>
    </row>
    <row r="542" spans="1:14" ht="13.5" thickBot="1">
      <c r="A542" s="12" t="s">
        <v>10</v>
      </c>
      <c r="B542" s="31"/>
      <c r="C542" s="706"/>
      <c r="D542" s="700"/>
      <c r="E542" s="702"/>
      <c r="F542" s="704"/>
      <c r="G542" s="168"/>
      <c r="H542" s="31"/>
      <c r="I542" s="700"/>
      <c r="J542" s="702"/>
      <c r="K542" s="704"/>
      <c r="L542" s="32"/>
      <c r="M542" s="717"/>
      <c r="N542" s="719"/>
    </row>
    <row r="543" spans="1:14" ht="26.25" thickBot="1">
      <c r="A543" s="234">
        <v>3000</v>
      </c>
      <c r="B543" s="31"/>
      <c r="C543" s="174" t="s">
        <v>21</v>
      </c>
      <c r="D543" s="175" t="s">
        <v>78</v>
      </c>
      <c r="E543" s="176" t="s">
        <v>78</v>
      </c>
      <c r="F543" s="510">
        <f>F531</f>
        <v>0</v>
      </c>
      <c r="G543" s="168"/>
      <c r="H543" s="178" t="s">
        <v>21</v>
      </c>
      <c r="I543" s="175" t="str">
        <f>D543</f>
        <v>N/A</v>
      </c>
      <c r="J543" s="175" t="s">
        <v>78</v>
      </c>
      <c r="K543" s="502">
        <f>K531</f>
      </c>
      <c r="L543" s="180"/>
      <c r="M543" s="720"/>
      <c r="N543" s="721"/>
    </row>
    <row r="544" spans="1:14" ht="13.5" thickBot="1">
      <c r="A544" s="12" t="s">
        <v>11</v>
      </c>
      <c r="B544" s="31"/>
      <c r="C544" s="181" t="s">
        <v>87</v>
      </c>
      <c r="D544" s="236">
        <f>A543</f>
        <v>3000</v>
      </c>
      <c r="E544" s="509">
        <f>E532</f>
        <v>0</v>
      </c>
      <c r="F544" s="184">
        <f>D544*E544</f>
        <v>0</v>
      </c>
      <c r="G544" s="168"/>
      <c r="H544" s="185" t="s">
        <v>87</v>
      </c>
      <c r="I544" s="186">
        <f>D544</f>
        <v>3000</v>
      </c>
      <c r="J544" s="512">
        <f>J532</f>
      </c>
      <c r="K544" s="237" t="e">
        <f>I544*J544</f>
        <v>#VALUE!</v>
      </c>
      <c r="L544" s="180"/>
      <c r="M544" s="722"/>
      <c r="N544" s="723"/>
    </row>
    <row r="545" spans="1:14" ht="13.5" thickBot="1">
      <c r="A545" s="234">
        <v>1000000</v>
      </c>
      <c r="B545" s="31"/>
      <c r="C545" s="726"/>
      <c r="D545" s="727"/>
      <c r="E545" s="188" t="s">
        <v>51</v>
      </c>
      <c r="F545" s="189">
        <f>SUM(F543:F544)</f>
        <v>0</v>
      </c>
      <c r="G545" s="168"/>
      <c r="H545" s="709"/>
      <c r="I545" s="710"/>
      <c r="J545" s="188" t="s">
        <v>80</v>
      </c>
      <c r="K545" s="190" t="e">
        <f>SUM(K543:K544)</f>
        <v>#VALUE!</v>
      </c>
      <c r="L545" s="180"/>
      <c r="M545" s="191" t="e">
        <f>K545-F545</f>
        <v>#VALUE!</v>
      </c>
      <c r="N545" s="192" t="e">
        <f>M545/F545</f>
        <v>#VALUE!</v>
      </c>
    </row>
    <row r="546" spans="1:14" ht="25.5">
      <c r="A546" s="86"/>
      <c r="B546" s="31"/>
      <c r="C546" s="181" t="s">
        <v>88</v>
      </c>
      <c r="D546" s="236">
        <f>A543</f>
        <v>3000</v>
      </c>
      <c r="E546" s="193">
        <v>3.91</v>
      </c>
      <c r="F546" s="194">
        <f>D546*E546</f>
        <v>11730</v>
      </c>
      <c r="G546" s="168"/>
      <c r="H546" s="185" t="s">
        <v>88</v>
      </c>
      <c r="I546" s="260">
        <f aca="true" t="shared" si="25" ref="I546:K548">D546</f>
        <v>3000</v>
      </c>
      <c r="J546" s="238">
        <f t="shared" si="25"/>
        <v>3.91</v>
      </c>
      <c r="K546" s="239">
        <f t="shared" si="25"/>
        <v>11730</v>
      </c>
      <c r="L546" s="180"/>
      <c r="M546" s="240"/>
      <c r="N546" s="258"/>
    </row>
    <row r="547" spans="1:14" ht="25.5">
      <c r="A547" s="86"/>
      <c r="B547" s="31"/>
      <c r="C547" s="181" t="s">
        <v>81</v>
      </c>
      <c r="D547" s="236">
        <f>A545</f>
        <v>1000000</v>
      </c>
      <c r="E547" s="193">
        <v>0.0132</v>
      </c>
      <c r="F547" s="194">
        <f>D547*E547</f>
        <v>13200</v>
      </c>
      <c r="G547" s="168"/>
      <c r="H547" s="185" t="s">
        <v>81</v>
      </c>
      <c r="I547" s="236">
        <f t="shared" si="25"/>
        <v>1000000</v>
      </c>
      <c r="J547" s="238">
        <f t="shared" si="25"/>
        <v>0.0132</v>
      </c>
      <c r="K547" s="239">
        <f t="shared" si="25"/>
        <v>13200</v>
      </c>
      <c r="L547" s="180"/>
      <c r="M547" s="724"/>
      <c r="N547" s="725"/>
    </row>
    <row r="548" spans="1:14" ht="26.25" thickBot="1">
      <c r="A548" s="86"/>
      <c r="B548" s="31"/>
      <c r="C548" s="197" t="s">
        <v>82</v>
      </c>
      <c r="D548" s="236">
        <f>A545</f>
        <v>1000000</v>
      </c>
      <c r="E548" s="198">
        <v>0.055</v>
      </c>
      <c r="F548" s="184">
        <f>D548*E548</f>
        <v>55000</v>
      </c>
      <c r="G548" s="168"/>
      <c r="H548" s="197" t="s">
        <v>82</v>
      </c>
      <c r="I548" s="241">
        <f t="shared" si="25"/>
        <v>1000000</v>
      </c>
      <c r="J548" s="242">
        <f t="shared" si="25"/>
        <v>0.055</v>
      </c>
      <c r="K548" s="243">
        <f t="shared" si="25"/>
        <v>55000</v>
      </c>
      <c r="L548" s="180"/>
      <c r="M548" s="724"/>
      <c r="N548" s="725"/>
    </row>
    <row r="549" spans="1:14" ht="13.5" thickBot="1">
      <c r="A549" s="86"/>
      <c r="B549" s="31"/>
      <c r="C549" s="711"/>
      <c r="D549" s="712"/>
      <c r="E549" s="712"/>
      <c r="F549" s="712"/>
      <c r="G549" s="168"/>
      <c r="H549" s="712"/>
      <c r="I549" s="712"/>
      <c r="J549" s="712"/>
      <c r="K549" s="713"/>
      <c r="L549" s="31"/>
      <c r="M549" s="86"/>
      <c r="N549" s="203"/>
    </row>
    <row r="550" spans="1:14" ht="13.5" thickBot="1">
      <c r="A550" s="94"/>
      <c r="B550" s="149"/>
      <c r="C550" s="204" t="s">
        <v>83</v>
      </c>
      <c r="D550" s="205"/>
      <c r="E550" s="205"/>
      <c r="F550" s="206">
        <f>SUM(F546:F548)+F545</f>
        <v>79930</v>
      </c>
      <c r="G550" s="207"/>
      <c r="H550" s="728" t="s">
        <v>84</v>
      </c>
      <c r="I550" s="728"/>
      <c r="J550" s="728"/>
      <c r="K550" s="190" t="e">
        <f>SUM(K546:K548)+K545</f>
        <v>#VALUE!</v>
      </c>
      <c r="L550" s="208"/>
      <c r="M550" s="191" t="e">
        <f>K550-F550</f>
        <v>#VALUE!</v>
      </c>
      <c r="N550" s="192" t="e">
        <f>M550/F550</f>
        <v>#VALUE!</v>
      </c>
    </row>
    <row r="553" spans="1:14" ht="23.25">
      <c r="A553" s="733" t="s">
        <v>246</v>
      </c>
      <c r="B553" s="733"/>
      <c r="C553" s="733"/>
      <c r="D553" s="733"/>
      <c r="E553" s="635"/>
      <c r="F553" s="635"/>
      <c r="G553" s="31"/>
      <c r="H553" s="163"/>
      <c r="I553" s="163"/>
      <c r="J553" s="163"/>
      <c r="K553" s="163"/>
      <c r="L553" s="163"/>
      <c r="M553" s="163"/>
      <c r="N553" s="163"/>
    </row>
    <row r="554" spans="1:11" ht="18">
      <c r="A554" s="55"/>
      <c r="B554" s="131"/>
      <c r="D554" s="31"/>
      <c r="E554" s="682"/>
      <c r="F554" s="682"/>
      <c r="K554" s="162"/>
    </row>
    <row r="555" spans="1:11" ht="15.75">
      <c r="A555" s="141" t="s">
        <v>90</v>
      </c>
      <c r="B555" s="164"/>
      <c r="C555" s="140"/>
      <c r="D555" s="69"/>
      <c r="E555" s="165"/>
      <c r="F555" s="165"/>
      <c r="G555" s="140"/>
      <c r="H555" s="140"/>
      <c r="I555" s="140"/>
      <c r="J555" s="140"/>
      <c r="K555" s="166"/>
    </row>
    <row r="556" spans="1:11" ht="15.75">
      <c r="A556" s="141" t="s">
        <v>47</v>
      </c>
      <c r="B556" s="164"/>
      <c r="C556" s="140"/>
      <c r="D556" s="69"/>
      <c r="E556" s="165"/>
      <c r="F556" s="165"/>
      <c r="G556" s="140"/>
      <c r="H556" s="140"/>
      <c r="I556" s="140"/>
      <c r="J556" s="140"/>
      <c r="K556" s="166"/>
    </row>
    <row r="557" spans="1:11" ht="15.75">
      <c r="A557" s="141" t="s">
        <v>49</v>
      </c>
      <c r="B557" s="164"/>
      <c r="C557" s="140"/>
      <c r="D557" s="69"/>
      <c r="E557" s="165"/>
      <c r="F557" s="165"/>
      <c r="G557" s="69"/>
      <c r="H557" s="140"/>
      <c r="I557" s="140"/>
      <c r="J557" s="140"/>
      <c r="K557" s="166"/>
    </row>
    <row r="558" spans="5:11" ht="16.5" thickBot="1">
      <c r="E558" s="682"/>
      <c r="F558" s="682"/>
      <c r="G558" s="31"/>
      <c r="K558" s="162"/>
    </row>
    <row r="559" spans="1:14" ht="14.25">
      <c r="A559" s="11"/>
      <c r="C559" s="693" t="s">
        <v>94</v>
      </c>
      <c r="D559" s="694"/>
      <c r="E559" s="694"/>
      <c r="F559" s="695"/>
      <c r="G559" s="167"/>
      <c r="H559" s="693" t="s">
        <v>95</v>
      </c>
      <c r="I559" s="694"/>
      <c r="J559" s="694"/>
      <c r="K559" s="694"/>
      <c r="L559" s="694"/>
      <c r="M559" s="694"/>
      <c r="N559" s="695"/>
    </row>
    <row r="560" spans="1:14" ht="13.5" thickBot="1">
      <c r="A560"/>
      <c r="C560" s="696"/>
      <c r="D560" s="697"/>
      <c r="E560" s="697"/>
      <c r="F560" s="698"/>
      <c r="G560" s="168"/>
      <c r="H560" s="696"/>
      <c r="I560" s="697"/>
      <c r="J560" s="697"/>
      <c r="K560" s="697"/>
      <c r="L560" s="697"/>
      <c r="M560" s="697"/>
      <c r="N560" s="698"/>
    </row>
    <row r="561" spans="1:14" ht="60.75" thickBot="1">
      <c r="A561" s="169" t="s">
        <v>75</v>
      </c>
      <c r="B561" s="170"/>
      <c r="C561" s="705"/>
      <c r="D561" s="699" t="s">
        <v>11</v>
      </c>
      <c r="E561" s="701" t="s">
        <v>76</v>
      </c>
      <c r="F561" s="703" t="s">
        <v>197</v>
      </c>
      <c r="G561" s="167"/>
      <c r="H561" s="171"/>
      <c r="I561" s="699" t="s">
        <v>11</v>
      </c>
      <c r="J561" s="701" t="s">
        <v>76</v>
      </c>
      <c r="K561" s="703" t="s">
        <v>197</v>
      </c>
      <c r="L561" s="170"/>
      <c r="M561" s="716" t="s">
        <v>196</v>
      </c>
      <c r="N561" s="718" t="s">
        <v>77</v>
      </c>
    </row>
    <row r="562" spans="1:14" ht="13.5" thickBot="1">
      <c r="A562" s="172">
        <v>100</v>
      </c>
      <c r="B562" s="31"/>
      <c r="C562" s="706"/>
      <c r="D562" s="700"/>
      <c r="E562" s="702"/>
      <c r="F562" s="704"/>
      <c r="G562" s="168"/>
      <c r="H562" s="31"/>
      <c r="I562" s="714"/>
      <c r="J562" s="715"/>
      <c r="K562" s="704"/>
      <c r="L562" s="32"/>
      <c r="M562" s="717"/>
      <c r="N562" s="719"/>
    </row>
    <row r="563" spans="1:14" ht="25.5">
      <c r="A563" s="173"/>
      <c r="B563" s="31"/>
      <c r="C563" s="449" t="s">
        <v>21</v>
      </c>
      <c r="D563" s="175" t="s">
        <v>78</v>
      </c>
      <c r="E563" s="176" t="s">
        <v>78</v>
      </c>
      <c r="F563" s="502">
        <f>'12. Current Rates'!D121</f>
        <v>0</v>
      </c>
      <c r="G563" s="168"/>
      <c r="H563" s="452" t="s">
        <v>21</v>
      </c>
      <c r="I563" s="175" t="s">
        <v>78</v>
      </c>
      <c r="J563" s="175" t="s">
        <v>78</v>
      </c>
      <c r="K563" s="502">
        <f>'11. 2005 Final Rate Schedule '!F98</f>
      </c>
      <c r="L563" s="180"/>
      <c r="M563" s="720"/>
      <c r="N563" s="721"/>
    </row>
    <row r="564" spans="1:14" ht="26.25" thickBot="1">
      <c r="A564" s="86"/>
      <c r="B564" s="31"/>
      <c r="C564" s="450" t="s">
        <v>79</v>
      </c>
      <c r="D564" s="236">
        <f>A562</f>
        <v>100</v>
      </c>
      <c r="E564" s="501">
        <f>'12. Current Rates'!D119</f>
        <v>0</v>
      </c>
      <c r="F564" s="351">
        <f>D564*E564</f>
        <v>0</v>
      </c>
      <c r="G564" s="168"/>
      <c r="H564" s="453" t="s">
        <v>79</v>
      </c>
      <c r="I564" s="182">
        <f>D564</f>
        <v>100</v>
      </c>
      <c r="J564" s="503">
        <f>'11. 2005 Final Rate Schedule '!F99</f>
      </c>
      <c r="K564" s="237" t="e">
        <f>I564*J564</f>
        <v>#VALUE!</v>
      </c>
      <c r="L564" s="180"/>
      <c r="M564" s="722"/>
      <c r="N564" s="723"/>
    </row>
    <row r="565" spans="1:14" ht="13.5" thickBot="1">
      <c r="A565" s="86"/>
      <c r="B565" s="31"/>
      <c r="C565" s="707"/>
      <c r="D565" s="708"/>
      <c r="E565" s="188" t="s">
        <v>51</v>
      </c>
      <c r="F565" s="372">
        <f>SUM(F563:F564)</f>
        <v>0</v>
      </c>
      <c r="G565" s="168"/>
      <c r="H565" s="709"/>
      <c r="I565" s="710"/>
      <c r="J565" s="188" t="s">
        <v>80</v>
      </c>
      <c r="K565" s="190" t="e">
        <f>SUM(K563:K564)</f>
        <v>#VALUE!</v>
      </c>
      <c r="L565" s="180"/>
      <c r="M565" s="191" t="e">
        <f>K565-F565</f>
        <v>#VALUE!</v>
      </c>
      <c r="N565" s="192" t="e">
        <f>M565/F565</f>
        <v>#VALUE!</v>
      </c>
    </row>
    <row r="566" spans="1:14" ht="25.5">
      <c r="A566" s="86"/>
      <c r="B566" s="31"/>
      <c r="C566" s="450" t="s">
        <v>81</v>
      </c>
      <c r="D566" s="182">
        <f>A562</f>
        <v>100</v>
      </c>
      <c r="E566" s="439">
        <v>0.0239</v>
      </c>
      <c r="F566" s="373">
        <f>D566*E566</f>
        <v>2.39</v>
      </c>
      <c r="G566" s="168"/>
      <c r="H566" s="453" t="s">
        <v>81</v>
      </c>
      <c r="I566" s="182">
        <f aca="true" t="shared" si="26" ref="I566:K567">D566</f>
        <v>100</v>
      </c>
      <c r="J566" s="445">
        <f t="shared" si="26"/>
        <v>0.0239</v>
      </c>
      <c r="K566" s="239">
        <f t="shared" si="26"/>
        <v>2.39</v>
      </c>
      <c r="L566" s="180"/>
      <c r="M566" s="720"/>
      <c r="N566" s="721"/>
    </row>
    <row r="567" spans="1:14" ht="26.25" thickBot="1">
      <c r="A567" s="86"/>
      <c r="B567" s="31"/>
      <c r="C567" s="451" t="s">
        <v>82</v>
      </c>
      <c r="D567" s="182">
        <f>A562</f>
        <v>100</v>
      </c>
      <c r="E567" s="440">
        <v>0.047</v>
      </c>
      <c r="F567" s="351">
        <f>D567*E567</f>
        <v>4.7</v>
      </c>
      <c r="G567" s="168"/>
      <c r="H567" s="454" t="s">
        <v>82</v>
      </c>
      <c r="I567" s="446">
        <f t="shared" si="26"/>
        <v>100</v>
      </c>
      <c r="J567" s="447">
        <f t="shared" si="26"/>
        <v>0.047</v>
      </c>
      <c r="K567" s="243">
        <f t="shared" si="26"/>
        <v>4.7</v>
      </c>
      <c r="L567" s="180"/>
      <c r="M567" s="724"/>
      <c r="N567" s="725"/>
    </row>
    <row r="568" spans="1:14" ht="13.5" thickBot="1">
      <c r="A568" s="86"/>
      <c r="B568" s="31"/>
      <c r="C568" s="711"/>
      <c r="D568" s="712"/>
      <c r="E568" s="712"/>
      <c r="F568" s="713"/>
      <c r="G568" s="168"/>
      <c r="H568" s="712"/>
      <c r="I568" s="712"/>
      <c r="J568" s="712"/>
      <c r="K568" s="713"/>
      <c r="L568" s="31"/>
      <c r="M568" s="86"/>
      <c r="N568" s="203"/>
    </row>
    <row r="569" spans="1:14" ht="13.5" thickBot="1">
      <c r="A569" s="94"/>
      <c r="B569" s="149"/>
      <c r="C569" s="204" t="s">
        <v>83</v>
      </c>
      <c r="D569" s="205"/>
      <c r="E569" s="205"/>
      <c r="F569" s="190">
        <f>SUM(F566:F567,F565)</f>
        <v>7.09</v>
      </c>
      <c r="G569" s="207"/>
      <c r="H569" s="728" t="s">
        <v>84</v>
      </c>
      <c r="I569" s="728"/>
      <c r="J569" s="728"/>
      <c r="K569" s="190" t="e">
        <f>SUM(K565:K567)</f>
        <v>#VALUE!</v>
      </c>
      <c r="L569" s="208"/>
      <c r="M569" s="191" t="e">
        <f>K569-F569</f>
        <v>#VALUE!</v>
      </c>
      <c r="N569" s="192" t="e">
        <f>M569/F569</f>
        <v>#VALUE!</v>
      </c>
    </row>
    <row r="570" ht="12.75">
      <c r="K570" s="162"/>
    </row>
    <row r="571" spans="6:11" ht="13.5" thickBot="1">
      <c r="F571" s="162"/>
      <c r="K571" s="162"/>
    </row>
    <row r="572" spans="1:14" ht="60.75" thickBot="1">
      <c r="A572" s="169" t="s">
        <v>75</v>
      </c>
      <c r="B572" s="170"/>
      <c r="C572" s="705"/>
      <c r="D572" s="699" t="s">
        <v>11</v>
      </c>
      <c r="E572" s="701" t="s">
        <v>76</v>
      </c>
      <c r="F572" s="703" t="s">
        <v>197</v>
      </c>
      <c r="G572" s="167"/>
      <c r="H572" s="171"/>
      <c r="I572" s="699" t="s">
        <v>11</v>
      </c>
      <c r="J572" s="701" t="s">
        <v>76</v>
      </c>
      <c r="K572" s="703" t="s">
        <v>197</v>
      </c>
      <c r="L572" s="170"/>
      <c r="M572" s="716" t="s">
        <v>196</v>
      </c>
      <c r="N572" s="718" t="s">
        <v>77</v>
      </c>
    </row>
    <row r="573" spans="1:14" ht="13.5" thickBot="1">
      <c r="A573" s="172">
        <v>250</v>
      </c>
      <c r="B573" s="31"/>
      <c r="C573" s="706"/>
      <c r="D573" s="700"/>
      <c r="E573" s="702"/>
      <c r="F573" s="704"/>
      <c r="G573" s="168"/>
      <c r="H573" s="31"/>
      <c r="I573" s="714"/>
      <c r="J573" s="715"/>
      <c r="K573" s="704"/>
      <c r="L573" s="32"/>
      <c r="M573" s="717"/>
      <c r="N573" s="719"/>
    </row>
    <row r="574" spans="1:14" ht="25.5">
      <c r="A574" s="173"/>
      <c r="B574" s="31"/>
      <c r="C574" s="174" t="s">
        <v>21</v>
      </c>
      <c r="D574" s="175" t="s">
        <v>78</v>
      </c>
      <c r="E574" s="176" t="s">
        <v>78</v>
      </c>
      <c r="F574" s="235">
        <f>F563</f>
        <v>0</v>
      </c>
      <c r="G574" s="168"/>
      <c r="H574" s="178" t="s">
        <v>21</v>
      </c>
      <c r="I574" s="209" t="str">
        <f>D574</f>
        <v>N/A</v>
      </c>
      <c r="J574" s="179" t="s">
        <v>78</v>
      </c>
      <c r="K574" s="506">
        <f>K563</f>
      </c>
      <c r="L574" s="180"/>
      <c r="M574" s="720"/>
      <c r="N574" s="721"/>
    </row>
    <row r="575" spans="1:14" ht="26.25" thickBot="1">
      <c r="A575" s="86"/>
      <c r="B575" s="31"/>
      <c r="C575" s="181" t="s">
        <v>79</v>
      </c>
      <c r="D575" s="236">
        <f>A573</f>
        <v>250</v>
      </c>
      <c r="E575" s="183">
        <f>E564</f>
        <v>0</v>
      </c>
      <c r="F575" s="351">
        <f>D575*E575</f>
        <v>0</v>
      </c>
      <c r="G575" s="168"/>
      <c r="H575" s="185" t="s">
        <v>79</v>
      </c>
      <c r="I575" s="186">
        <f>D575</f>
        <v>250</v>
      </c>
      <c r="J575" s="507">
        <f>J564</f>
      </c>
      <c r="K575" s="187" t="e">
        <f>I575*J575</f>
        <v>#VALUE!</v>
      </c>
      <c r="L575" s="180"/>
      <c r="M575" s="722"/>
      <c r="N575" s="723"/>
    </row>
    <row r="576" spans="1:14" ht="13.5" thickBot="1">
      <c r="A576" s="86"/>
      <c r="B576" s="31"/>
      <c r="C576" s="726"/>
      <c r="D576" s="727"/>
      <c r="E576" s="188" t="s">
        <v>51</v>
      </c>
      <c r="F576" s="372">
        <f>SUM(F574:F575)</f>
        <v>0</v>
      </c>
      <c r="G576" s="168"/>
      <c r="H576" s="709"/>
      <c r="I576" s="710"/>
      <c r="J576" s="188" t="s">
        <v>80</v>
      </c>
      <c r="K576" s="190" t="e">
        <f>SUM(K574:K575)</f>
        <v>#VALUE!</v>
      </c>
      <c r="L576" s="180"/>
      <c r="M576" s="191" t="e">
        <f>K576-F576</f>
        <v>#VALUE!</v>
      </c>
      <c r="N576" s="192" t="e">
        <f>M576/F576</f>
        <v>#VALUE!</v>
      </c>
    </row>
    <row r="577" spans="1:14" ht="25.5">
      <c r="A577" s="86"/>
      <c r="B577" s="31"/>
      <c r="C577" s="181" t="s">
        <v>81</v>
      </c>
      <c r="D577" s="182">
        <f>A573</f>
        <v>250</v>
      </c>
      <c r="E577" s="439">
        <v>0.0239</v>
      </c>
      <c r="F577" s="373">
        <f>D577*E577</f>
        <v>5.9750000000000005</v>
      </c>
      <c r="G577" s="168"/>
      <c r="H577" s="185" t="s">
        <v>81</v>
      </c>
      <c r="I577" s="186">
        <f aca="true" t="shared" si="27" ref="I577:K578">D577</f>
        <v>250</v>
      </c>
      <c r="J577" s="441">
        <f t="shared" si="27"/>
        <v>0.0239</v>
      </c>
      <c r="K577" s="196">
        <f t="shared" si="27"/>
        <v>5.9750000000000005</v>
      </c>
      <c r="L577" s="180"/>
      <c r="M577" s="720"/>
      <c r="N577" s="721"/>
    </row>
    <row r="578" spans="1:14" ht="26.25" thickBot="1">
      <c r="A578" s="86"/>
      <c r="B578" s="31"/>
      <c r="C578" s="197" t="s">
        <v>82</v>
      </c>
      <c r="D578" s="182">
        <f>A573</f>
        <v>250</v>
      </c>
      <c r="E578" s="440">
        <v>0.047</v>
      </c>
      <c r="F578" s="351">
        <f>D578*E578</f>
        <v>11.75</v>
      </c>
      <c r="G578" s="168"/>
      <c r="H578" s="199" t="s">
        <v>82</v>
      </c>
      <c r="I578" s="200">
        <f t="shared" si="27"/>
        <v>250</v>
      </c>
      <c r="J578" s="442">
        <f t="shared" si="27"/>
        <v>0.047</v>
      </c>
      <c r="K578" s="202">
        <f t="shared" si="27"/>
        <v>11.75</v>
      </c>
      <c r="L578" s="180"/>
      <c r="M578" s="724"/>
      <c r="N578" s="725"/>
    </row>
    <row r="579" spans="1:14" ht="13.5" thickBot="1">
      <c r="A579" s="86"/>
      <c r="B579" s="31"/>
      <c r="C579" s="711"/>
      <c r="D579" s="712"/>
      <c r="E579" s="712"/>
      <c r="F579" s="713"/>
      <c r="G579" s="168"/>
      <c r="H579" s="712"/>
      <c r="I579" s="712"/>
      <c r="J579" s="712"/>
      <c r="K579" s="713"/>
      <c r="L579" s="31"/>
      <c r="M579" s="86"/>
      <c r="N579" s="203"/>
    </row>
    <row r="580" spans="1:14" ht="13.5" thickBot="1">
      <c r="A580" s="94"/>
      <c r="B580" s="149"/>
      <c r="C580" s="204" t="s">
        <v>83</v>
      </c>
      <c r="D580" s="205"/>
      <c r="E580" s="205"/>
      <c r="F580" s="190">
        <f>SUM(F577:F578,F576)</f>
        <v>17.725</v>
      </c>
      <c r="G580" s="207"/>
      <c r="H580" s="728" t="s">
        <v>84</v>
      </c>
      <c r="I580" s="728"/>
      <c r="J580" s="728"/>
      <c r="K580" s="190" t="e">
        <f>SUM(K576:K578)</f>
        <v>#VALUE!</v>
      </c>
      <c r="L580" s="208"/>
      <c r="M580" s="191" t="e">
        <f>K580-F580</f>
        <v>#VALUE!</v>
      </c>
      <c r="N580" s="192" t="e">
        <f>M580/F580</f>
        <v>#VALUE!</v>
      </c>
    </row>
    <row r="581" ht="12.75">
      <c r="K581" s="162"/>
    </row>
    <row r="582" spans="1:14" ht="15.75" thickBot="1">
      <c r="A582" s="47"/>
      <c r="B582" s="12"/>
      <c r="D582" s="10"/>
      <c r="E582" s="10"/>
      <c r="F582" s="210"/>
      <c r="I582" s="10"/>
      <c r="J582" s="10"/>
      <c r="K582" s="211"/>
      <c r="L582" s="12"/>
      <c r="M582" s="12"/>
      <c r="N582" s="212"/>
    </row>
    <row r="583" spans="1:14" ht="60.75" thickBot="1">
      <c r="A583" s="169" t="s">
        <v>75</v>
      </c>
      <c r="B583" s="170"/>
      <c r="C583" s="730"/>
      <c r="D583" s="699" t="s">
        <v>11</v>
      </c>
      <c r="E583" s="701" t="s">
        <v>76</v>
      </c>
      <c r="F583" s="703" t="s">
        <v>197</v>
      </c>
      <c r="G583" s="167"/>
      <c r="H583" s="171"/>
      <c r="I583" s="699" t="s">
        <v>11</v>
      </c>
      <c r="J583" s="701" t="s">
        <v>76</v>
      </c>
      <c r="K583" s="703" t="s">
        <v>197</v>
      </c>
      <c r="L583" s="170"/>
      <c r="M583" s="716" t="s">
        <v>196</v>
      </c>
      <c r="N583" s="718" t="s">
        <v>77</v>
      </c>
    </row>
    <row r="584" spans="1:14" ht="13.5" thickBot="1">
      <c r="A584" s="172">
        <v>500</v>
      </c>
      <c r="B584" s="31"/>
      <c r="C584" s="731"/>
      <c r="D584" s="700"/>
      <c r="E584" s="702"/>
      <c r="F584" s="704"/>
      <c r="G584" s="168"/>
      <c r="H584" s="31"/>
      <c r="I584" s="714"/>
      <c r="J584" s="715"/>
      <c r="K584" s="704"/>
      <c r="L584" s="32"/>
      <c r="M584" s="717"/>
      <c r="N584" s="719"/>
    </row>
    <row r="585" spans="1:14" ht="25.5">
      <c r="A585" s="173"/>
      <c r="B585" s="31"/>
      <c r="C585" s="174" t="s">
        <v>21</v>
      </c>
      <c r="D585" s="175" t="s">
        <v>78</v>
      </c>
      <c r="E585" s="176" t="s">
        <v>78</v>
      </c>
      <c r="F585" s="235">
        <f>F574</f>
        <v>0</v>
      </c>
      <c r="G585" s="168"/>
      <c r="H585" s="178" t="s">
        <v>21</v>
      </c>
      <c r="I585" s="209" t="str">
        <f>D585</f>
        <v>N/A</v>
      </c>
      <c r="J585" s="179" t="s">
        <v>78</v>
      </c>
      <c r="K585" s="506">
        <f>K574</f>
      </c>
      <c r="L585" s="180"/>
      <c r="M585" s="720"/>
      <c r="N585" s="721"/>
    </row>
    <row r="586" spans="1:14" ht="26.25" thickBot="1">
      <c r="A586" s="86"/>
      <c r="B586" s="31"/>
      <c r="C586" s="181" t="s">
        <v>79</v>
      </c>
      <c r="D586" s="236">
        <f>A584</f>
        <v>500</v>
      </c>
      <c r="E586" s="183">
        <f>E575</f>
        <v>0</v>
      </c>
      <c r="F586" s="351">
        <f>D586*E586</f>
        <v>0</v>
      </c>
      <c r="G586" s="168"/>
      <c r="H586" s="185" t="s">
        <v>79</v>
      </c>
      <c r="I586" s="374">
        <f>D586</f>
        <v>500</v>
      </c>
      <c r="J586" s="507">
        <f>J575</f>
      </c>
      <c r="K586" s="187" t="e">
        <f>I586*J586</f>
        <v>#VALUE!</v>
      </c>
      <c r="L586" s="180"/>
      <c r="M586" s="722"/>
      <c r="N586" s="723"/>
    </row>
    <row r="587" spans="1:14" ht="13.5" thickBot="1">
      <c r="A587" s="86"/>
      <c r="B587" s="31"/>
      <c r="C587" s="726"/>
      <c r="D587" s="729"/>
      <c r="E587" s="188" t="s">
        <v>51</v>
      </c>
      <c r="F587" s="372">
        <f>SUM(F585:F586)</f>
        <v>0</v>
      </c>
      <c r="G587" s="168"/>
      <c r="H587" s="709"/>
      <c r="I587" s="710"/>
      <c r="J587" s="188" t="s">
        <v>80</v>
      </c>
      <c r="K587" s="190" t="e">
        <f>SUM(K585:K586)</f>
        <v>#VALUE!</v>
      </c>
      <c r="L587" s="180"/>
      <c r="M587" s="191" t="e">
        <f>K587-F587</f>
        <v>#VALUE!</v>
      </c>
      <c r="N587" s="192" t="e">
        <f>M587/F587</f>
        <v>#VALUE!</v>
      </c>
    </row>
    <row r="588" spans="1:14" ht="25.5">
      <c r="A588" s="86"/>
      <c r="B588" s="31"/>
      <c r="C588" s="181" t="s">
        <v>81</v>
      </c>
      <c r="D588" s="182">
        <f>A584</f>
        <v>500</v>
      </c>
      <c r="E588" s="439">
        <v>0.0239</v>
      </c>
      <c r="F588" s="373">
        <f>D588*E588</f>
        <v>11.950000000000001</v>
      </c>
      <c r="G588" s="168"/>
      <c r="H588" s="185" t="s">
        <v>81</v>
      </c>
      <c r="I588" s="186">
        <f aca="true" t="shared" si="28" ref="I588:K589">D588</f>
        <v>500</v>
      </c>
      <c r="J588" s="441">
        <f t="shared" si="28"/>
        <v>0.0239</v>
      </c>
      <c r="K588" s="196">
        <f t="shared" si="28"/>
        <v>11.950000000000001</v>
      </c>
      <c r="L588" s="180"/>
      <c r="M588" s="720"/>
      <c r="N588" s="721"/>
    </row>
    <row r="589" spans="1:14" ht="26.25" thickBot="1">
      <c r="A589" s="86"/>
      <c r="B589" s="31"/>
      <c r="C589" s="197" t="s">
        <v>82</v>
      </c>
      <c r="D589" s="182">
        <f>A584</f>
        <v>500</v>
      </c>
      <c r="E589" s="440">
        <v>0.047</v>
      </c>
      <c r="F589" s="351">
        <f>D589*E589</f>
        <v>23.5</v>
      </c>
      <c r="G589" s="168"/>
      <c r="H589" s="199" t="s">
        <v>82</v>
      </c>
      <c r="I589" s="200">
        <f t="shared" si="28"/>
        <v>500</v>
      </c>
      <c r="J589" s="442">
        <f t="shared" si="28"/>
        <v>0.047</v>
      </c>
      <c r="K589" s="202">
        <f t="shared" si="28"/>
        <v>23.5</v>
      </c>
      <c r="L589" s="180"/>
      <c r="M589" s="724"/>
      <c r="N589" s="725"/>
    </row>
    <row r="590" spans="1:14" ht="13.5" thickBot="1">
      <c r="A590" s="86"/>
      <c r="B590" s="31"/>
      <c r="C590" s="711"/>
      <c r="D590" s="712"/>
      <c r="E590" s="712"/>
      <c r="F590" s="713"/>
      <c r="G590" s="168"/>
      <c r="H590" s="712"/>
      <c r="I590" s="712"/>
      <c r="J590" s="712"/>
      <c r="K590" s="713"/>
      <c r="L590" s="31"/>
      <c r="M590" s="86"/>
      <c r="N590" s="203"/>
    </row>
    <row r="591" spans="1:14" ht="13.5" thickBot="1">
      <c r="A591" s="94"/>
      <c r="B591" s="149"/>
      <c r="C591" s="204" t="s">
        <v>83</v>
      </c>
      <c r="D591" s="205"/>
      <c r="E591" s="205"/>
      <c r="F591" s="190">
        <f>SUM(F588:F589,F587)</f>
        <v>35.45</v>
      </c>
      <c r="G591" s="207"/>
      <c r="H591" s="728" t="s">
        <v>84</v>
      </c>
      <c r="I591" s="728"/>
      <c r="J591" s="728"/>
      <c r="K591" s="190" t="e">
        <f>SUM(K587:K589)</f>
        <v>#VALUE!</v>
      </c>
      <c r="L591" s="208"/>
      <c r="M591" s="191" t="e">
        <f>K591-F591</f>
        <v>#VALUE!</v>
      </c>
      <c r="N591" s="192" t="e">
        <f>M591/F591</f>
        <v>#VALUE!</v>
      </c>
    </row>
    <row r="592" spans="1:14" ht="15">
      <c r="A592" s="47"/>
      <c r="B592" s="12"/>
      <c r="D592" s="10"/>
      <c r="E592" s="10"/>
      <c r="F592" s="210"/>
      <c r="I592" s="10"/>
      <c r="J592" s="10"/>
      <c r="K592" s="211"/>
      <c r="L592" s="12"/>
      <c r="M592" s="12"/>
      <c r="N592" s="212"/>
    </row>
    <row r="593" spans="1:14" ht="13.5" thickBot="1">
      <c r="A593" s="12"/>
      <c r="D593" s="213"/>
      <c r="E593" s="10"/>
      <c r="F593" s="210"/>
      <c r="I593" s="10"/>
      <c r="J593" s="10"/>
      <c r="K593" s="211"/>
      <c r="L593" s="12"/>
      <c r="M593" s="12"/>
      <c r="N593" s="214"/>
    </row>
    <row r="594" spans="1:14" ht="60.75" thickBot="1">
      <c r="A594" s="169" t="s">
        <v>75</v>
      </c>
      <c r="B594" s="170"/>
      <c r="C594" s="705"/>
      <c r="D594" s="699" t="s">
        <v>11</v>
      </c>
      <c r="E594" s="701" t="s">
        <v>76</v>
      </c>
      <c r="F594" s="703" t="s">
        <v>197</v>
      </c>
      <c r="G594" s="167"/>
      <c r="H594" s="171"/>
      <c r="I594" s="699" t="s">
        <v>11</v>
      </c>
      <c r="J594" s="701" t="s">
        <v>76</v>
      </c>
      <c r="K594" s="703" t="s">
        <v>197</v>
      </c>
      <c r="L594" s="170"/>
      <c r="M594" s="716" t="s">
        <v>196</v>
      </c>
      <c r="N594" s="718" t="s">
        <v>77</v>
      </c>
    </row>
    <row r="595" spans="1:14" ht="13.5" thickBot="1">
      <c r="A595" s="172">
        <v>750</v>
      </c>
      <c r="B595" s="31"/>
      <c r="C595" s="706"/>
      <c r="D595" s="700"/>
      <c r="E595" s="702"/>
      <c r="F595" s="704"/>
      <c r="G595" s="168"/>
      <c r="H595" s="31"/>
      <c r="I595" s="714"/>
      <c r="J595" s="715"/>
      <c r="K595" s="704"/>
      <c r="L595" s="32"/>
      <c r="M595" s="717"/>
      <c r="N595" s="719"/>
    </row>
    <row r="596" spans="1:14" ht="25.5">
      <c r="A596" s="173"/>
      <c r="B596" s="31"/>
      <c r="C596" s="174" t="s">
        <v>21</v>
      </c>
      <c r="D596" s="175" t="s">
        <v>78</v>
      </c>
      <c r="E596" s="176" t="s">
        <v>78</v>
      </c>
      <c r="F596" s="235">
        <f>F585</f>
        <v>0</v>
      </c>
      <c r="G596" s="168"/>
      <c r="H596" s="178" t="s">
        <v>21</v>
      </c>
      <c r="I596" s="209" t="str">
        <f>D596</f>
        <v>N/A</v>
      </c>
      <c r="J596" s="179" t="s">
        <v>78</v>
      </c>
      <c r="K596" s="506">
        <f>K585</f>
      </c>
      <c r="L596" s="180"/>
      <c r="M596" s="720"/>
      <c r="N596" s="721"/>
    </row>
    <row r="597" spans="1:14" ht="26.25" thickBot="1">
      <c r="A597" s="86"/>
      <c r="B597" s="31"/>
      <c r="C597" s="181" t="s">
        <v>79</v>
      </c>
      <c r="D597" s="236">
        <f>A595</f>
        <v>750</v>
      </c>
      <c r="E597" s="183">
        <f>E586</f>
        <v>0</v>
      </c>
      <c r="F597" s="351">
        <f>D597*E597</f>
        <v>0</v>
      </c>
      <c r="G597" s="168"/>
      <c r="H597" s="185" t="s">
        <v>79</v>
      </c>
      <c r="I597" s="374">
        <f>D597</f>
        <v>750</v>
      </c>
      <c r="J597" s="505">
        <f>J586</f>
      </c>
      <c r="K597" s="187" t="e">
        <f>I597*J597</f>
        <v>#VALUE!</v>
      </c>
      <c r="L597" s="180"/>
      <c r="M597" s="722"/>
      <c r="N597" s="723"/>
    </row>
    <row r="598" spans="1:14" ht="13.5" thickBot="1">
      <c r="A598" s="86"/>
      <c r="B598" s="31"/>
      <c r="C598" s="726"/>
      <c r="D598" s="727"/>
      <c r="E598" s="188" t="s">
        <v>51</v>
      </c>
      <c r="F598" s="372">
        <f>SUM(F596:F597)</f>
        <v>0</v>
      </c>
      <c r="G598" s="168"/>
      <c r="H598" s="709"/>
      <c r="I598" s="710"/>
      <c r="J598" s="188" t="s">
        <v>80</v>
      </c>
      <c r="K598" s="190" t="e">
        <f>SUM(K596:K597)</f>
        <v>#VALUE!</v>
      </c>
      <c r="L598" s="180"/>
      <c r="M598" s="191" t="e">
        <f>K598-F598</f>
        <v>#VALUE!</v>
      </c>
      <c r="N598" s="192" t="e">
        <f>M598/F598</f>
        <v>#VALUE!</v>
      </c>
    </row>
    <row r="599" spans="1:14" ht="25.5">
      <c r="A599" s="86"/>
      <c r="B599" s="31"/>
      <c r="C599" s="181" t="s">
        <v>81</v>
      </c>
      <c r="D599" s="182">
        <f>A595</f>
        <v>750</v>
      </c>
      <c r="E599" s="193">
        <v>0.0239</v>
      </c>
      <c r="F599" s="373">
        <f>D599*E599</f>
        <v>17.925</v>
      </c>
      <c r="G599" s="168"/>
      <c r="H599" s="185" t="s">
        <v>81</v>
      </c>
      <c r="I599" s="186">
        <f aca="true" t="shared" si="29" ref="I599:K600">D599</f>
        <v>750</v>
      </c>
      <c r="J599" s="195">
        <f t="shared" si="29"/>
        <v>0.0239</v>
      </c>
      <c r="K599" s="196">
        <f t="shared" si="29"/>
        <v>17.925</v>
      </c>
      <c r="L599" s="180"/>
      <c r="M599" s="720"/>
      <c r="N599" s="721"/>
    </row>
    <row r="600" spans="1:14" ht="26.25" thickBot="1">
      <c r="A600" s="86"/>
      <c r="B600" s="31"/>
      <c r="C600" s="197" t="s">
        <v>82</v>
      </c>
      <c r="D600" s="182">
        <f>A595</f>
        <v>750</v>
      </c>
      <c r="E600" s="198">
        <v>0.047</v>
      </c>
      <c r="F600" s="351">
        <f>D600*E600</f>
        <v>35.25</v>
      </c>
      <c r="G600" s="168"/>
      <c r="H600" s="199" t="s">
        <v>82</v>
      </c>
      <c r="I600" s="200">
        <f t="shared" si="29"/>
        <v>750</v>
      </c>
      <c r="J600" s="201">
        <f t="shared" si="29"/>
        <v>0.047</v>
      </c>
      <c r="K600" s="202">
        <f t="shared" si="29"/>
        <v>35.25</v>
      </c>
      <c r="L600" s="180"/>
      <c r="M600" s="724"/>
      <c r="N600" s="725"/>
    </row>
    <row r="601" spans="1:14" ht="13.5" thickBot="1">
      <c r="A601" s="86"/>
      <c r="B601" s="31"/>
      <c r="C601" s="711"/>
      <c r="D601" s="712"/>
      <c r="E601" s="712"/>
      <c r="F601" s="713"/>
      <c r="G601" s="168"/>
      <c r="H601" s="712"/>
      <c r="I601" s="712"/>
      <c r="J601" s="712"/>
      <c r="K601" s="713"/>
      <c r="L601" s="31"/>
      <c r="M601" s="86"/>
      <c r="N601" s="203"/>
    </row>
    <row r="602" spans="1:14" ht="13.5" thickBot="1">
      <c r="A602" s="94"/>
      <c r="B602" s="149"/>
      <c r="C602" s="204" t="s">
        <v>83</v>
      </c>
      <c r="D602" s="205"/>
      <c r="E602" s="205"/>
      <c r="F602" s="190">
        <f>SUM(F599:F600,F598)</f>
        <v>53.175</v>
      </c>
      <c r="G602" s="207"/>
      <c r="H602" s="728" t="s">
        <v>84</v>
      </c>
      <c r="I602" s="728"/>
      <c r="J602" s="728"/>
      <c r="K602" s="190" t="e">
        <f>SUM(K598:K600)</f>
        <v>#VALUE!</v>
      </c>
      <c r="L602" s="208"/>
      <c r="M602" s="191" t="e">
        <f>K602-F602</f>
        <v>#VALUE!</v>
      </c>
      <c r="N602" s="192" t="e">
        <f>M602/F602</f>
        <v>#VALUE!</v>
      </c>
    </row>
    <row r="603" spans="1:14" ht="12.75">
      <c r="A603" s="12"/>
      <c r="D603" s="213"/>
      <c r="E603" s="10"/>
      <c r="F603" s="210"/>
      <c r="I603" s="10"/>
      <c r="J603" s="10"/>
      <c r="K603" s="211"/>
      <c r="L603" s="12"/>
      <c r="M603" s="12"/>
      <c r="N603" s="214"/>
    </row>
    <row r="604" spans="1:13" ht="15.75" thickBot="1">
      <c r="A604" s="215"/>
      <c r="B604" s="31"/>
      <c r="C604" s="133"/>
      <c r="D604" s="30"/>
      <c r="E604" s="30"/>
      <c r="F604" s="216"/>
      <c r="H604" s="133"/>
      <c r="I604" s="30"/>
      <c r="J604" s="30"/>
      <c r="K604" s="217"/>
      <c r="L604" s="217"/>
      <c r="M604" s="217"/>
    </row>
    <row r="605" spans="1:14" ht="60.75" thickBot="1">
      <c r="A605" s="169" t="s">
        <v>75</v>
      </c>
      <c r="B605" s="170"/>
      <c r="C605" s="705"/>
      <c r="D605" s="699" t="s">
        <v>11</v>
      </c>
      <c r="E605" s="701" t="s">
        <v>76</v>
      </c>
      <c r="F605" s="703" t="s">
        <v>197</v>
      </c>
      <c r="G605" s="167"/>
      <c r="H605" s="171"/>
      <c r="I605" s="699" t="s">
        <v>11</v>
      </c>
      <c r="J605" s="701" t="s">
        <v>76</v>
      </c>
      <c r="K605" s="703" t="s">
        <v>197</v>
      </c>
      <c r="L605" s="170"/>
      <c r="M605" s="716" t="s">
        <v>196</v>
      </c>
      <c r="N605" s="718" t="s">
        <v>77</v>
      </c>
    </row>
    <row r="606" spans="1:14" ht="13.5" thickBot="1">
      <c r="A606" s="172">
        <v>1000</v>
      </c>
      <c r="B606" s="31"/>
      <c r="C606" s="706"/>
      <c r="D606" s="700"/>
      <c r="E606" s="702"/>
      <c r="F606" s="704"/>
      <c r="G606" s="168"/>
      <c r="H606" s="31"/>
      <c r="I606" s="714"/>
      <c r="J606" s="715"/>
      <c r="K606" s="704"/>
      <c r="L606" s="32"/>
      <c r="M606" s="717"/>
      <c r="N606" s="719"/>
    </row>
    <row r="607" spans="1:14" ht="25.5">
      <c r="A607" s="173"/>
      <c r="B607" s="31"/>
      <c r="C607" s="174" t="s">
        <v>21</v>
      </c>
      <c r="D607" s="175" t="s">
        <v>78</v>
      </c>
      <c r="E607" s="176" t="s">
        <v>78</v>
      </c>
      <c r="F607" s="235">
        <f>F596</f>
        <v>0</v>
      </c>
      <c r="G607" s="168"/>
      <c r="H607" s="174" t="s">
        <v>21</v>
      </c>
      <c r="I607" s="209" t="str">
        <f>D607</f>
        <v>N/A</v>
      </c>
      <c r="J607" s="179" t="s">
        <v>78</v>
      </c>
      <c r="K607" s="506">
        <f>K596</f>
      </c>
      <c r="L607" s="180"/>
      <c r="M607" s="720"/>
      <c r="N607" s="721"/>
    </row>
    <row r="608" spans="1:14" ht="26.25" thickBot="1">
      <c r="A608" s="86"/>
      <c r="B608" s="31"/>
      <c r="C608" s="181" t="s">
        <v>79</v>
      </c>
      <c r="D608" s="182">
        <f>A606</f>
        <v>1000</v>
      </c>
      <c r="E608" s="183">
        <f>E597</f>
        <v>0</v>
      </c>
      <c r="F608" s="351">
        <f>D608*E608</f>
        <v>0</v>
      </c>
      <c r="G608" s="168"/>
      <c r="H608" s="181" t="s">
        <v>79</v>
      </c>
      <c r="I608" s="186">
        <f>D608</f>
        <v>1000</v>
      </c>
      <c r="J608" s="505">
        <f>J597</f>
      </c>
      <c r="K608" s="187" t="e">
        <f>I608*J608</f>
        <v>#VALUE!</v>
      </c>
      <c r="L608" s="180"/>
      <c r="M608" s="722"/>
      <c r="N608" s="723"/>
    </row>
    <row r="609" spans="1:14" ht="13.5" thickBot="1">
      <c r="A609" s="86"/>
      <c r="B609" s="31"/>
      <c r="C609" s="726"/>
      <c r="D609" s="727"/>
      <c r="E609" s="188" t="s">
        <v>51</v>
      </c>
      <c r="F609" s="372">
        <f>SUM(F607:F608)</f>
        <v>0</v>
      </c>
      <c r="G609" s="168"/>
      <c r="H609" s="732"/>
      <c r="I609" s="710"/>
      <c r="J609" s="188" t="s">
        <v>80</v>
      </c>
      <c r="K609" s="190" t="e">
        <f>SUM(K607:K608)</f>
        <v>#VALUE!</v>
      </c>
      <c r="L609" s="180"/>
      <c r="M609" s="191" t="e">
        <f>K609-F609</f>
        <v>#VALUE!</v>
      </c>
      <c r="N609" s="192" t="e">
        <f>M609/F609</f>
        <v>#VALUE!</v>
      </c>
    </row>
    <row r="610" spans="1:14" ht="25.5">
      <c r="A610" s="86"/>
      <c r="B610" s="31"/>
      <c r="C610" s="181" t="s">
        <v>81</v>
      </c>
      <c r="D610" s="182">
        <f>A606</f>
        <v>1000</v>
      </c>
      <c r="E610" s="193">
        <v>0.0239</v>
      </c>
      <c r="F610" s="373">
        <f>D610*E610</f>
        <v>23.900000000000002</v>
      </c>
      <c r="G610" s="168"/>
      <c r="H610" s="181" t="s">
        <v>81</v>
      </c>
      <c r="I610" s="186">
        <f>D610</f>
        <v>1000</v>
      </c>
      <c r="J610" s="195">
        <f>E610</f>
        <v>0.0239</v>
      </c>
      <c r="K610" s="196">
        <f>F610</f>
        <v>23.900000000000002</v>
      </c>
      <c r="L610" s="180"/>
      <c r="M610" s="720"/>
      <c r="N610" s="721"/>
    </row>
    <row r="611" spans="1:14" ht="25.5">
      <c r="A611" s="86"/>
      <c r="B611" s="31"/>
      <c r="C611" s="197" t="s">
        <v>82</v>
      </c>
      <c r="D611" s="182">
        <v>750</v>
      </c>
      <c r="E611" s="198">
        <v>0.047</v>
      </c>
      <c r="F611" s="351">
        <f>D611*E611</f>
        <v>35.25</v>
      </c>
      <c r="G611" s="168"/>
      <c r="H611" s="197" t="s">
        <v>82</v>
      </c>
      <c r="I611" s="182">
        <f>D611</f>
        <v>750</v>
      </c>
      <c r="J611" s="198">
        <v>0.047</v>
      </c>
      <c r="K611" s="351">
        <f>I611*J611</f>
        <v>35.25</v>
      </c>
      <c r="L611" s="180"/>
      <c r="M611" s="724"/>
      <c r="N611" s="725"/>
    </row>
    <row r="612" spans="1:14" ht="26.25" thickBot="1">
      <c r="A612" s="86"/>
      <c r="B612" s="31"/>
      <c r="C612" s="197" t="s">
        <v>82</v>
      </c>
      <c r="D612" s="236">
        <f>A606-D611</f>
        <v>250</v>
      </c>
      <c r="E612" s="198">
        <v>0.055</v>
      </c>
      <c r="F612" s="351">
        <f>D612*E612</f>
        <v>13.75</v>
      </c>
      <c r="G612" s="168"/>
      <c r="H612" s="352" t="s">
        <v>82</v>
      </c>
      <c r="I612" s="375">
        <f>D612</f>
        <v>250</v>
      </c>
      <c r="J612" s="353">
        <v>0.055</v>
      </c>
      <c r="K612" s="354">
        <f>I612*J612</f>
        <v>13.75</v>
      </c>
      <c r="L612" s="180"/>
      <c r="M612" s="724"/>
      <c r="N612" s="725"/>
    </row>
    <row r="613" spans="1:14" ht="13.5" thickBot="1">
      <c r="A613" s="86"/>
      <c r="B613" s="31"/>
      <c r="C613" s="711"/>
      <c r="D613" s="712"/>
      <c r="E613" s="712"/>
      <c r="F613" s="713"/>
      <c r="G613" s="168"/>
      <c r="H613" s="712"/>
      <c r="I613" s="712"/>
      <c r="J613" s="712"/>
      <c r="K613" s="713"/>
      <c r="L613" s="31"/>
      <c r="M613" s="86"/>
      <c r="N613" s="203"/>
    </row>
    <row r="614" spans="1:14" ht="13.5" thickBot="1">
      <c r="A614" s="94"/>
      <c r="B614" s="149"/>
      <c r="C614" s="204" t="s">
        <v>83</v>
      </c>
      <c r="D614" s="205"/>
      <c r="E614" s="205"/>
      <c r="F614" s="190">
        <f>SUM(F610:F612,F609)</f>
        <v>72.9</v>
      </c>
      <c r="G614" s="207"/>
      <c r="H614" s="728" t="s">
        <v>84</v>
      </c>
      <c r="I614" s="728"/>
      <c r="J614" s="728"/>
      <c r="K614" s="190" t="e">
        <f>SUM(K609:K612)</f>
        <v>#VALUE!</v>
      </c>
      <c r="L614" s="208"/>
      <c r="M614" s="191" t="e">
        <f>K614-F614</f>
        <v>#VALUE!</v>
      </c>
      <c r="N614" s="192" t="e">
        <f>M614/F614</f>
        <v>#VALUE!</v>
      </c>
    </row>
    <row r="615" spans="1:14" ht="12.75">
      <c r="A615" s="12"/>
      <c r="D615" s="213"/>
      <c r="E615" s="10"/>
      <c r="F615" s="210"/>
      <c r="I615" s="10"/>
      <c r="J615" s="10"/>
      <c r="K615" s="211"/>
      <c r="L615" s="12"/>
      <c r="M615" s="12"/>
      <c r="N615" s="214"/>
    </row>
    <row r="616" spans="1:13" ht="15.75" thickBot="1">
      <c r="A616" s="215"/>
      <c r="B616" s="31"/>
      <c r="C616" s="133"/>
      <c r="D616" s="30"/>
      <c r="E616" s="30"/>
      <c r="F616" s="216"/>
      <c r="H616" s="133"/>
      <c r="I616" s="30"/>
      <c r="J616" s="30"/>
      <c r="K616" s="217"/>
      <c r="L616" s="217"/>
      <c r="M616" s="217"/>
    </row>
    <row r="617" spans="1:14" ht="60.75" thickBot="1">
      <c r="A617" s="169" t="s">
        <v>75</v>
      </c>
      <c r="B617" s="170"/>
      <c r="C617" s="705"/>
      <c r="D617" s="699" t="s">
        <v>11</v>
      </c>
      <c r="E617" s="701" t="s">
        <v>76</v>
      </c>
      <c r="F617" s="703" t="s">
        <v>197</v>
      </c>
      <c r="G617" s="167"/>
      <c r="H617" s="171"/>
      <c r="I617" s="699" t="s">
        <v>11</v>
      </c>
      <c r="J617" s="701" t="s">
        <v>76</v>
      </c>
      <c r="K617" s="703" t="s">
        <v>197</v>
      </c>
      <c r="L617" s="170"/>
      <c r="M617" s="716" t="s">
        <v>196</v>
      </c>
      <c r="N617" s="718" t="s">
        <v>77</v>
      </c>
    </row>
    <row r="618" spans="1:14" ht="13.5" thickBot="1">
      <c r="A618" s="172">
        <v>1500</v>
      </c>
      <c r="B618" s="31"/>
      <c r="C618" s="706"/>
      <c r="D618" s="700"/>
      <c r="E618" s="702"/>
      <c r="F618" s="704"/>
      <c r="G618" s="168"/>
      <c r="H618" s="31"/>
      <c r="I618" s="714"/>
      <c r="J618" s="715"/>
      <c r="K618" s="704"/>
      <c r="L618" s="32"/>
      <c r="M618" s="717"/>
      <c r="N618" s="719"/>
    </row>
    <row r="619" spans="1:14" ht="25.5">
      <c r="A619" s="173"/>
      <c r="B619" s="31"/>
      <c r="C619" s="174" t="s">
        <v>21</v>
      </c>
      <c r="D619" s="175" t="s">
        <v>78</v>
      </c>
      <c r="E619" s="176" t="s">
        <v>78</v>
      </c>
      <c r="F619" s="235">
        <f>F607</f>
        <v>0</v>
      </c>
      <c r="G619" s="168"/>
      <c r="H619" s="178" t="s">
        <v>21</v>
      </c>
      <c r="I619" s="209" t="str">
        <f>D619</f>
        <v>N/A</v>
      </c>
      <c r="J619" s="179" t="s">
        <v>78</v>
      </c>
      <c r="K619" s="506">
        <f>K596</f>
      </c>
      <c r="L619" s="180"/>
      <c r="M619" s="720"/>
      <c r="N619" s="721"/>
    </row>
    <row r="620" spans="1:14" ht="26.25" thickBot="1">
      <c r="A620" s="86"/>
      <c r="B620" s="31"/>
      <c r="C620" s="181" t="s">
        <v>79</v>
      </c>
      <c r="D620" s="182">
        <f>A618</f>
        <v>1500</v>
      </c>
      <c r="E620" s="183">
        <f>E608</f>
        <v>0</v>
      </c>
      <c r="F620" s="351">
        <f>D620*E620</f>
        <v>0</v>
      </c>
      <c r="G620" s="168"/>
      <c r="H620" s="185" t="s">
        <v>79</v>
      </c>
      <c r="I620" s="186">
        <f>D620</f>
        <v>1500</v>
      </c>
      <c r="J620" s="505">
        <f>J597</f>
      </c>
      <c r="K620" s="187" t="e">
        <f>I620*J620</f>
        <v>#VALUE!</v>
      </c>
      <c r="L620" s="180"/>
      <c r="M620" s="722"/>
      <c r="N620" s="723"/>
    </row>
    <row r="621" spans="1:14" ht="13.5" thickBot="1">
      <c r="A621" s="86"/>
      <c r="B621" s="31"/>
      <c r="C621" s="726"/>
      <c r="D621" s="727"/>
      <c r="E621" s="188" t="s">
        <v>51</v>
      </c>
      <c r="F621" s="372">
        <f>SUM(F619:F620)</f>
        <v>0</v>
      </c>
      <c r="G621" s="168"/>
      <c r="H621" s="709"/>
      <c r="I621" s="710"/>
      <c r="J621" s="188" t="s">
        <v>80</v>
      </c>
      <c r="K621" s="190" t="e">
        <f>SUM(K619:K620)</f>
        <v>#VALUE!</v>
      </c>
      <c r="L621" s="180"/>
      <c r="M621" s="191" t="e">
        <f>K621-F621</f>
        <v>#VALUE!</v>
      </c>
      <c r="N621" s="192" t="e">
        <f>M621/F621</f>
        <v>#VALUE!</v>
      </c>
    </row>
    <row r="622" spans="1:14" ht="25.5">
      <c r="A622" s="86"/>
      <c r="B622" s="31"/>
      <c r="C622" s="181" t="s">
        <v>81</v>
      </c>
      <c r="D622" s="182">
        <f>A618</f>
        <v>1500</v>
      </c>
      <c r="E622" s="193">
        <v>0.0239</v>
      </c>
      <c r="F622" s="373">
        <f>D622*E622</f>
        <v>35.85</v>
      </c>
      <c r="G622" s="168"/>
      <c r="H622" s="185" t="s">
        <v>81</v>
      </c>
      <c r="I622" s="186">
        <f>D622</f>
        <v>1500</v>
      </c>
      <c r="J622" s="195">
        <f>E622</f>
        <v>0.0239</v>
      </c>
      <c r="K622" s="196">
        <f>F622</f>
        <v>35.85</v>
      </c>
      <c r="L622" s="180"/>
      <c r="M622" s="720"/>
      <c r="N622" s="721"/>
    </row>
    <row r="623" spans="1:14" ht="25.5">
      <c r="A623" s="86"/>
      <c r="B623" s="31"/>
      <c r="C623" s="197" t="s">
        <v>82</v>
      </c>
      <c r="D623" s="182">
        <v>750</v>
      </c>
      <c r="E623" s="198">
        <v>0.047</v>
      </c>
      <c r="F623" s="351">
        <f>D623*E623</f>
        <v>35.25</v>
      </c>
      <c r="G623" s="168"/>
      <c r="H623" s="197" t="s">
        <v>82</v>
      </c>
      <c r="I623" s="186">
        <f>D623</f>
        <v>750</v>
      </c>
      <c r="J623" s="198">
        <v>0.047</v>
      </c>
      <c r="K623" s="351">
        <f>I623*J623</f>
        <v>35.25</v>
      </c>
      <c r="L623" s="180"/>
      <c r="M623" s="724"/>
      <c r="N623" s="725"/>
    </row>
    <row r="624" spans="1:14" ht="26.25" thickBot="1">
      <c r="A624" s="86"/>
      <c r="B624" s="31"/>
      <c r="C624" s="197" t="s">
        <v>82</v>
      </c>
      <c r="D624" s="236">
        <f>A618-D623</f>
        <v>750</v>
      </c>
      <c r="E624" s="198">
        <v>0.055</v>
      </c>
      <c r="F624" s="351">
        <f>D624*E624</f>
        <v>41.25</v>
      </c>
      <c r="G624" s="168"/>
      <c r="H624" s="352" t="s">
        <v>82</v>
      </c>
      <c r="I624" s="375">
        <f>D624</f>
        <v>750</v>
      </c>
      <c r="J624" s="353">
        <v>0.055</v>
      </c>
      <c r="K624" s="354">
        <f>I624*J624</f>
        <v>41.25</v>
      </c>
      <c r="L624" s="180"/>
      <c r="M624" s="724"/>
      <c r="N624" s="725"/>
    </row>
    <row r="625" spans="1:14" ht="13.5" thickBot="1">
      <c r="A625" s="86"/>
      <c r="B625" s="31"/>
      <c r="C625" s="711"/>
      <c r="D625" s="712"/>
      <c r="E625" s="712"/>
      <c r="F625" s="713"/>
      <c r="G625" s="168"/>
      <c r="H625" s="712"/>
      <c r="I625" s="712"/>
      <c r="J625" s="712"/>
      <c r="K625" s="713"/>
      <c r="L625" s="31"/>
      <c r="M625" s="86"/>
      <c r="N625" s="203"/>
    </row>
    <row r="626" spans="1:14" ht="13.5" thickBot="1">
      <c r="A626" s="94"/>
      <c r="B626" s="149"/>
      <c r="C626" s="204" t="s">
        <v>83</v>
      </c>
      <c r="D626" s="205"/>
      <c r="E626" s="205"/>
      <c r="F626" s="190">
        <f>SUM(F622:F624,F621)</f>
        <v>112.35</v>
      </c>
      <c r="G626" s="207"/>
      <c r="H626" s="728" t="s">
        <v>84</v>
      </c>
      <c r="I626" s="728"/>
      <c r="J626" s="728"/>
      <c r="K626" s="190" t="e">
        <f>SUM(K621:K624)</f>
        <v>#VALUE!</v>
      </c>
      <c r="L626" s="208"/>
      <c r="M626" s="191" t="e">
        <f>K626-F626</f>
        <v>#VALUE!</v>
      </c>
      <c r="N626" s="192" t="e">
        <f>M626/F626</f>
        <v>#VALUE!</v>
      </c>
    </row>
    <row r="627" spans="1:14" ht="12.75">
      <c r="A627" s="12"/>
      <c r="D627" s="213"/>
      <c r="E627" s="10"/>
      <c r="F627" s="210"/>
      <c r="I627" s="10"/>
      <c r="J627" s="10"/>
      <c r="K627" s="211"/>
      <c r="L627" s="12"/>
      <c r="M627" s="12"/>
      <c r="N627" s="214"/>
    </row>
    <row r="628" spans="1:13" ht="15.75" thickBot="1">
      <c r="A628" s="215"/>
      <c r="B628" s="31"/>
      <c r="C628" s="133"/>
      <c r="D628" s="30"/>
      <c r="E628" s="30"/>
      <c r="F628" s="216"/>
      <c r="H628" s="133"/>
      <c r="I628" s="30"/>
      <c r="J628" s="30"/>
      <c r="K628" s="217"/>
      <c r="L628" s="217"/>
      <c r="M628" s="217"/>
    </row>
    <row r="629" spans="1:14" ht="60.75" thickBot="1">
      <c r="A629" s="169" t="s">
        <v>75</v>
      </c>
      <c r="B629" s="170"/>
      <c r="C629" s="705"/>
      <c r="D629" s="699" t="s">
        <v>11</v>
      </c>
      <c r="E629" s="701" t="s">
        <v>76</v>
      </c>
      <c r="F629" s="703" t="s">
        <v>197</v>
      </c>
      <c r="G629" s="167"/>
      <c r="H629" s="171"/>
      <c r="I629" s="699" t="s">
        <v>11</v>
      </c>
      <c r="J629" s="701" t="s">
        <v>76</v>
      </c>
      <c r="K629" s="703" t="s">
        <v>197</v>
      </c>
      <c r="L629" s="170"/>
      <c r="M629" s="716" t="s">
        <v>196</v>
      </c>
      <c r="N629" s="718" t="s">
        <v>77</v>
      </c>
    </row>
    <row r="630" spans="1:14" ht="13.5" thickBot="1">
      <c r="A630" s="172">
        <v>2000</v>
      </c>
      <c r="B630" s="31"/>
      <c r="C630" s="706"/>
      <c r="D630" s="700"/>
      <c r="E630" s="702"/>
      <c r="F630" s="704"/>
      <c r="G630" s="168"/>
      <c r="H630" s="31"/>
      <c r="I630" s="714"/>
      <c r="J630" s="715"/>
      <c r="K630" s="704"/>
      <c r="L630" s="32"/>
      <c r="M630" s="717"/>
      <c r="N630" s="719"/>
    </row>
    <row r="631" spans="1:14" ht="25.5">
      <c r="A631" s="173"/>
      <c r="B631" s="31"/>
      <c r="C631" s="174" t="s">
        <v>21</v>
      </c>
      <c r="D631" s="175" t="s">
        <v>78</v>
      </c>
      <c r="E631" s="176" t="s">
        <v>78</v>
      </c>
      <c r="F631" s="235">
        <f>F619</f>
        <v>0</v>
      </c>
      <c r="G631" s="168"/>
      <c r="H631" s="178" t="s">
        <v>21</v>
      </c>
      <c r="I631" s="209" t="str">
        <f>D631</f>
        <v>N/A</v>
      </c>
      <c r="J631" s="179" t="s">
        <v>78</v>
      </c>
      <c r="K631" s="506">
        <f>K619</f>
      </c>
      <c r="L631" s="180"/>
      <c r="M631" s="720"/>
      <c r="N631" s="721"/>
    </row>
    <row r="632" spans="1:14" ht="26.25" thickBot="1">
      <c r="A632" s="86"/>
      <c r="B632" s="31"/>
      <c r="C632" s="181" t="s">
        <v>79</v>
      </c>
      <c r="D632" s="182">
        <f>A630</f>
        <v>2000</v>
      </c>
      <c r="E632" s="183">
        <f>E620</f>
        <v>0</v>
      </c>
      <c r="F632" s="351">
        <f>D632*E632</f>
        <v>0</v>
      </c>
      <c r="G632" s="168"/>
      <c r="H632" s="185" t="s">
        <v>79</v>
      </c>
      <c r="I632" s="186">
        <f>D632</f>
        <v>2000</v>
      </c>
      <c r="J632" s="505">
        <f>J620</f>
      </c>
      <c r="K632" s="187" t="e">
        <f>I632*J632</f>
        <v>#VALUE!</v>
      </c>
      <c r="L632" s="180"/>
      <c r="M632" s="722"/>
      <c r="N632" s="723"/>
    </row>
    <row r="633" spans="1:14" ht="13.5" thickBot="1">
      <c r="A633" s="86"/>
      <c r="B633" s="31"/>
      <c r="C633" s="726"/>
      <c r="D633" s="727"/>
      <c r="E633" s="188" t="s">
        <v>51</v>
      </c>
      <c r="F633" s="372">
        <f>SUM(F631:F632)</f>
        <v>0</v>
      </c>
      <c r="G633" s="168"/>
      <c r="H633" s="709"/>
      <c r="I633" s="710"/>
      <c r="J633" s="188" t="s">
        <v>80</v>
      </c>
      <c r="K633" s="190" t="e">
        <f>SUM(K631:K632)</f>
        <v>#VALUE!</v>
      </c>
      <c r="L633" s="180"/>
      <c r="M633" s="191" t="e">
        <f>K633-F633</f>
        <v>#VALUE!</v>
      </c>
      <c r="N633" s="192" t="e">
        <f>M633/F633</f>
        <v>#VALUE!</v>
      </c>
    </row>
    <row r="634" spans="1:14" ht="25.5">
      <c r="A634" s="86"/>
      <c r="B634" s="31"/>
      <c r="C634" s="181" t="s">
        <v>81</v>
      </c>
      <c r="D634" s="182">
        <f>A630</f>
        <v>2000</v>
      </c>
      <c r="E634" s="193">
        <v>0.0239</v>
      </c>
      <c r="F634" s="373">
        <f>D634*E634</f>
        <v>47.800000000000004</v>
      </c>
      <c r="G634" s="168"/>
      <c r="H634" s="185" t="s">
        <v>81</v>
      </c>
      <c r="I634" s="186">
        <f>D634</f>
        <v>2000</v>
      </c>
      <c r="J634" s="195">
        <f>E634</f>
        <v>0.0239</v>
      </c>
      <c r="K634" s="196">
        <f>F634</f>
        <v>47.800000000000004</v>
      </c>
      <c r="L634" s="180"/>
      <c r="M634" s="720"/>
      <c r="N634" s="721"/>
    </row>
    <row r="635" spans="1:14" ht="25.5">
      <c r="A635" s="86"/>
      <c r="B635" s="31"/>
      <c r="C635" s="197" t="s">
        <v>82</v>
      </c>
      <c r="D635" s="182">
        <v>750</v>
      </c>
      <c r="E635" s="198">
        <v>0.047</v>
      </c>
      <c r="F635" s="351">
        <f>D635*E635</f>
        <v>35.25</v>
      </c>
      <c r="G635" s="168"/>
      <c r="H635" s="197" t="s">
        <v>82</v>
      </c>
      <c r="I635" s="186">
        <f>D635</f>
        <v>750</v>
      </c>
      <c r="J635" s="198">
        <v>0.047</v>
      </c>
      <c r="K635" s="351">
        <f>I635*J635</f>
        <v>35.25</v>
      </c>
      <c r="L635" s="180"/>
      <c r="M635" s="724"/>
      <c r="N635" s="725"/>
    </row>
    <row r="636" spans="1:14" ht="26.25" thickBot="1">
      <c r="A636" s="86"/>
      <c r="B636" s="31"/>
      <c r="C636" s="197" t="s">
        <v>82</v>
      </c>
      <c r="D636" s="236">
        <f>A630-D635</f>
        <v>1250</v>
      </c>
      <c r="E636" s="198">
        <v>0.055</v>
      </c>
      <c r="F636" s="351">
        <f>D636*E636</f>
        <v>68.75</v>
      </c>
      <c r="G636" s="168"/>
      <c r="H636" s="352" t="s">
        <v>82</v>
      </c>
      <c r="I636" s="375">
        <f>D636</f>
        <v>1250</v>
      </c>
      <c r="J636" s="353">
        <v>0.055</v>
      </c>
      <c r="K636" s="354">
        <f>I636*J636</f>
        <v>68.75</v>
      </c>
      <c r="L636" s="180"/>
      <c r="M636" s="724"/>
      <c r="N636" s="725"/>
    </row>
    <row r="637" spans="1:14" ht="13.5" thickBot="1">
      <c r="A637" s="86"/>
      <c r="B637" s="31"/>
      <c r="C637" s="711"/>
      <c r="D637" s="712"/>
      <c r="E637" s="712"/>
      <c r="F637" s="713"/>
      <c r="G637" s="168"/>
      <c r="H637" s="712"/>
      <c r="I637" s="712"/>
      <c r="J637" s="712"/>
      <c r="K637" s="713"/>
      <c r="L637" s="31"/>
      <c r="M637" s="86"/>
      <c r="N637" s="203"/>
    </row>
    <row r="638" spans="1:14" ht="13.5" thickBot="1">
      <c r="A638" s="94"/>
      <c r="B638" s="149"/>
      <c r="C638" s="204" t="s">
        <v>83</v>
      </c>
      <c r="D638" s="205"/>
      <c r="E638" s="205"/>
      <c r="F638" s="190">
        <f>SUM(F634:F636,F633)</f>
        <v>151.8</v>
      </c>
      <c r="G638" s="207"/>
      <c r="H638" s="728" t="s">
        <v>84</v>
      </c>
      <c r="I638" s="728"/>
      <c r="J638" s="728"/>
      <c r="K638" s="190" t="e">
        <f>SUM(K633:K636)</f>
        <v>#VALUE!</v>
      </c>
      <c r="L638" s="208"/>
      <c r="M638" s="191" t="e">
        <f>K638-F638</f>
        <v>#VALUE!</v>
      </c>
      <c r="N638" s="192" t="e">
        <f>M638/F638</f>
        <v>#VALUE!</v>
      </c>
    </row>
  </sheetData>
  <sheetProtection/>
  <mergeCells count="789">
    <mergeCell ref="A13:E13"/>
    <mergeCell ref="M634:N636"/>
    <mergeCell ref="C637:F637"/>
    <mergeCell ref="H637:K637"/>
    <mergeCell ref="D629:D630"/>
    <mergeCell ref="E629:E630"/>
    <mergeCell ref="F629:F630"/>
    <mergeCell ref="M622:N624"/>
    <mergeCell ref="C625:F625"/>
    <mergeCell ref="H625:K625"/>
    <mergeCell ref="H638:J638"/>
    <mergeCell ref="N629:N630"/>
    <mergeCell ref="M631:N632"/>
    <mergeCell ref="C633:D633"/>
    <mergeCell ref="H633:I633"/>
    <mergeCell ref="I629:I630"/>
    <mergeCell ref="J629:J630"/>
    <mergeCell ref="K629:K630"/>
    <mergeCell ref="M629:M630"/>
    <mergeCell ref="C629:C630"/>
    <mergeCell ref="H626:J626"/>
    <mergeCell ref="N617:N618"/>
    <mergeCell ref="M619:N620"/>
    <mergeCell ref="C621:D621"/>
    <mergeCell ref="H621:I621"/>
    <mergeCell ref="I617:I618"/>
    <mergeCell ref="J617:J618"/>
    <mergeCell ref="K617:K618"/>
    <mergeCell ref="M617:M618"/>
    <mergeCell ref="C617:C618"/>
    <mergeCell ref="D617:D618"/>
    <mergeCell ref="E617:E618"/>
    <mergeCell ref="F617:F618"/>
    <mergeCell ref="M610:N612"/>
    <mergeCell ref="C613:F613"/>
    <mergeCell ref="H613:K613"/>
    <mergeCell ref="H614:J614"/>
    <mergeCell ref="M607:N608"/>
    <mergeCell ref="C609:D609"/>
    <mergeCell ref="H609:I609"/>
    <mergeCell ref="I605:I606"/>
    <mergeCell ref="J605:J606"/>
    <mergeCell ref="K605:K606"/>
    <mergeCell ref="M605:M606"/>
    <mergeCell ref="C605:C606"/>
    <mergeCell ref="D605:D606"/>
    <mergeCell ref="E605:E606"/>
    <mergeCell ref="F605:F606"/>
    <mergeCell ref="M599:N600"/>
    <mergeCell ref="C601:F601"/>
    <mergeCell ref="H601:K601"/>
    <mergeCell ref="H602:J602"/>
    <mergeCell ref="N605:N606"/>
    <mergeCell ref="M596:N597"/>
    <mergeCell ref="C598:D598"/>
    <mergeCell ref="H598:I598"/>
    <mergeCell ref="I594:I595"/>
    <mergeCell ref="J594:J595"/>
    <mergeCell ref="K594:K595"/>
    <mergeCell ref="M594:M595"/>
    <mergeCell ref="C594:C595"/>
    <mergeCell ref="D594:D595"/>
    <mergeCell ref="E594:E595"/>
    <mergeCell ref="F594:F595"/>
    <mergeCell ref="M588:N589"/>
    <mergeCell ref="C590:F590"/>
    <mergeCell ref="H590:K590"/>
    <mergeCell ref="H591:J591"/>
    <mergeCell ref="N594:N595"/>
    <mergeCell ref="M585:N586"/>
    <mergeCell ref="C587:D587"/>
    <mergeCell ref="H587:I587"/>
    <mergeCell ref="I583:I584"/>
    <mergeCell ref="J583:J584"/>
    <mergeCell ref="K583:K584"/>
    <mergeCell ref="M583:M584"/>
    <mergeCell ref="C583:C584"/>
    <mergeCell ref="D583:D584"/>
    <mergeCell ref="E583:E584"/>
    <mergeCell ref="F583:F584"/>
    <mergeCell ref="M577:N578"/>
    <mergeCell ref="C579:F579"/>
    <mergeCell ref="H579:K579"/>
    <mergeCell ref="H580:J580"/>
    <mergeCell ref="N583:N584"/>
    <mergeCell ref="M574:N575"/>
    <mergeCell ref="C576:D576"/>
    <mergeCell ref="H576:I576"/>
    <mergeCell ref="C568:F568"/>
    <mergeCell ref="H568:K568"/>
    <mergeCell ref="H569:J569"/>
    <mergeCell ref="C572:C573"/>
    <mergeCell ref="D572:D573"/>
    <mergeCell ref="K572:K573"/>
    <mergeCell ref="M563:N564"/>
    <mergeCell ref="M572:M573"/>
    <mergeCell ref="N572:N573"/>
    <mergeCell ref="E572:E573"/>
    <mergeCell ref="F572:F573"/>
    <mergeCell ref="I572:I573"/>
    <mergeCell ref="J572:J573"/>
    <mergeCell ref="C565:D565"/>
    <mergeCell ref="H565:I565"/>
    <mergeCell ref="M566:N567"/>
    <mergeCell ref="H559:N560"/>
    <mergeCell ref="C561:C562"/>
    <mergeCell ref="D561:D562"/>
    <mergeCell ref="E561:E562"/>
    <mergeCell ref="F561:F562"/>
    <mergeCell ref="I561:I562"/>
    <mergeCell ref="J561:J562"/>
    <mergeCell ref="K561:K562"/>
    <mergeCell ref="M561:M562"/>
    <mergeCell ref="N561:N562"/>
    <mergeCell ref="E554:F554"/>
    <mergeCell ref="E558:F558"/>
    <mergeCell ref="C559:F560"/>
    <mergeCell ref="E541:E542"/>
    <mergeCell ref="F541:F542"/>
    <mergeCell ref="A553:F553"/>
    <mergeCell ref="M547:N548"/>
    <mergeCell ref="C549:F549"/>
    <mergeCell ref="H549:K549"/>
    <mergeCell ref="H550:J550"/>
    <mergeCell ref="M543:N544"/>
    <mergeCell ref="C545:D545"/>
    <mergeCell ref="H545:I545"/>
    <mergeCell ref="C537:F537"/>
    <mergeCell ref="H537:K537"/>
    <mergeCell ref="H538:J538"/>
    <mergeCell ref="N541:N542"/>
    <mergeCell ref="I541:I542"/>
    <mergeCell ref="J541:J542"/>
    <mergeCell ref="K541:K542"/>
    <mergeCell ref="M541:M542"/>
    <mergeCell ref="C541:C542"/>
    <mergeCell ref="D541:D542"/>
    <mergeCell ref="D529:D530"/>
    <mergeCell ref="E529:E530"/>
    <mergeCell ref="F529:F530"/>
    <mergeCell ref="M535:N536"/>
    <mergeCell ref="M531:N532"/>
    <mergeCell ref="C533:D533"/>
    <mergeCell ref="H533:I533"/>
    <mergeCell ref="H526:J526"/>
    <mergeCell ref="N529:N530"/>
    <mergeCell ref="M519:N520"/>
    <mergeCell ref="C521:D521"/>
    <mergeCell ref="H521:I521"/>
    <mergeCell ref="I529:I530"/>
    <mergeCell ref="J529:J530"/>
    <mergeCell ref="K529:K530"/>
    <mergeCell ref="M529:M530"/>
    <mergeCell ref="C529:C530"/>
    <mergeCell ref="E517:E518"/>
    <mergeCell ref="F517:F518"/>
    <mergeCell ref="M523:N524"/>
    <mergeCell ref="C525:F525"/>
    <mergeCell ref="H525:K525"/>
    <mergeCell ref="C513:F513"/>
    <mergeCell ref="H513:K513"/>
    <mergeCell ref="H514:J514"/>
    <mergeCell ref="N517:N518"/>
    <mergeCell ref="I517:I518"/>
    <mergeCell ref="J517:J518"/>
    <mergeCell ref="K517:K518"/>
    <mergeCell ref="M517:M518"/>
    <mergeCell ref="C517:C518"/>
    <mergeCell ref="D517:D518"/>
    <mergeCell ref="D505:D506"/>
    <mergeCell ref="E505:E506"/>
    <mergeCell ref="F505:F506"/>
    <mergeCell ref="M511:N512"/>
    <mergeCell ref="M507:N508"/>
    <mergeCell ref="C509:D509"/>
    <mergeCell ref="H509:I509"/>
    <mergeCell ref="N505:N506"/>
    <mergeCell ref="N493:N494"/>
    <mergeCell ref="M495:N496"/>
    <mergeCell ref="C497:D497"/>
    <mergeCell ref="H497:I497"/>
    <mergeCell ref="I505:I506"/>
    <mergeCell ref="J505:J506"/>
    <mergeCell ref="K505:K506"/>
    <mergeCell ref="M505:M506"/>
    <mergeCell ref="C505:C506"/>
    <mergeCell ref="M499:N500"/>
    <mergeCell ref="C501:F501"/>
    <mergeCell ref="H501:K501"/>
    <mergeCell ref="H502:J502"/>
    <mergeCell ref="C491:F492"/>
    <mergeCell ref="H491:N492"/>
    <mergeCell ref="C493:C494"/>
    <mergeCell ref="D493:D494"/>
    <mergeCell ref="E493:E494"/>
    <mergeCell ref="F493:F494"/>
    <mergeCell ref="I493:I494"/>
    <mergeCell ref="J493:J494"/>
    <mergeCell ref="K493:K494"/>
    <mergeCell ref="M493:M494"/>
    <mergeCell ref="H480:J480"/>
    <mergeCell ref="M473:N474"/>
    <mergeCell ref="C475:D475"/>
    <mergeCell ref="H475:I475"/>
    <mergeCell ref="E471:E472"/>
    <mergeCell ref="F471:F472"/>
    <mergeCell ref="M476:N478"/>
    <mergeCell ref="C479:F479"/>
    <mergeCell ref="H479:K479"/>
    <mergeCell ref="C467:F467"/>
    <mergeCell ref="H467:K467"/>
    <mergeCell ref="H468:J468"/>
    <mergeCell ref="N471:N472"/>
    <mergeCell ref="I471:I472"/>
    <mergeCell ref="J471:J472"/>
    <mergeCell ref="K471:K472"/>
    <mergeCell ref="M471:M472"/>
    <mergeCell ref="C471:C472"/>
    <mergeCell ref="D471:D472"/>
    <mergeCell ref="D459:D460"/>
    <mergeCell ref="E459:E460"/>
    <mergeCell ref="F459:F460"/>
    <mergeCell ref="M464:N466"/>
    <mergeCell ref="M461:N462"/>
    <mergeCell ref="C463:D463"/>
    <mergeCell ref="H463:I463"/>
    <mergeCell ref="H456:J456"/>
    <mergeCell ref="N459:N460"/>
    <mergeCell ref="M449:N450"/>
    <mergeCell ref="C451:D451"/>
    <mergeCell ref="H451:I451"/>
    <mergeCell ref="I459:I460"/>
    <mergeCell ref="J459:J460"/>
    <mergeCell ref="K459:K460"/>
    <mergeCell ref="M459:M460"/>
    <mergeCell ref="C459:C460"/>
    <mergeCell ref="E447:E448"/>
    <mergeCell ref="F447:F448"/>
    <mergeCell ref="M452:N454"/>
    <mergeCell ref="C455:F455"/>
    <mergeCell ref="H455:K455"/>
    <mergeCell ref="C443:F443"/>
    <mergeCell ref="H443:K443"/>
    <mergeCell ref="H444:J444"/>
    <mergeCell ref="N447:N448"/>
    <mergeCell ref="I447:I448"/>
    <mergeCell ref="J447:J448"/>
    <mergeCell ref="K447:K448"/>
    <mergeCell ref="M447:M448"/>
    <mergeCell ref="C447:C448"/>
    <mergeCell ref="D447:D448"/>
    <mergeCell ref="D435:D436"/>
    <mergeCell ref="E435:E436"/>
    <mergeCell ref="F435:F436"/>
    <mergeCell ref="M440:N442"/>
    <mergeCell ref="M437:N438"/>
    <mergeCell ref="C439:D439"/>
    <mergeCell ref="H439:I439"/>
    <mergeCell ref="N435:N436"/>
    <mergeCell ref="N424:N425"/>
    <mergeCell ref="M426:N427"/>
    <mergeCell ref="C428:D428"/>
    <mergeCell ref="H428:I428"/>
    <mergeCell ref="I435:I436"/>
    <mergeCell ref="J435:J436"/>
    <mergeCell ref="K435:K436"/>
    <mergeCell ref="M435:M436"/>
    <mergeCell ref="C435:C436"/>
    <mergeCell ref="M429:N430"/>
    <mergeCell ref="C431:F431"/>
    <mergeCell ref="H431:K431"/>
    <mergeCell ref="H432:J432"/>
    <mergeCell ref="C422:F423"/>
    <mergeCell ref="H422:N423"/>
    <mergeCell ref="C424:C425"/>
    <mergeCell ref="D424:D425"/>
    <mergeCell ref="E424:E425"/>
    <mergeCell ref="F424:F425"/>
    <mergeCell ref="I424:I425"/>
    <mergeCell ref="J424:J425"/>
    <mergeCell ref="K424:K425"/>
    <mergeCell ref="M424:M425"/>
    <mergeCell ref="C412:F412"/>
    <mergeCell ref="H412:K412"/>
    <mergeCell ref="H413:J413"/>
    <mergeCell ref="M406:N407"/>
    <mergeCell ref="C408:D408"/>
    <mergeCell ref="H408:I408"/>
    <mergeCell ref="D404:D405"/>
    <mergeCell ref="E404:E405"/>
    <mergeCell ref="F404:F405"/>
    <mergeCell ref="M409:N411"/>
    <mergeCell ref="H401:J401"/>
    <mergeCell ref="N404:N405"/>
    <mergeCell ref="M394:N395"/>
    <mergeCell ref="C396:D396"/>
    <mergeCell ref="H396:I396"/>
    <mergeCell ref="I404:I405"/>
    <mergeCell ref="J404:J405"/>
    <mergeCell ref="K404:K405"/>
    <mergeCell ref="M404:M405"/>
    <mergeCell ref="C404:C405"/>
    <mergeCell ref="E392:E393"/>
    <mergeCell ref="F392:F393"/>
    <mergeCell ref="M397:N399"/>
    <mergeCell ref="C400:F400"/>
    <mergeCell ref="H400:K400"/>
    <mergeCell ref="C388:F388"/>
    <mergeCell ref="H388:K388"/>
    <mergeCell ref="H389:J389"/>
    <mergeCell ref="N392:N393"/>
    <mergeCell ref="I392:I393"/>
    <mergeCell ref="J392:J393"/>
    <mergeCell ref="K392:K393"/>
    <mergeCell ref="M392:M393"/>
    <mergeCell ref="C392:C393"/>
    <mergeCell ref="D392:D393"/>
    <mergeCell ref="D380:D381"/>
    <mergeCell ref="E380:E381"/>
    <mergeCell ref="F380:F381"/>
    <mergeCell ref="M385:N387"/>
    <mergeCell ref="M382:N383"/>
    <mergeCell ref="C384:D384"/>
    <mergeCell ref="H384:I384"/>
    <mergeCell ref="H377:J377"/>
    <mergeCell ref="N380:N381"/>
    <mergeCell ref="M371:N372"/>
    <mergeCell ref="C373:D373"/>
    <mergeCell ref="H373:I373"/>
    <mergeCell ref="I380:I381"/>
    <mergeCell ref="J380:J381"/>
    <mergeCell ref="K380:K381"/>
    <mergeCell ref="M380:M381"/>
    <mergeCell ref="C380:C381"/>
    <mergeCell ref="E369:E370"/>
    <mergeCell ref="F369:F370"/>
    <mergeCell ref="M374:N375"/>
    <mergeCell ref="C376:F376"/>
    <mergeCell ref="H376:K376"/>
    <mergeCell ref="N369:N370"/>
    <mergeCell ref="M360:N361"/>
    <mergeCell ref="C362:D362"/>
    <mergeCell ref="H362:I362"/>
    <mergeCell ref="I369:I370"/>
    <mergeCell ref="J369:J370"/>
    <mergeCell ref="K369:K370"/>
    <mergeCell ref="M369:M370"/>
    <mergeCell ref="C369:C370"/>
    <mergeCell ref="D369:D370"/>
    <mergeCell ref="M363:N364"/>
    <mergeCell ref="C365:F365"/>
    <mergeCell ref="H365:K365"/>
    <mergeCell ref="H366:J366"/>
    <mergeCell ref="K358:K359"/>
    <mergeCell ref="M358:M359"/>
    <mergeCell ref="C358:C359"/>
    <mergeCell ref="D358:D359"/>
    <mergeCell ref="E358:E359"/>
    <mergeCell ref="F358:F359"/>
    <mergeCell ref="C351:D351"/>
    <mergeCell ref="H351:I351"/>
    <mergeCell ref="I358:I359"/>
    <mergeCell ref="J358:J359"/>
    <mergeCell ref="N358:N359"/>
    <mergeCell ref="M347:M348"/>
    <mergeCell ref="N347:N348"/>
    <mergeCell ref="M349:N350"/>
    <mergeCell ref="M352:N353"/>
    <mergeCell ref="C354:F354"/>
    <mergeCell ref="H354:K354"/>
    <mergeCell ref="H355:J355"/>
    <mergeCell ref="C343:F343"/>
    <mergeCell ref="H343:K343"/>
    <mergeCell ref="H344:J344"/>
    <mergeCell ref="C347:C348"/>
    <mergeCell ref="D347:D348"/>
    <mergeCell ref="E347:E348"/>
    <mergeCell ref="F347:F348"/>
    <mergeCell ref="I347:I348"/>
    <mergeCell ref="J347:J348"/>
    <mergeCell ref="K347:K348"/>
    <mergeCell ref="H334:N335"/>
    <mergeCell ref="C336:C337"/>
    <mergeCell ref="D336:D337"/>
    <mergeCell ref="E336:E337"/>
    <mergeCell ref="F336:F337"/>
    <mergeCell ref="I336:I337"/>
    <mergeCell ref="M338:N339"/>
    <mergeCell ref="C340:D340"/>
    <mergeCell ref="H340:I340"/>
    <mergeCell ref="M341:N342"/>
    <mergeCell ref="M318:N319"/>
    <mergeCell ref="C320:D320"/>
    <mergeCell ref="H320:I320"/>
    <mergeCell ref="J336:J337"/>
    <mergeCell ref="K336:K337"/>
    <mergeCell ref="M336:M337"/>
    <mergeCell ref="N336:N337"/>
    <mergeCell ref="E329:F329"/>
    <mergeCell ref="E333:F333"/>
    <mergeCell ref="C334:F335"/>
    <mergeCell ref="M322:N323"/>
    <mergeCell ref="C324:F324"/>
    <mergeCell ref="H324:K324"/>
    <mergeCell ref="H325:J325"/>
    <mergeCell ref="D316:D317"/>
    <mergeCell ref="E316:E317"/>
    <mergeCell ref="F316:F317"/>
    <mergeCell ref="A328:E328"/>
    <mergeCell ref="N316:N317"/>
    <mergeCell ref="N304:N305"/>
    <mergeCell ref="M306:N307"/>
    <mergeCell ref="C308:D308"/>
    <mergeCell ref="H308:I308"/>
    <mergeCell ref="I316:I317"/>
    <mergeCell ref="J316:J317"/>
    <mergeCell ref="K316:K317"/>
    <mergeCell ref="M316:M317"/>
    <mergeCell ref="C316:C317"/>
    <mergeCell ref="M310:N311"/>
    <mergeCell ref="C312:F312"/>
    <mergeCell ref="H312:K312"/>
    <mergeCell ref="H313:J313"/>
    <mergeCell ref="C302:F303"/>
    <mergeCell ref="H302:N303"/>
    <mergeCell ref="C304:C305"/>
    <mergeCell ref="D304:D305"/>
    <mergeCell ref="E304:E305"/>
    <mergeCell ref="F304:F305"/>
    <mergeCell ref="I304:I305"/>
    <mergeCell ref="J304:J305"/>
    <mergeCell ref="K304:K305"/>
    <mergeCell ref="M304:M305"/>
    <mergeCell ref="C290:F290"/>
    <mergeCell ref="H290:K290"/>
    <mergeCell ref="H291:J291"/>
    <mergeCell ref="M284:N285"/>
    <mergeCell ref="C286:D286"/>
    <mergeCell ref="H286:I286"/>
    <mergeCell ref="D282:D283"/>
    <mergeCell ref="E282:E283"/>
    <mergeCell ref="F282:F283"/>
    <mergeCell ref="M288:N289"/>
    <mergeCell ref="H279:J279"/>
    <mergeCell ref="N282:N283"/>
    <mergeCell ref="M272:N273"/>
    <mergeCell ref="C274:D274"/>
    <mergeCell ref="H274:I274"/>
    <mergeCell ref="I282:I283"/>
    <mergeCell ref="J282:J283"/>
    <mergeCell ref="K282:K283"/>
    <mergeCell ref="M282:M283"/>
    <mergeCell ref="C282:C283"/>
    <mergeCell ref="E270:E271"/>
    <mergeCell ref="F270:F271"/>
    <mergeCell ref="M276:N277"/>
    <mergeCell ref="C278:F278"/>
    <mergeCell ref="H278:K278"/>
    <mergeCell ref="C266:F266"/>
    <mergeCell ref="H266:K266"/>
    <mergeCell ref="H267:J267"/>
    <mergeCell ref="N270:N271"/>
    <mergeCell ref="I270:I271"/>
    <mergeCell ref="J270:J271"/>
    <mergeCell ref="K270:K271"/>
    <mergeCell ref="M270:M271"/>
    <mergeCell ref="C270:C271"/>
    <mergeCell ref="D270:D271"/>
    <mergeCell ref="D258:D259"/>
    <mergeCell ref="E258:E259"/>
    <mergeCell ref="F258:F259"/>
    <mergeCell ref="M264:N265"/>
    <mergeCell ref="M260:N261"/>
    <mergeCell ref="C262:D262"/>
    <mergeCell ref="H262:I262"/>
    <mergeCell ref="H255:J255"/>
    <mergeCell ref="N258:N259"/>
    <mergeCell ref="M248:N249"/>
    <mergeCell ref="C250:D250"/>
    <mergeCell ref="H250:I250"/>
    <mergeCell ref="I258:I259"/>
    <mergeCell ref="J258:J259"/>
    <mergeCell ref="K258:K259"/>
    <mergeCell ref="M258:M259"/>
    <mergeCell ref="C258:C259"/>
    <mergeCell ref="F246:F247"/>
    <mergeCell ref="M252:N253"/>
    <mergeCell ref="C254:F254"/>
    <mergeCell ref="H254:K254"/>
    <mergeCell ref="N246:N247"/>
    <mergeCell ref="C244:F245"/>
    <mergeCell ref="H244:N245"/>
    <mergeCell ref="I246:I247"/>
    <mergeCell ref="J246:J247"/>
    <mergeCell ref="K246:K247"/>
    <mergeCell ref="M246:M247"/>
    <mergeCell ref="C246:C247"/>
    <mergeCell ref="D246:D247"/>
    <mergeCell ref="E246:E247"/>
    <mergeCell ref="M232:N233"/>
    <mergeCell ref="C234:F234"/>
    <mergeCell ref="H234:K234"/>
    <mergeCell ref="H235:J235"/>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M192:N193"/>
    <mergeCell ref="C194:D194"/>
    <mergeCell ref="H194:I194"/>
    <mergeCell ref="C186:F186"/>
    <mergeCell ref="H186:K186"/>
    <mergeCell ref="H187:J187"/>
    <mergeCell ref="C190:C191"/>
    <mergeCell ref="D190:D191"/>
    <mergeCell ref="K190:K191"/>
    <mergeCell ref="M180:N181"/>
    <mergeCell ref="M190:M191"/>
    <mergeCell ref="N190:N191"/>
    <mergeCell ref="E190:E191"/>
    <mergeCell ref="F190:F191"/>
    <mergeCell ref="I190:I191"/>
    <mergeCell ref="J190:J191"/>
    <mergeCell ref="M184:N185"/>
    <mergeCell ref="H176:N177"/>
    <mergeCell ref="C178:C179"/>
    <mergeCell ref="D178:D179"/>
    <mergeCell ref="E178:E179"/>
    <mergeCell ref="F178:F179"/>
    <mergeCell ref="I178:I179"/>
    <mergeCell ref="J178:J179"/>
    <mergeCell ref="C164:F164"/>
    <mergeCell ref="H164:K164"/>
    <mergeCell ref="H165:J165"/>
    <mergeCell ref="C182:D182"/>
    <mergeCell ref="H182:I182"/>
    <mergeCell ref="K178:K179"/>
    <mergeCell ref="M178:M179"/>
    <mergeCell ref="N178:N179"/>
    <mergeCell ref="M161:N163"/>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F120:F121"/>
    <mergeCell ref="M114:N115"/>
    <mergeCell ref="C116:F116"/>
    <mergeCell ref="H116:K116"/>
    <mergeCell ref="H117:J117"/>
    <mergeCell ref="N120:N121"/>
    <mergeCell ref="M111:N112"/>
    <mergeCell ref="C113:D113"/>
    <mergeCell ref="H113:I113"/>
    <mergeCell ref="I109:I110"/>
    <mergeCell ref="J109:J110"/>
    <mergeCell ref="K109:K110"/>
    <mergeCell ref="M109:M110"/>
    <mergeCell ref="C109:C110"/>
    <mergeCell ref="D109:D110"/>
    <mergeCell ref="E109:E110"/>
    <mergeCell ref="F109:F110"/>
    <mergeCell ref="C107:F108"/>
    <mergeCell ref="N109:N110"/>
    <mergeCell ref="H107:N108"/>
    <mergeCell ref="M94:N96"/>
    <mergeCell ref="C97:F97"/>
    <mergeCell ref="H97:K97"/>
    <mergeCell ref="H98:J98"/>
    <mergeCell ref="C77:C78"/>
    <mergeCell ref="D77:D78"/>
    <mergeCell ref="E77:E78"/>
    <mergeCell ref="F77:F78"/>
    <mergeCell ref="M91:N92"/>
    <mergeCell ref="C93:D93"/>
    <mergeCell ref="H93:I93"/>
    <mergeCell ref="I89:I90"/>
    <mergeCell ref="J89:J90"/>
    <mergeCell ref="K89:K90"/>
    <mergeCell ref="M89:M90"/>
    <mergeCell ref="C89:C90"/>
    <mergeCell ref="D89:D90"/>
    <mergeCell ref="F89:F90"/>
    <mergeCell ref="N89:N90"/>
    <mergeCell ref="M79:N80"/>
    <mergeCell ref="C81:D81"/>
    <mergeCell ref="H81:I81"/>
    <mergeCell ref="M82:N84"/>
    <mergeCell ref="C85:F85"/>
    <mergeCell ref="H85:K85"/>
    <mergeCell ref="H86:J86"/>
    <mergeCell ref="E89:E90"/>
    <mergeCell ref="N77:N78"/>
    <mergeCell ref="M67:N68"/>
    <mergeCell ref="M77:M78"/>
    <mergeCell ref="D65:D66"/>
    <mergeCell ref="E65:E66"/>
    <mergeCell ref="H74:J74"/>
    <mergeCell ref="I77:I78"/>
    <mergeCell ref="J77:J78"/>
    <mergeCell ref="K77:K78"/>
    <mergeCell ref="C69:D69"/>
    <mergeCell ref="M70:N72"/>
    <mergeCell ref="C73:F73"/>
    <mergeCell ref="H73:K73"/>
    <mergeCell ref="K65:K66"/>
    <mergeCell ref="M65:M66"/>
    <mergeCell ref="H69:I69"/>
    <mergeCell ref="C65:C66"/>
    <mergeCell ref="F65:F66"/>
    <mergeCell ref="M59:N60"/>
    <mergeCell ref="C61:F61"/>
    <mergeCell ref="H61:K61"/>
    <mergeCell ref="H62:J62"/>
    <mergeCell ref="N65:N66"/>
    <mergeCell ref="I65:I66"/>
    <mergeCell ref="J65:J66"/>
    <mergeCell ref="M56:N57"/>
    <mergeCell ref="C58:D58"/>
    <mergeCell ref="H58:I58"/>
    <mergeCell ref="I54:I55"/>
    <mergeCell ref="J54:J55"/>
    <mergeCell ref="K54:K55"/>
    <mergeCell ref="M54:M55"/>
    <mergeCell ref="C54:C55"/>
    <mergeCell ref="D54:D55"/>
    <mergeCell ref="E54:E55"/>
    <mergeCell ref="F54:F55"/>
    <mergeCell ref="M48:N49"/>
    <mergeCell ref="C50:F50"/>
    <mergeCell ref="H50:K50"/>
    <mergeCell ref="H51:J51"/>
    <mergeCell ref="N54:N55"/>
    <mergeCell ref="M45:N46"/>
    <mergeCell ref="C47:D47"/>
    <mergeCell ref="H47:I47"/>
    <mergeCell ref="I43:I44"/>
    <mergeCell ref="J43:J44"/>
    <mergeCell ref="K43:K44"/>
    <mergeCell ref="M43:M44"/>
    <mergeCell ref="C43:C44"/>
    <mergeCell ref="D43:D44"/>
    <mergeCell ref="E43:E44"/>
    <mergeCell ref="F43:F44"/>
    <mergeCell ref="M37:N38"/>
    <mergeCell ref="C39:F39"/>
    <mergeCell ref="H39:K39"/>
    <mergeCell ref="H40:J40"/>
    <mergeCell ref="N43:N44"/>
    <mergeCell ref="M34:N35"/>
    <mergeCell ref="C36:D36"/>
    <mergeCell ref="H36:I36"/>
    <mergeCell ref="H29:J29"/>
    <mergeCell ref="M26:N27"/>
    <mergeCell ref="C32:C33"/>
    <mergeCell ref="D32:D33"/>
    <mergeCell ref="E32:E33"/>
    <mergeCell ref="F32:F33"/>
    <mergeCell ref="I32:I33"/>
    <mergeCell ref="J32:J33"/>
    <mergeCell ref="K32:K33"/>
    <mergeCell ref="M32:M33"/>
    <mergeCell ref="N32:N33"/>
    <mergeCell ref="H19:N20"/>
    <mergeCell ref="H25:I25"/>
    <mergeCell ref="C28:F28"/>
    <mergeCell ref="I21:I22"/>
    <mergeCell ref="J21:J22"/>
    <mergeCell ref="K21:K22"/>
    <mergeCell ref="M21:M22"/>
    <mergeCell ref="N21:N22"/>
    <mergeCell ref="H28:K28"/>
    <mergeCell ref="M23:N24"/>
    <mergeCell ref="E18:F18"/>
    <mergeCell ref="E14:F14"/>
    <mergeCell ref="E2:F2"/>
    <mergeCell ref="C176:F177"/>
    <mergeCell ref="C19:F20"/>
    <mergeCell ref="D21:D22"/>
    <mergeCell ref="E21:E22"/>
    <mergeCell ref="F21:F22"/>
    <mergeCell ref="C21:C22"/>
    <mergeCell ref="C25:D25"/>
    <mergeCell ref="A1:N1"/>
    <mergeCell ref="E8:F8"/>
    <mergeCell ref="A8:D8"/>
    <mergeCell ref="A9:E9"/>
    <mergeCell ref="A7:F7"/>
    <mergeCell ref="A4:E4"/>
    <mergeCell ref="A5:E5"/>
    <mergeCell ref="A6:E6"/>
    <mergeCell ref="G4:H4"/>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16.xml><?xml version="1.0" encoding="utf-8"?>
<worksheet xmlns="http://schemas.openxmlformats.org/spreadsheetml/2006/main" xmlns:r="http://schemas.openxmlformats.org/officeDocument/2006/relationships">
  <dimension ref="B3:N36"/>
  <sheetViews>
    <sheetView showGridLines="0" zoomScalePageLayoutView="0" workbookViewId="0" topLeftCell="D1">
      <selection activeCell="N6" sqref="N6:N25"/>
    </sheetView>
  </sheetViews>
  <sheetFormatPr defaultColWidth="9.140625" defaultRowHeight="12.75"/>
  <cols>
    <col min="1" max="1" width="9.140625" style="595" customWidth="1"/>
    <col min="2" max="2" width="12.140625" style="596" customWidth="1"/>
    <col min="3" max="3" width="23.421875" style="595" customWidth="1"/>
    <col min="4" max="4" width="12.421875" style="595" customWidth="1"/>
    <col min="5" max="5" width="13.00390625" style="595" customWidth="1"/>
    <col min="6" max="7" width="12.28125" style="595" customWidth="1"/>
    <col min="8" max="16384" width="9.140625" style="595" customWidth="1"/>
  </cols>
  <sheetData>
    <row r="2" ht="13.5" thickBot="1"/>
    <row r="3" spans="2:7" ht="12.75">
      <c r="B3" s="597" t="s">
        <v>286</v>
      </c>
      <c r="C3" s="598" t="s">
        <v>287</v>
      </c>
      <c r="D3" s="734" t="s">
        <v>303</v>
      </c>
      <c r="E3" s="734"/>
      <c r="F3" s="734" t="s">
        <v>305</v>
      </c>
      <c r="G3" s="735"/>
    </row>
    <row r="4" spans="2:7" ht="12.75">
      <c r="B4" s="628"/>
      <c r="C4" s="629"/>
      <c r="D4" s="736" t="s">
        <v>304</v>
      </c>
      <c r="E4" s="737"/>
      <c r="F4" s="736" t="s">
        <v>306</v>
      </c>
      <c r="G4" s="738"/>
    </row>
    <row r="5" spans="2:7" ht="12.75">
      <c r="B5" s="599"/>
      <c r="C5" s="600"/>
      <c r="D5" s="601" t="s">
        <v>288</v>
      </c>
      <c r="E5" s="602" t="s">
        <v>289</v>
      </c>
      <c r="F5" s="601" t="s">
        <v>288</v>
      </c>
      <c r="G5" s="603" t="s">
        <v>289</v>
      </c>
    </row>
    <row r="6" spans="2:14" ht="12.75">
      <c r="B6" s="604" t="s">
        <v>302</v>
      </c>
      <c r="C6" s="605"/>
      <c r="D6" s="605"/>
      <c r="E6" s="605"/>
      <c r="F6" s="605"/>
      <c r="G6" s="606"/>
      <c r="N6" s="631"/>
    </row>
    <row r="7" spans="2:14" ht="12.75">
      <c r="B7" s="607"/>
      <c r="C7" s="608">
        <v>100</v>
      </c>
      <c r="D7" s="609">
        <f>'13. Bill Impact'!M29</f>
        <v>-0.6926139003281335</v>
      </c>
      <c r="E7" s="610">
        <f>'13. Bill Impact'!N29</f>
        <v>-0.035167992378984735</v>
      </c>
      <c r="F7" s="609"/>
      <c r="G7" s="611"/>
      <c r="N7" s="632"/>
    </row>
    <row r="8" spans="2:14" ht="12.75">
      <c r="B8" s="612"/>
      <c r="C8" s="608">
        <v>250</v>
      </c>
      <c r="D8" s="609">
        <f>'13. Bill Impact'!M40</f>
        <v>-0.45571139977939623</v>
      </c>
      <c r="E8" s="610">
        <f>'13. Bill Impact'!N40</f>
        <v>-0.013914385016419471</v>
      </c>
      <c r="F8" s="609"/>
      <c r="G8" s="611"/>
      <c r="N8" s="632"/>
    </row>
    <row r="9" spans="2:14" ht="12.75">
      <c r="B9" s="612"/>
      <c r="C9" s="608">
        <v>500</v>
      </c>
      <c r="D9" s="609">
        <f>'13. Bill Impact'!M51</f>
        <v>-0.06087389886484118</v>
      </c>
      <c r="E9" s="610">
        <f>'13. Bill Impact'!N51</f>
        <v>-0.0011167023404992896</v>
      </c>
      <c r="F9" s="609"/>
      <c r="G9" s="611"/>
      <c r="N9" s="631"/>
    </row>
    <row r="10" spans="2:14" ht="12.75">
      <c r="B10" s="612"/>
      <c r="C10" s="608">
        <v>750</v>
      </c>
      <c r="D10" s="609">
        <f>'13. Bill Impact'!M62</f>
        <v>0.33396360204970676</v>
      </c>
      <c r="E10" s="610">
        <f>'13. Bill Impact'!N62</f>
        <v>0.004378512749853191</v>
      </c>
      <c r="F10" s="609"/>
      <c r="G10" s="611"/>
      <c r="N10" s="632"/>
    </row>
    <row r="11" spans="2:14" ht="12.75">
      <c r="B11" s="612"/>
      <c r="C11" s="608">
        <v>1000</v>
      </c>
      <c r="D11" s="609">
        <f>'13. Bill Impact'!M74</f>
        <v>0.7288011029642689</v>
      </c>
      <c r="E11" s="610">
        <f>'13. Bill Impact'!N74</f>
        <v>0.007285505136983084</v>
      </c>
      <c r="F11" s="609"/>
      <c r="G11" s="611"/>
      <c r="N11" s="632"/>
    </row>
    <row r="12" spans="2:14" ht="12.75">
      <c r="B12" s="612"/>
      <c r="C12" s="608">
        <v>1500</v>
      </c>
      <c r="D12" s="609">
        <f>'13. Bill Impact'!M86</f>
        <v>1.5184761047933932</v>
      </c>
      <c r="E12" s="610">
        <f>'13. Bill Impact'!N86</f>
        <v>0.010290804835759561</v>
      </c>
      <c r="F12" s="609"/>
      <c r="G12" s="611"/>
      <c r="N12" s="631"/>
    </row>
    <row r="13" spans="2:14" ht="12.75">
      <c r="B13" s="612"/>
      <c r="C13" s="608">
        <v>2000</v>
      </c>
      <c r="D13" s="609">
        <f>'13. Bill Impact'!M98</f>
        <v>2.308151106622489</v>
      </c>
      <c r="E13" s="610">
        <f>'13. Bill Impact'!N98</f>
        <v>0.011831891578788927</v>
      </c>
      <c r="F13" s="609"/>
      <c r="G13" s="611"/>
      <c r="N13" s="632"/>
    </row>
    <row r="14" spans="2:14" ht="12.75">
      <c r="B14" s="612"/>
      <c r="C14" s="613"/>
      <c r="D14" s="614"/>
      <c r="E14" s="615"/>
      <c r="F14" s="614"/>
      <c r="G14" s="616"/>
      <c r="N14" s="632"/>
    </row>
    <row r="15" spans="2:14" ht="12.75">
      <c r="B15" s="604" t="s">
        <v>290</v>
      </c>
      <c r="C15" s="605"/>
      <c r="D15" s="605"/>
      <c r="E15" s="605"/>
      <c r="F15" s="605"/>
      <c r="G15" s="606"/>
      <c r="N15" s="631"/>
    </row>
    <row r="16" spans="2:14" ht="12.75">
      <c r="B16" s="612"/>
      <c r="C16" s="617">
        <v>1000</v>
      </c>
      <c r="D16" s="609">
        <f>'13. Bill Impact'!M117</f>
        <v>-0.4388721805774338</v>
      </c>
      <c r="E16" s="610">
        <f>'13. Bill Impact'!N117</f>
        <v>-0.004387048928116884</v>
      </c>
      <c r="F16" s="609"/>
      <c r="G16" s="611"/>
      <c r="N16" s="632"/>
    </row>
    <row r="17" spans="2:14" ht="12.75">
      <c r="B17" s="612"/>
      <c r="C17" s="617">
        <v>2000</v>
      </c>
      <c r="D17" s="609">
        <f>'13. Bill Impact'!M129</f>
        <v>0.36642393921098915</v>
      </c>
      <c r="E17" s="610">
        <f>'13. Bill Impact'!N129</f>
        <v>0.0018633658787323504</v>
      </c>
      <c r="F17" s="609"/>
      <c r="G17" s="611"/>
      <c r="N17" s="632"/>
    </row>
    <row r="18" spans="2:14" ht="12.75">
      <c r="B18" s="612"/>
      <c r="C18" s="617">
        <v>5000</v>
      </c>
      <c r="D18" s="609">
        <f>'13. Bill Impact'!M141</f>
        <v>2.7823122985763575</v>
      </c>
      <c r="E18" s="610">
        <f>'13. Bill Impact'!N141</f>
        <v>0.0057908058177594595</v>
      </c>
      <c r="F18" s="609"/>
      <c r="G18" s="611"/>
      <c r="N18" s="631"/>
    </row>
    <row r="19" spans="2:14" ht="12.75">
      <c r="B19" s="612"/>
      <c r="C19" s="617">
        <v>10000</v>
      </c>
      <c r="D19" s="609">
        <f>'13. Bill Impact'!M153</f>
        <v>6.808792897518515</v>
      </c>
      <c r="E19" s="610">
        <f>'13. Bill Impact'!N153</f>
        <v>0.007140757263622482</v>
      </c>
      <c r="F19" s="609"/>
      <c r="G19" s="611"/>
      <c r="N19" s="632"/>
    </row>
    <row r="20" spans="2:14" ht="12.75">
      <c r="B20" s="612"/>
      <c r="C20" s="617">
        <v>15000</v>
      </c>
      <c r="D20" s="609">
        <f>'13. Bill Impact'!M165</f>
        <v>10.835273496460786</v>
      </c>
      <c r="E20" s="610">
        <f>'13. Bill Impact'!N165</f>
        <v>0.007595428436662244</v>
      </c>
      <c r="F20" s="609"/>
      <c r="G20" s="611"/>
      <c r="N20" s="632"/>
    </row>
    <row r="21" spans="2:14" ht="12.75">
      <c r="B21" s="612"/>
      <c r="C21" s="613"/>
      <c r="D21" s="609"/>
      <c r="E21" s="610"/>
      <c r="F21" s="609"/>
      <c r="G21" s="611"/>
      <c r="N21" s="631"/>
    </row>
    <row r="22" spans="2:14" ht="12.75">
      <c r="B22" s="604" t="s">
        <v>291</v>
      </c>
      <c r="C22" s="605"/>
      <c r="D22" s="618"/>
      <c r="E22" s="619"/>
      <c r="F22" s="618"/>
      <c r="G22" s="620"/>
      <c r="N22" s="632"/>
    </row>
    <row r="23" spans="2:14" ht="12.75">
      <c r="B23" s="612"/>
      <c r="C23" s="613" t="s">
        <v>292</v>
      </c>
      <c r="D23" s="609">
        <f>'13. Bill Impact'!M187</f>
        <v>-27.527302229812676</v>
      </c>
      <c r="E23" s="610">
        <f>'13. Bill Impact'!N187</f>
        <v>-0.034377626676311335</v>
      </c>
      <c r="F23" s="609"/>
      <c r="G23" s="611"/>
      <c r="I23" s="621"/>
      <c r="N23" s="632"/>
    </row>
    <row r="24" spans="2:14" ht="12.75">
      <c r="B24" s="607"/>
      <c r="C24" s="613" t="s">
        <v>293</v>
      </c>
      <c r="D24" s="609">
        <f>'13. Bill Impact'!M199</f>
        <v>-43.74596501763881</v>
      </c>
      <c r="E24" s="610">
        <f>'13. Bill Impact'!N199</f>
        <v>-0.011994380300319232</v>
      </c>
      <c r="F24" s="609"/>
      <c r="G24" s="611"/>
      <c r="I24" s="621"/>
      <c r="N24" s="631"/>
    </row>
    <row r="25" spans="2:14" ht="12.75">
      <c r="B25" s="607"/>
      <c r="C25" s="613" t="s">
        <v>294</v>
      </c>
      <c r="D25" s="609">
        <f>'13. Bill Impact'!M211</f>
        <v>-205.93259289590242</v>
      </c>
      <c r="E25" s="610">
        <f>'13. Bill Impact'!N211</f>
        <v>-0.018197671409784254</v>
      </c>
      <c r="F25" s="609"/>
      <c r="G25" s="611"/>
      <c r="I25" s="621"/>
      <c r="N25" s="632"/>
    </row>
    <row r="26" spans="2:9" ht="12.75">
      <c r="B26" s="607"/>
      <c r="C26" s="613" t="s">
        <v>295</v>
      </c>
      <c r="D26" s="609">
        <f>'13. Bill Impact'!M223</f>
        <v>-408.665877743726</v>
      </c>
      <c r="E26" s="610">
        <f>'13. Bill Impact'!N223</f>
        <v>-0.011274178714349067</v>
      </c>
      <c r="F26" s="609"/>
      <c r="G26" s="611"/>
      <c r="I26" s="621"/>
    </row>
    <row r="27" spans="2:10" ht="12.75">
      <c r="B27" s="607"/>
      <c r="C27" s="613" t="s">
        <v>296</v>
      </c>
      <c r="D27" s="609">
        <f>'13. Bill Impact'!M235</f>
        <v>-1219.5990171350422</v>
      </c>
      <c r="E27" s="610">
        <f>'13. Bill Impact'!N235</f>
        <v>-0.012830584053627601</v>
      </c>
      <c r="F27" s="609"/>
      <c r="G27" s="611"/>
      <c r="J27" s="622"/>
    </row>
    <row r="28" spans="2:7" ht="12.75">
      <c r="B28" s="612"/>
      <c r="C28" s="613"/>
      <c r="D28" s="614"/>
      <c r="E28" s="615"/>
      <c r="F28" s="614"/>
      <c r="G28" s="616"/>
    </row>
    <row r="29" spans="2:7" ht="12.75">
      <c r="B29" s="604" t="s">
        <v>297</v>
      </c>
      <c r="C29" s="605"/>
      <c r="D29" s="605"/>
      <c r="E29" s="605"/>
      <c r="F29" s="605"/>
      <c r="G29" s="606"/>
    </row>
    <row r="30" spans="2:8" ht="12.75">
      <c r="B30" s="612"/>
      <c r="C30" s="613" t="s">
        <v>298</v>
      </c>
      <c r="D30" s="609">
        <f>'13. Bill Impact'!M255</f>
        <v>-532.1401730639482</v>
      </c>
      <c r="E30" s="610">
        <f>'13. Bill Impact'!N255</f>
        <v>-0.007552228967884349</v>
      </c>
      <c r="F30" s="609"/>
      <c r="G30" s="611"/>
      <c r="H30" s="621"/>
    </row>
    <row r="31" spans="2:9" ht="12.75">
      <c r="B31" s="607"/>
      <c r="C31" s="613" t="s">
        <v>299</v>
      </c>
      <c r="D31" s="609">
        <f>'13. Bill Impact'!M267</f>
        <v>-532.1401730639482</v>
      </c>
      <c r="E31" s="610">
        <f>'13. Bill Impact'!N267</f>
        <v>-0.006327368542093957</v>
      </c>
      <c r="F31" s="609"/>
      <c r="G31" s="611"/>
      <c r="I31" s="621"/>
    </row>
    <row r="32" spans="2:9" ht="12.75">
      <c r="B32" s="607"/>
      <c r="C32" s="613" t="s">
        <v>300</v>
      </c>
      <c r="D32" s="609">
        <f>'13. Bill Impact'!M279</f>
        <v>-708.8300314753578</v>
      </c>
      <c r="E32" s="610">
        <f>'13. Bill Impact'!N279</f>
        <v>-0.006879945299330533</v>
      </c>
      <c r="F32" s="609"/>
      <c r="G32" s="611"/>
      <c r="I32" s="621"/>
    </row>
    <row r="33" spans="2:9" ht="12.75">
      <c r="B33" s="607"/>
      <c r="C33" s="613" t="s">
        <v>301</v>
      </c>
      <c r="D33" s="609">
        <f>'13. Bill Impact'!M291</f>
        <v>-708.8300314753433</v>
      </c>
      <c r="E33" s="610">
        <f>'13. Bill Impact'!N291</f>
        <v>-0.0049241939091201215</v>
      </c>
      <c r="F33" s="609"/>
      <c r="G33" s="611"/>
      <c r="I33" s="621"/>
    </row>
    <row r="34" spans="2:7" ht="12.75">
      <c r="B34" s="604" t="s">
        <v>307</v>
      </c>
      <c r="C34" s="605"/>
      <c r="D34" s="605"/>
      <c r="E34" s="605"/>
      <c r="F34" s="605"/>
      <c r="G34" s="606"/>
    </row>
    <row r="35" spans="2:8" ht="12.75">
      <c r="B35" s="612"/>
      <c r="C35" s="613" t="s">
        <v>308</v>
      </c>
      <c r="D35" s="609">
        <f>'13. Bill Impact'!M313</f>
        <v>-5037.77775038479</v>
      </c>
      <c r="E35" s="610">
        <f>'13. Bill Impact'!N313</f>
        <v>-0.025218457200186988</v>
      </c>
      <c r="F35" s="609"/>
      <c r="G35" s="611"/>
      <c r="H35" s="621"/>
    </row>
    <row r="36" spans="2:9" ht="13.5" thickBot="1">
      <c r="B36" s="623"/>
      <c r="C36" s="624" t="s">
        <v>309</v>
      </c>
      <c r="D36" s="625">
        <f>'13. Bill Impact'!M325</f>
        <v>-12527.22040128999</v>
      </c>
      <c r="E36" s="626">
        <f>'13. Bill Impact'!N325</f>
        <v>-0.017802522948783848</v>
      </c>
      <c r="F36" s="625"/>
      <c r="G36" s="627"/>
      <c r="I36" s="621"/>
    </row>
  </sheetData>
  <sheetProtection/>
  <mergeCells count="4">
    <mergeCell ref="D3:E3"/>
    <mergeCell ref="F3:G3"/>
    <mergeCell ref="D4:E4"/>
    <mergeCell ref="F4:G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1"/>
  <sheetViews>
    <sheetView zoomScale="75" zoomScaleNormal="75" zoomScalePageLayoutView="0" workbookViewId="0" topLeftCell="A1">
      <pane ySplit="1" topLeftCell="BM8" activePane="bottomLeft" state="frozen"/>
      <selection pane="topLeft" activeCell="A1" sqref="A1"/>
      <selection pane="bottomLeft" activeCell="D83" sqref="D83"/>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116</v>
      </c>
      <c r="D1" s="10"/>
    </row>
    <row r="2" ht="13.5" thickBot="1"/>
    <row r="3" spans="1:6" ht="15.75">
      <c r="A3" s="300" t="str">
        <f>"Name of Utility:      "&amp;'Info Sheet'!B4</f>
        <v>Name of Utility:      Brant County Power</v>
      </c>
      <c r="B3" s="301"/>
      <c r="C3" s="171"/>
      <c r="D3" s="455" t="str">
        <f>'Info Sheet'!B21</f>
        <v>2005.V1.0</v>
      </c>
      <c r="E3" s="36"/>
      <c r="F3" s="14"/>
    </row>
    <row r="4" spans="1:6" ht="18">
      <c r="A4" s="302" t="str">
        <f>"License Number:   "&amp;'Info Sheet'!B6</f>
        <v>License Number:   ED 1999-0191</v>
      </c>
      <c r="B4" s="27"/>
      <c r="C4" s="390"/>
      <c r="D4" s="394" t="str">
        <f>'Info Sheet'!B8</f>
        <v>RP-2005-0013</v>
      </c>
      <c r="E4" s="36"/>
      <c r="F4" s="14"/>
    </row>
    <row r="5" spans="1:4" ht="15.75">
      <c r="A5" s="650" t="str">
        <f>"Name of Contact:  "&amp;'Info Sheet'!B12</f>
        <v>Name of Contact:  Grant Brooker</v>
      </c>
      <c r="B5" s="651"/>
      <c r="C5" s="651"/>
      <c r="D5" s="394" t="str">
        <f>'Info Sheet'!B10</f>
        <v>EB-2005-0009</v>
      </c>
    </row>
    <row r="6" spans="1:4" ht="18">
      <c r="A6" s="303" t="str">
        <f>"E- Mail Address:    "&amp;'Info Sheet'!B14</f>
        <v>E- Mail Address:    gbrooker@brantcountypower.com</v>
      </c>
      <c r="B6" s="27"/>
      <c r="C6" s="391"/>
      <c r="D6" s="100"/>
    </row>
    <row r="7" spans="1:4" ht="15.75">
      <c r="A7" s="302" t="str">
        <f>"Phone Number:     "&amp;'Info Sheet'!B16</f>
        <v>Phone Number:     519 442 2215</v>
      </c>
      <c r="B7" s="652" t="str">
        <f>'Info Sheet'!$C$16&amp;" "&amp;'Info Sheet'!$D$16</f>
        <v>Extension: 734</v>
      </c>
      <c r="C7" s="652"/>
      <c r="D7" s="100"/>
    </row>
    <row r="8" spans="1:4" ht="16.5" thickBot="1">
      <c r="A8" s="304" t="str">
        <f>"Date:                      "&amp;('Info Sheet'!B18)</f>
        <v>Date:                      January 17, 2005</v>
      </c>
      <c r="B8" s="305"/>
      <c r="C8" s="392"/>
      <c r="D8" s="150"/>
    </row>
    <row r="9" spans="1:3" ht="15.75">
      <c r="A9" s="28"/>
      <c r="B9" s="29"/>
      <c r="C9" s="27"/>
    </row>
    <row r="10" spans="1:5" ht="16.5" customHeight="1">
      <c r="A10" s="309" t="s">
        <v>119</v>
      </c>
      <c r="B10" s="35"/>
      <c r="C10" s="40"/>
      <c r="D10" s="310"/>
      <c r="E10" s="35"/>
    </row>
    <row r="11" spans="1:5" ht="16.5" customHeight="1">
      <c r="A11" s="649" t="s">
        <v>206</v>
      </c>
      <c r="B11" s="649"/>
      <c r="C11" s="649"/>
      <c r="D11" s="649"/>
      <c r="E11" s="649"/>
    </row>
    <row r="12" spans="1:5" ht="14.25" customHeight="1">
      <c r="A12" s="649"/>
      <c r="B12" s="649"/>
      <c r="C12" s="649"/>
      <c r="D12" s="649"/>
      <c r="E12" s="649"/>
    </row>
    <row r="13" ht="13.5" customHeight="1"/>
    <row r="14" ht="15">
      <c r="A14" s="312" t="s">
        <v>198</v>
      </c>
    </row>
    <row r="15" spans="2:4" ht="15" customHeight="1">
      <c r="B15" s="39"/>
      <c r="C15" s="40"/>
      <c r="D15" s="310"/>
    </row>
    <row r="16" spans="2:6" ht="12.75">
      <c r="B16" s="14"/>
      <c r="C16" s="14"/>
      <c r="D16" s="14"/>
      <c r="E16" s="14"/>
      <c r="F16" s="14"/>
    </row>
    <row r="17" spans="1:7" ht="18">
      <c r="A17" s="55" t="s">
        <v>215</v>
      </c>
      <c r="B17" s="52"/>
      <c r="C17" s="53"/>
      <c r="E17" s="15"/>
      <c r="G17" s="15"/>
    </row>
    <row r="18" spans="2:7" ht="12.75">
      <c r="B18" s="15"/>
      <c r="C18" s="15"/>
      <c r="D18" s="49"/>
      <c r="E18" s="15"/>
      <c r="F18" s="15"/>
      <c r="G18" s="15"/>
    </row>
    <row r="19" spans="1:7" ht="12.75">
      <c r="A19" s="109" t="s">
        <v>67</v>
      </c>
      <c r="B19" s="109"/>
      <c r="C19" s="110"/>
      <c r="D19" s="111">
        <v>0.011124937252803143</v>
      </c>
      <c r="E19" s="15"/>
      <c r="F19" s="15"/>
      <c r="G19" s="15"/>
    </row>
    <row r="20" spans="1:7" ht="12.75">
      <c r="A20" s="112"/>
      <c r="B20" s="112"/>
      <c r="C20" s="113"/>
      <c r="D20" s="113"/>
      <c r="E20" s="15"/>
      <c r="F20" s="15"/>
      <c r="G20" s="15"/>
    </row>
    <row r="21" spans="1:7" ht="12.75">
      <c r="A21" s="109" t="s">
        <v>68</v>
      </c>
      <c r="B21" s="109"/>
      <c r="C21" s="110"/>
      <c r="D21" s="114">
        <v>9.151489687513294</v>
      </c>
      <c r="E21" s="15"/>
      <c r="F21" s="15"/>
      <c r="G21" s="15"/>
    </row>
    <row r="22" spans="3:7" ht="12.75">
      <c r="C22" s="15"/>
      <c r="D22" s="15"/>
      <c r="E22" s="15"/>
      <c r="F22" s="15"/>
      <c r="G22" s="15"/>
    </row>
    <row r="23" spans="3:7" ht="12.75">
      <c r="C23" s="15"/>
      <c r="D23" s="15"/>
      <c r="E23" s="15"/>
      <c r="F23" s="15"/>
      <c r="G23" s="15"/>
    </row>
    <row r="24" spans="1:7" ht="18">
      <c r="A24" s="55" t="s">
        <v>2</v>
      </c>
      <c r="C24" s="53"/>
      <c r="D24" s="52"/>
      <c r="E24" s="15"/>
      <c r="F24" s="15"/>
      <c r="G24" s="15"/>
    </row>
    <row r="25" spans="3:7" ht="12.75">
      <c r="C25" s="15"/>
      <c r="D25" s="15"/>
      <c r="E25" s="15"/>
      <c r="F25" s="15"/>
      <c r="G25" s="15"/>
    </row>
    <row r="26" spans="1:7" ht="12.75">
      <c r="A26" s="109" t="s">
        <v>67</v>
      </c>
      <c r="B26" s="109"/>
      <c r="C26" s="110"/>
      <c r="D26" s="111"/>
      <c r="E26" s="15"/>
      <c r="F26" s="15"/>
      <c r="G26" s="15"/>
    </row>
    <row r="27" spans="1:7" ht="12.75">
      <c r="A27" s="112"/>
      <c r="B27" s="112"/>
      <c r="C27" s="113"/>
      <c r="D27" s="113"/>
      <c r="E27" s="15"/>
      <c r="F27" s="15"/>
      <c r="G27" s="15"/>
    </row>
    <row r="28" spans="1:7" ht="12.75">
      <c r="A28" s="109" t="s">
        <v>68</v>
      </c>
      <c r="B28" s="109"/>
      <c r="C28" s="110"/>
      <c r="D28" s="114"/>
      <c r="E28" s="15"/>
      <c r="F28" s="15"/>
      <c r="G28" s="15"/>
    </row>
    <row r="29" spans="3:7" ht="12.75">
      <c r="C29" s="15"/>
      <c r="D29" s="49"/>
      <c r="E29" s="15"/>
      <c r="F29" s="15"/>
      <c r="G29" s="15"/>
    </row>
    <row r="30" spans="3:7" ht="12.75">
      <c r="C30" s="15"/>
      <c r="D30" s="15"/>
      <c r="E30" s="15"/>
      <c r="F30" s="15"/>
      <c r="G30" s="15"/>
    </row>
    <row r="31" spans="1:7" ht="18">
      <c r="A31" s="55" t="s">
        <v>220</v>
      </c>
      <c r="C31" s="53"/>
      <c r="D31" s="52"/>
      <c r="E31" s="15"/>
      <c r="F31" s="15"/>
      <c r="G31" s="15"/>
    </row>
    <row r="32" spans="3:7" ht="12.75">
      <c r="C32" s="15"/>
      <c r="D32" s="15"/>
      <c r="E32" s="15"/>
      <c r="F32" s="15"/>
      <c r="G32" s="15"/>
    </row>
    <row r="33" spans="1:7" ht="12.75">
      <c r="A33" s="109" t="s">
        <v>67</v>
      </c>
      <c r="B33" s="34"/>
      <c r="C33" s="23"/>
      <c r="D33" s="107">
        <v>0.011522679741047483</v>
      </c>
      <c r="E33" s="15"/>
      <c r="F33" s="15"/>
      <c r="G33" s="15"/>
    </row>
    <row r="34" spans="1:7" ht="12.75">
      <c r="A34" s="112"/>
      <c r="C34" s="15"/>
      <c r="D34" s="15"/>
      <c r="E34" s="15"/>
      <c r="F34" s="15"/>
      <c r="G34" s="15"/>
    </row>
    <row r="35" spans="1:7" ht="12.75">
      <c r="A35" s="109" t="s">
        <v>68</v>
      </c>
      <c r="B35" s="34"/>
      <c r="C35" s="23"/>
      <c r="D35" s="108">
        <v>11.03566913248821</v>
      </c>
      <c r="E35" s="15"/>
      <c r="F35" s="15"/>
      <c r="G35" s="15"/>
    </row>
    <row r="36" spans="3:7" ht="12.75">
      <c r="C36" s="15"/>
      <c r="D36" s="15"/>
      <c r="E36" s="15"/>
      <c r="F36" s="15"/>
      <c r="G36" s="15"/>
    </row>
    <row r="37" spans="2:7" ht="12.75">
      <c r="B37" s="15"/>
      <c r="C37" s="15"/>
      <c r="D37" s="49"/>
      <c r="E37" s="15"/>
      <c r="F37" s="15"/>
      <c r="G37" s="15"/>
    </row>
    <row r="38" spans="1:7" ht="18">
      <c r="A38" s="55" t="s">
        <v>221</v>
      </c>
      <c r="B38" s="52"/>
      <c r="C38" s="53"/>
      <c r="D38" s="49"/>
      <c r="E38" s="15"/>
      <c r="F38" s="15"/>
      <c r="G38" s="15"/>
    </row>
    <row r="39" spans="2:7" ht="12.75">
      <c r="B39" s="15"/>
      <c r="C39" s="15"/>
      <c r="D39" s="49"/>
      <c r="E39" s="15"/>
      <c r="F39" s="15"/>
      <c r="G39" s="15"/>
    </row>
    <row r="40" spans="1:7" ht="12.75">
      <c r="A40" s="109" t="s">
        <v>69</v>
      </c>
      <c r="B40" s="34"/>
      <c r="C40" s="23"/>
      <c r="D40" s="107">
        <v>3.3454955534688606</v>
      </c>
      <c r="E40" s="15"/>
      <c r="F40" s="15"/>
      <c r="G40" s="15"/>
    </row>
    <row r="41" spans="1:7" ht="12.75">
      <c r="A41" s="112"/>
      <c r="C41" s="15"/>
      <c r="D41" s="15"/>
      <c r="E41" s="15"/>
      <c r="F41" s="15"/>
      <c r="G41" s="15"/>
    </row>
    <row r="42" spans="1:7" ht="12.75">
      <c r="A42" s="109" t="s">
        <v>68</v>
      </c>
      <c r="B42" s="34"/>
      <c r="C42" s="23"/>
      <c r="D42" s="108">
        <v>19.651856437788428</v>
      </c>
      <c r="E42" s="15"/>
      <c r="F42" s="15"/>
      <c r="G42" s="15"/>
    </row>
    <row r="43" spans="2:7" ht="12.75">
      <c r="B43" s="15"/>
      <c r="C43" s="15"/>
      <c r="D43" s="49"/>
      <c r="E43" s="15"/>
      <c r="F43" s="15"/>
      <c r="G43" s="15"/>
    </row>
    <row r="44" spans="2:7" ht="12.75">
      <c r="B44" s="15"/>
      <c r="C44" s="15"/>
      <c r="D44" s="49"/>
      <c r="E44" s="15"/>
      <c r="F44" s="15"/>
      <c r="G44" s="15"/>
    </row>
    <row r="45" spans="1:7" ht="18">
      <c r="A45" s="55" t="s">
        <v>4</v>
      </c>
      <c r="B45" s="52"/>
      <c r="C45" s="53"/>
      <c r="D45" s="49"/>
      <c r="E45" s="15"/>
      <c r="F45" s="15"/>
      <c r="G45" s="15"/>
    </row>
    <row r="46" spans="1:7" ht="18">
      <c r="A46" s="8"/>
      <c r="B46" s="15"/>
      <c r="C46" s="15"/>
      <c r="D46" s="49"/>
      <c r="E46" s="15"/>
      <c r="F46" s="15"/>
      <c r="G46" s="15"/>
    </row>
    <row r="47" spans="1:7" ht="12.75">
      <c r="A47" s="109" t="s">
        <v>69</v>
      </c>
      <c r="B47" s="23"/>
      <c r="C47" s="23"/>
      <c r="D47" s="107"/>
      <c r="E47" s="15"/>
      <c r="F47" s="15"/>
      <c r="G47" s="15"/>
    </row>
    <row r="48" spans="1:7" ht="12.75">
      <c r="A48" s="112"/>
      <c r="B48" s="15"/>
      <c r="C48" s="15"/>
      <c r="D48" s="49"/>
      <c r="E48" s="15"/>
      <c r="F48" s="15"/>
      <c r="G48" s="15"/>
    </row>
    <row r="49" spans="1:7" ht="12.75">
      <c r="A49" s="109" t="s">
        <v>68</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213</v>
      </c>
      <c r="B52" s="15"/>
      <c r="C52" s="15"/>
      <c r="D52" s="49"/>
      <c r="E52" s="15"/>
      <c r="F52" s="15"/>
      <c r="G52" s="15"/>
    </row>
    <row r="53" spans="2:7" ht="12.75">
      <c r="B53" s="15"/>
      <c r="C53" s="15"/>
      <c r="D53" s="49"/>
      <c r="E53" s="15"/>
      <c r="F53" s="15"/>
      <c r="G53" s="15"/>
    </row>
    <row r="54" spans="1:7" ht="12.75">
      <c r="A54" s="109" t="s">
        <v>69</v>
      </c>
      <c r="B54" s="34"/>
      <c r="C54" s="23"/>
      <c r="D54" s="107">
        <v>0.87243541188593</v>
      </c>
      <c r="E54" s="15"/>
      <c r="F54" s="15"/>
      <c r="G54" s="15"/>
    </row>
    <row r="55" spans="1:7" ht="12.75">
      <c r="A55" s="112"/>
      <c r="C55" s="15"/>
      <c r="D55" s="15"/>
      <c r="E55" s="15"/>
      <c r="F55" s="15"/>
      <c r="G55" s="15"/>
    </row>
    <row r="56" spans="1:7" ht="12.75">
      <c r="A56" s="109" t="s">
        <v>68</v>
      </c>
      <c r="B56" s="34"/>
      <c r="C56" s="23"/>
      <c r="D56" s="108">
        <v>34.38417888200746</v>
      </c>
      <c r="E56" s="15"/>
      <c r="F56" s="15"/>
      <c r="G56" s="15"/>
    </row>
    <row r="57" spans="2:7" ht="12.75">
      <c r="B57" s="15"/>
      <c r="C57" s="15"/>
      <c r="D57" s="49"/>
      <c r="E57" s="15"/>
      <c r="F57" s="15"/>
      <c r="G57" s="15"/>
    </row>
    <row r="58" spans="2:7" ht="12.75">
      <c r="B58" s="15"/>
      <c r="C58" s="15"/>
      <c r="D58" s="49"/>
      <c r="E58" s="15"/>
      <c r="F58" s="15"/>
      <c r="G58" s="15"/>
    </row>
    <row r="59" spans="1:7" ht="18">
      <c r="A59" s="55" t="s">
        <v>0</v>
      </c>
      <c r="B59" s="15"/>
      <c r="C59" s="15"/>
      <c r="D59" s="49"/>
      <c r="E59" s="15"/>
      <c r="F59" s="15"/>
      <c r="G59" s="15"/>
    </row>
    <row r="60" spans="2:7" ht="12.75">
      <c r="B60" s="15"/>
      <c r="C60" s="15"/>
      <c r="D60" s="49"/>
      <c r="E60" s="15"/>
      <c r="F60" s="15"/>
      <c r="G60" s="15"/>
    </row>
    <row r="61" spans="1:7" ht="12.75">
      <c r="A61" s="109" t="s">
        <v>69</v>
      </c>
      <c r="B61" s="23"/>
      <c r="C61" s="23"/>
      <c r="D61" s="107">
        <v>0.5223717710577512</v>
      </c>
      <c r="E61" s="15"/>
      <c r="F61" s="15"/>
      <c r="G61" s="15"/>
    </row>
    <row r="62" spans="1:7" ht="12.75">
      <c r="A62" s="112"/>
      <c r="B62" s="15"/>
      <c r="C62" s="15"/>
      <c r="D62" s="49"/>
      <c r="E62" s="15"/>
      <c r="F62" s="15"/>
      <c r="G62" s="15"/>
    </row>
    <row r="63" spans="1:7" ht="12.75">
      <c r="A63" s="109" t="s">
        <v>68</v>
      </c>
      <c r="B63" s="51"/>
      <c r="C63" s="23"/>
      <c r="D63" s="108">
        <v>176.30854752505664</v>
      </c>
      <c r="E63" s="15"/>
      <c r="F63" s="15"/>
      <c r="G63" s="15"/>
    </row>
    <row r="64" spans="2:7" ht="12.75">
      <c r="B64" s="15"/>
      <c r="C64" s="15"/>
      <c r="D64" s="49"/>
      <c r="E64" s="15"/>
      <c r="F64" s="15"/>
      <c r="G64" s="15"/>
    </row>
    <row r="65" spans="3:7" ht="12.75">
      <c r="C65" s="15"/>
      <c r="E65" s="15"/>
      <c r="F65" s="15"/>
      <c r="G65" s="15"/>
    </row>
    <row r="66" spans="1:7" ht="18">
      <c r="A66" s="55" t="s">
        <v>5</v>
      </c>
      <c r="B66" s="15"/>
      <c r="C66" s="15"/>
      <c r="D66" s="49"/>
      <c r="E66" s="15"/>
      <c r="F66" s="15"/>
      <c r="G66" s="15"/>
    </row>
    <row r="67" spans="2:7" ht="12.75">
      <c r="B67" s="15"/>
      <c r="C67" s="15"/>
      <c r="D67" s="49"/>
      <c r="E67" s="15"/>
      <c r="F67" s="15"/>
      <c r="G67" s="15"/>
    </row>
    <row r="68" spans="1:7" ht="12.75">
      <c r="A68" s="109" t="s">
        <v>69</v>
      </c>
      <c r="B68" s="34"/>
      <c r="C68" s="23"/>
      <c r="D68" s="107">
        <v>4.778122371159983</v>
      </c>
      <c r="E68" s="15"/>
      <c r="F68" s="15"/>
      <c r="G68" s="15"/>
    </row>
    <row r="69" spans="1:7" ht="12.75">
      <c r="A69" s="112"/>
      <c r="C69" s="15"/>
      <c r="D69" s="15"/>
      <c r="E69" s="15"/>
      <c r="F69" s="15"/>
      <c r="G69" s="15"/>
    </row>
    <row r="70" spans="1:7" ht="12.75">
      <c r="A70" s="109" t="s">
        <v>209</v>
      </c>
      <c r="B70" s="34"/>
      <c r="C70" s="23"/>
      <c r="D70" s="108">
        <v>1.454781739340177</v>
      </c>
      <c r="E70" s="15"/>
      <c r="F70" s="15"/>
      <c r="G70" s="15"/>
    </row>
    <row r="71" spans="2:7" ht="12.75">
      <c r="B71" s="15"/>
      <c r="C71" s="15"/>
      <c r="D71" s="49"/>
      <c r="E71" s="15"/>
      <c r="F71" s="15"/>
      <c r="G71" s="15"/>
    </row>
    <row r="72" spans="1:7" ht="12.75">
      <c r="A72" s="12" t="s">
        <v>6</v>
      </c>
      <c r="B72" s="15"/>
      <c r="C72" s="15"/>
      <c r="D72" s="49"/>
      <c r="E72" s="15"/>
      <c r="F72" s="15"/>
      <c r="G72" s="15"/>
    </row>
    <row r="73" spans="2:7" ht="12.75">
      <c r="B73" s="15"/>
      <c r="C73" s="15"/>
      <c r="D73" s="49"/>
      <c r="E73" s="15"/>
      <c r="F73" s="15"/>
      <c r="G73" s="15"/>
    </row>
    <row r="74" spans="1:7" ht="18">
      <c r="A74" s="55" t="s">
        <v>7</v>
      </c>
      <c r="B74" s="15"/>
      <c r="C74" s="15"/>
      <c r="D74" s="49"/>
      <c r="E74" s="15"/>
      <c r="F74" s="15"/>
      <c r="G74" s="15"/>
    </row>
    <row r="75" spans="2:7" ht="12.75">
      <c r="B75" s="15"/>
      <c r="C75" s="15"/>
      <c r="D75" s="49"/>
      <c r="E75" s="15"/>
      <c r="F75" s="15"/>
      <c r="G75" s="15"/>
    </row>
    <row r="76" spans="1:7" ht="12.75">
      <c r="A76" s="109" t="s">
        <v>69</v>
      </c>
      <c r="B76" s="23"/>
      <c r="C76" s="23"/>
      <c r="D76" s="107"/>
      <c r="E76" s="15"/>
      <c r="F76" s="15"/>
      <c r="G76" s="15"/>
    </row>
    <row r="77" spans="1:7" ht="12.75">
      <c r="A77" s="112"/>
      <c r="B77" s="15"/>
      <c r="C77" s="15"/>
      <c r="D77" s="49"/>
      <c r="E77" s="15"/>
      <c r="F77" s="15"/>
      <c r="G77" s="15"/>
    </row>
    <row r="78" spans="1:7" ht="12.75">
      <c r="A78" s="109" t="s">
        <v>209</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8</v>
      </c>
      <c r="B81" s="15"/>
      <c r="C81" s="15"/>
      <c r="D81" s="49"/>
      <c r="E81" s="15"/>
      <c r="F81" s="15"/>
      <c r="G81" s="15"/>
    </row>
    <row r="82" spans="2:7" ht="12.75">
      <c r="B82" s="15"/>
      <c r="C82" s="15"/>
      <c r="D82" s="49"/>
      <c r="E82" s="15"/>
      <c r="F82" s="15"/>
      <c r="G82" s="15"/>
    </row>
    <row r="83" spans="1:7" ht="12.75">
      <c r="A83" s="109" t="s">
        <v>69</v>
      </c>
      <c r="B83" s="34"/>
      <c r="C83" s="23"/>
      <c r="D83" s="107">
        <v>2.350442303867961</v>
      </c>
      <c r="E83" s="15"/>
      <c r="F83" s="15"/>
      <c r="G83" s="15"/>
    </row>
    <row r="84" spans="1:7" ht="12.75">
      <c r="A84" s="112"/>
      <c r="C84" s="15"/>
      <c r="D84" s="15"/>
      <c r="E84" s="15"/>
      <c r="F84" s="15"/>
      <c r="G84" s="15"/>
    </row>
    <row r="85" spans="1:7" ht="12.75">
      <c r="A85" s="109" t="s">
        <v>209</v>
      </c>
      <c r="B85" s="34"/>
      <c r="C85" s="23"/>
      <c r="D85" s="108">
        <v>0.5479310256574779</v>
      </c>
      <c r="E85" s="15"/>
      <c r="F85" s="15"/>
      <c r="G85" s="15"/>
    </row>
    <row r="86" spans="2:7" ht="12.75">
      <c r="B86" s="15"/>
      <c r="C86" s="15"/>
      <c r="D86" s="49"/>
      <c r="E86" s="15"/>
      <c r="F86" s="15"/>
      <c r="G86" s="15"/>
    </row>
    <row r="87" spans="1:7" ht="12.75">
      <c r="A87" s="12" t="s">
        <v>6</v>
      </c>
      <c r="B87" s="15"/>
      <c r="C87" s="15"/>
      <c r="D87" s="49"/>
      <c r="E87" s="15"/>
      <c r="F87" s="15"/>
      <c r="G87" s="15"/>
    </row>
    <row r="88" spans="2:7" ht="12.75">
      <c r="B88" s="15"/>
      <c r="C88" s="15"/>
      <c r="D88" s="49"/>
      <c r="E88" s="15"/>
      <c r="F88" s="15"/>
      <c r="G88" s="15"/>
    </row>
    <row r="89" spans="1:7" ht="18">
      <c r="A89" s="55" t="s">
        <v>9</v>
      </c>
      <c r="B89" s="15"/>
      <c r="C89" s="15"/>
      <c r="D89" s="49"/>
      <c r="E89" s="15"/>
      <c r="F89" s="15"/>
      <c r="G89" s="15"/>
    </row>
    <row r="90" spans="2:7" ht="12.75">
      <c r="B90" s="15"/>
      <c r="C90" s="15"/>
      <c r="D90" s="6"/>
      <c r="E90" s="15"/>
      <c r="F90" s="15"/>
      <c r="G90" s="15"/>
    </row>
    <row r="91" spans="1:7" ht="12.75">
      <c r="A91" s="109" t="s">
        <v>69</v>
      </c>
      <c r="B91" s="23"/>
      <c r="C91" s="23"/>
      <c r="D91" s="107"/>
      <c r="E91" s="15"/>
      <c r="F91" s="15"/>
      <c r="G91" s="15"/>
    </row>
    <row r="92" spans="1:7" ht="12.75">
      <c r="A92" s="112"/>
      <c r="B92" s="15"/>
      <c r="C92" s="15"/>
      <c r="D92" s="49"/>
      <c r="E92" s="15"/>
      <c r="F92" s="15"/>
      <c r="G92" s="15"/>
    </row>
    <row r="93" spans="1:7" ht="12.75">
      <c r="A93" s="109" t="s">
        <v>209</v>
      </c>
      <c r="B93" s="51"/>
      <c r="C93" s="23"/>
      <c r="D93" s="108"/>
      <c r="E93" s="15"/>
      <c r="F93" s="15"/>
      <c r="G93" s="15"/>
    </row>
    <row r="94" spans="2:7" ht="12.75">
      <c r="B94" s="15"/>
      <c r="C94" s="15"/>
      <c r="D94" s="49"/>
      <c r="E94" s="15"/>
      <c r="F94" s="15"/>
      <c r="G94" s="15"/>
    </row>
    <row r="96" spans="1:3" ht="18">
      <c r="A96" s="55" t="s">
        <v>216</v>
      </c>
      <c r="B96" s="52"/>
      <c r="C96" s="53"/>
    </row>
    <row r="97" spans="2:4" ht="12.75">
      <c r="B97" s="15"/>
      <c r="C97" s="15"/>
      <c r="D97" s="49"/>
    </row>
    <row r="98" spans="1:4" ht="12.75">
      <c r="A98" s="109" t="s">
        <v>67</v>
      </c>
      <c r="B98" s="109"/>
      <c r="C98" s="110"/>
      <c r="D98" s="111"/>
    </row>
    <row r="99" spans="1:4" ht="12.75">
      <c r="A99" s="112"/>
      <c r="B99" s="112"/>
      <c r="C99" s="113"/>
      <c r="D99" s="113"/>
    </row>
    <row r="100" spans="1:4" ht="12.75">
      <c r="A100" s="109" t="s">
        <v>68</v>
      </c>
      <c r="B100" s="109"/>
      <c r="C100" s="110"/>
      <c r="D100" s="114"/>
    </row>
    <row r="101" spans="3:4" ht="12.75">
      <c r="C101" s="15"/>
      <c r="D101" s="15"/>
    </row>
    <row r="102" spans="3:4" ht="12.75">
      <c r="C102" s="15"/>
      <c r="D102" s="15"/>
    </row>
    <row r="103" spans="1:4" ht="18">
      <c r="A103" s="55" t="s">
        <v>217</v>
      </c>
      <c r="C103" s="53"/>
      <c r="D103" s="52"/>
    </row>
    <row r="104" spans="3:4" ht="12.75">
      <c r="C104" s="15"/>
      <c r="D104" s="15"/>
    </row>
    <row r="105" spans="1:4" ht="12.75">
      <c r="A105" s="109" t="s">
        <v>67</v>
      </c>
      <c r="B105" s="34"/>
      <c r="C105" s="23"/>
      <c r="D105" s="107"/>
    </row>
    <row r="106" spans="1:4" ht="12.75">
      <c r="A106" s="112"/>
      <c r="C106" s="15"/>
      <c r="D106" s="15"/>
    </row>
    <row r="107" spans="1:4" ht="12.75">
      <c r="A107" s="109" t="s">
        <v>68</v>
      </c>
      <c r="B107" s="34"/>
      <c r="C107" s="23"/>
      <c r="D107" s="108"/>
    </row>
    <row r="108" spans="3:4" ht="12.75">
      <c r="C108" s="15"/>
      <c r="D108" s="15"/>
    </row>
    <row r="109" spans="2:4" ht="12.75">
      <c r="B109" s="15"/>
      <c r="C109" s="15"/>
      <c r="D109" s="49"/>
    </row>
    <row r="110" spans="1:4" ht="18">
      <c r="A110" s="55" t="s">
        <v>218</v>
      </c>
      <c r="B110" s="52"/>
      <c r="C110" s="53"/>
      <c r="D110" s="49"/>
    </row>
    <row r="111" spans="2:4" ht="12.75">
      <c r="B111" s="15"/>
      <c r="C111" s="15"/>
      <c r="D111" s="49"/>
    </row>
    <row r="112" spans="1:4" ht="12.75">
      <c r="A112" s="109" t="s">
        <v>69</v>
      </c>
      <c r="B112" s="34"/>
      <c r="C112" s="23"/>
      <c r="D112" s="107"/>
    </row>
    <row r="113" spans="1:4" ht="12.75">
      <c r="A113" s="112"/>
      <c r="C113" s="15"/>
      <c r="D113" s="15"/>
    </row>
    <row r="114" spans="1:4" ht="12.75">
      <c r="A114" s="109" t="s">
        <v>68</v>
      </c>
      <c r="B114" s="34"/>
      <c r="C114" s="23"/>
      <c r="D114" s="108"/>
    </row>
    <row r="117" spans="1:3" ht="18">
      <c r="A117" s="55" t="s">
        <v>219</v>
      </c>
      <c r="B117" s="52"/>
      <c r="C117" s="53"/>
    </row>
    <row r="118" spans="2:4" ht="12.75">
      <c r="B118" s="15"/>
      <c r="C118" s="15"/>
      <c r="D118" s="49"/>
    </row>
    <row r="119" spans="1:4" ht="12.75">
      <c r="A119" s="109" t="s">
        <v>67</v>
      </c>
      <c r="B119" s="109"/>
      <c r="C119" s="110"/>
      <c r="D119" s="111"/>
    </row>
    <row r="120" spans="1:4" ht="12.75">
      <c r="A120" s="112"/>
      <c r="B120" s="112"/>
      <c r="C120" s="113"/>
      <c r="D120" s="113"/>
    </row>
    <row r="121" spans="1:4" ht="12.75">
      <c r="A121" s="109" t="s">
        <v>68</v>
      </c>
      <c r="B121" s="109"/>
      <c r="C121" s="110"/>
      <c r="D121" s="114"/>
    </row>
  </sheetData>
  <sheetProtection/>
  <mergeCells count="3">
    <mergeCell ref="A11:E12"/>
    <mergeCell ref="A5:C5"/>
    <mergeCell ref="B7:C7"/>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283"/>
  <sheetViews>
    <sheetView zoomScale="75" zoomScaleNormal="75" zoomScalePageLayoutView="0" workbookViewId="0" topLeftCell="A16">
      <selection activeCell="G18" sqref="G18"/>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115</v>
      </c>
    </row>
    <row r="2" ht="18.75" thickBot="1">
      <c r="A2" s="116"/>
    </row>
    <row r="3" spans="1:7" ht="18">
      <c r="A3" s="300" t="str">
        <f>"Name of Utility:      "&amp;'Info Sheet'!B4</f>
        <v>Name of Utility:      Brant County Power</v>
      </c>
      <c r="B3" s="456"/>
      <c r="C3" s="462"/>
      <c r="D3" s="455" t="str">
        <f>'Info Sheet'!B21</f>
        <v>2005.V1.0</v>
      </c>
      <c r="E3" s="36"/>
      <c r="F3" s="116"/>
      <c r="G3" s="117"/>
    </row>
    <row r="4" spans="1:7" ht="18">
      <c r="A4" s="302" t="str">
        <f>"License Number:   "&amp;'Info Sheet'!B6</f>
        <v>License Number:   ED 1999-0191</v>
      </c>
      <c r="B4" s="458"/>
      <c r="C4" s="388"/>
      <c r="D4" s="394" t="str">
        <f>'Info Sheet'!B8</f>
        <v>RP-2005-0013</v>
      </c>
      <c r="E4" s="36"/>
      <c r="F4" s="116"/>
      <c r="G4" s="117"/>
    </row>
    <row r="5" spans="1:4" ht="15.75">
      <c r="A5" s="302" t="str">
        <f>"Name of Contact:  "&amp;'Info Sheet'!B12</f>
        <v>Name of Contact:  Grant Brooker</v>
      </c>
      <c r="B5" s="654"/>
      <c r="C5" s="654"/>
      <c r="D5" s="394" t="str">
        <f>'Info Sheet'!B10</f>
        <v>EB-2005-0009</v>
      </c>
    </row>
    <row r="6" spans="1:4" ht="15.75">
      <c r="A6" s="303" t="str">
        <f>"E- Mail Address:    "&amp;'Info Sheet'!B14</f>
        <v>E- Mail Address:    gbrooker@brantcountypower.com</v>
      </c>
      <c r="B6" s="458"/>
      <c r="C6" s="28"/>
      <c r="D6" s="463"/>
    </row>
    <row r="7" spans="1:4" ht="15.75">
      <c r="A7" s="302" t="str">
        <f>"Phone Number:     "&amp;'Info Sheet'!B16</f>
        <v>Phone Number:     519 442 2215</v>
      </c>
      <c r="B7" s="652" t="str">
        <f>'Info Sheet'!$C$16&amp;" "&amp;'Info Sheet'!$D$16</f>
        <v>Extension: 734</v>
      </c>
      <c r="C7" s="652"/>
      <c r="D7" s="463"/>
    </row>
    <row r="8" spans="1:10" ht="16.5" thickBot="1">
      <c r="A8" s="304" t="str">
        <f>"Date:                      "&amp;('Info Sheet'!B18)</f>
        <v>Date:                      January 17, 2005</v>
      </c>
      <c r="B8" s="460"/>
      <c r="C8" s="461"/>
      <c r="D8" s="464"/>
      <c r="J8" s="346" t="s">
        <v>140</v>
      </c>
    </row>
    <row r="9" spans="1:10" ht="15.75">
      <c r="A9" s="28"/>
      <c r="B9" s="29"/>
      <c r="C9" s="27"/>
      <c r="J9" s="346" t="s">
        <v>141</v>
      </c>
    </row>
    <row r="10" spans="1:7" ht="15">
      <c r="A10" s="657" t="s">
        <v>165</v>
      </c>
      <c r="B10" s="657"/>
      <c r="C10" s="657"/>
      <c r="D10" s="657"/>
      <c r="E10" s="657"/>
      <c r="F10" s="261"/>
      <c r="G10" s="317">
        <v>314802.1</v>
      </c>
    </row>
    <row r="11" spans="1:7" ht="15">
      <c r="A11" s="348"/>
      <c r="B11" s="348"/>
      <c r="C11" s="348"/>
      <c r="D11" s="348"/>
      <c r="E11" s="348"/>
      <c r="F11" s="349"/>
      <c r="G11" s="349"/>
    </row>
    <row r="12" spans="1:7" ht="15">
      <c r="A12" s="72" t="s">
        <v>142</v>
      </c>
      <c r="B12" s="72"/>
      <c r="C12" s="72"/>
      <c r="D12" s="72"/>
      <c r="E12" s="72"/>
      <c r="F12" s="261"/>
      <c r="G12" s="347" t="s">
        <v>140</v>
      </c>
    </row>
    <row r="13" spans="1:7" ht="15">
      <c r="A13" s="348"/>
      <c r="B13" s="348"/>
      <c r="C13" s="348"/>
      <c r="D13" s="348"/>
      <c r="E13" s="348"/>
      <c r="F13" s="349"/>
      <c r="G13" s="350"/>
    </row>
    <row r="14" spans="1:7" ht="15">
      <c r="A14" s="72" t="s">
        <v>166</v>
      </c>
      <c r="B14" s="72"/>
      <c r="C14" s="72"/>
      <c r="D14" s="72"/>
      <c r="E14" s="72"/>
      <c r="F14" s="261"/>
      <c r="G14" s="359">
        <v>314802</v>
      </c>
    </row>
    <row r="15" spans="1:7" ht="15">
      <c r="A15" s="71"/>
      <c r="B15" s="71" t="s">
        <v>271</v>
      </c>
      <c r="C15" s="71"/>
      <c r="D15" s="71"/>
      <c r="E15" s="71"/>
      <c r="F15" s="262"/>
      <c r="G15" s="262"/>
    </row>
    <row r="16" spans="1:7" ht="15">
      <c r="A16" s="72" t="s">
        <v>139</v>
      </c>
      <c r="B16" s="72" t="s">
        <v>270</v>
      </c>
      <c r="C16" s="72"/>
      <c r="D16" s="72"/>
      <c r="E16" s="72"/>
      <c r="F16" s="261"/>
      <c r="G16" s="347" t="s">
        <v>140</v>
      </c>
    </row>
    <row r="17" spans="1:7" ht="14.25">
      <c r="A17" s="137"/>
      <c r="B17" s="138"/>
      <c r="C17" s="138"/>
      <c r="D17" s="138"/>
      <c r="E17" s="138"/>
      <c r="F17" s="138"/>
      <c r="G17" s="138"/>
    </row>
    <row r="18" spans="1:7" ht="15">
      <c r="A18" s="657" t="s">
        <v>167</v>
      </c>
      <c r="B18" s="657"/>
      <c r="C18" s="657"/>
      <c r="D18" s="657"/>
      <c r="E18" s="657"/>
      <c r="F18" s="261"/>
      <c r="G18" s="317">
        <v>314802</v>
      </c>
    </row>
    <row r="19" spans="1:7" ht="15">
      <c r="A19" s="71"/>
      <c r="B19" s="71"/>
      <c r="C19" s="71"/>
      <c r="D19" s="71"/>
      <c r="E19" s="31"/>
      <c r="F19" s="262"/>
      <c r="G19" s="7"/>
    </row>
    <row r="20" spans="1:7" s="31" customFormat="1" ht="15">
      <c r="A20" s="71"/>
      <c r="B20" s="71"/>
      <c r="C20" s="71"/>
      <c r="D20" s="71"/>
      <c r="F20" s="262"/>
      <c r="G20" s="262"/>
    </row>
    <row r="21" spans="1:7" ht="14.25">
      <c r="A21" s="141"/>
      <c r="B21" s="142"/>
      <c r="C21" s="143"/>
      <c r="D21" s="144"/>
      <c r="E21" s="144"/>
      <c r="F21" s="56"/>
      <c r="G21" s="56"/>
    </row>
    <row r="22" spans="1:7" ht="15">
      <c r="A22" s="313" t="s">
        <v>120</v>
      </c>
      <c r="B22" s="314"/>
      <c r="C22" s="315"/>
      <c r="D22" s="316"/>
      <c r="E22" s="316"/>
      <c r="F22" s="261"/>
      <c r="G22" s="317">
        <f>G18*14/13</f>
        <v>339017.53846153844</v>
      </c>
    </row>
    <row r="23" spans="1:7" ht="14.25">
      <c r="A23" s="141"/>
      <c r="B23" s="142"/>
      <c r="C23" s="143"/>
      <c r="D23" s="144"/>
      <c r="E23" s="144"/>
      <c r="F23" s="56"/>
      <c r="G23" s="56"/>
    </row>
    <row r="24" spans="1:7" ht="15">
      <c r="A24" s="312" t="s">
        <v>168</v>
      </c>
      <c r="B24" s="311"/>
      <c r="C24" s="311"/>
      <c r="D24" s="138"/>
      <c r="E24" s="138"/>
      <c r="F24" s="138"/>
      <c r="G24" s="138"/>
    </row>
    <row r="25" spans="1:7" ht="15">
      <c r="A25" s="312" t="s">
        <v>207</v>
      </c>
      <c r="B25" s="311"/>
      <c r="C25" s="311"/>
      <c r="D25" s="138"/>
      <c r="E25" s="138"/>
      <c r="F25" s="138"/>
      <c r="G25" s="138"/>
    </row>
    <row r="26" ht="15.75" thickBot="1">
      <c r="A26" s="312" t="s">
        <v>57</v>
      </c>
    </row>
    <row r="27" spans="1:8" ht="39" thickBot="1">
      <c r="A27" s="151" t="s">
        <v>169</v>
      </c>
      <c r="B27" s="152" t="s">
        <v>10</v>
      </c>
      <c r="C27" s="152" t="s">
        <v>11</v>
      </c>
      <c r="D27" s="152" t="s">
        <v>20</v>
      </c>
      <c r="E27" s="152" t="s">
        <v>12</v>
      </c>
      <c r="F27" s="152" t="s">
        <v>160</v>
      </c>
      <c r="G27" s="153" t="s">
        <v>97</v>
      </c>
      <c r="H27" s="121"/>
    </row>
    <row r="28" spans="1:7" ht="12.75">
      <c r="A28" s="86"/>
      <c r="B28" s="31"/>
      <c r="C28" s="122"/>
      <c r="D28" s="122"/>
      <c r="E28" s="31"/>
      <c r="F28" s="31"/>
      <c r="G28" s="100"/>
    </row>
    <row r="29" spans="1:8" ht="12.75">
      <c r="A29" s="148" t="s">
        <v>222</v>
      </c>
      <c r="B29" s="485" t="s">
        <v>253</v>
      </c>
      <c r="C29" s="135">
        <v>63260404.292234115</v>
      </c>
      <c r="D29" s="263">
        <v>6334</v>
      </c>
      <c r="E29" s="395">
        <v>1153523.2928798846</v>
      </c>
      <c r="F29" s="279">
        <f>IF(ISERROR(E29/$E$42),"",E29/$E$42)</f>
        <v>0.4451401309648292</v>
      </c>
      <c r="G29" s="399">
        <f>IF(ISERROR($G$22*F29),0,$G$22*F29)</f>
        <v>150910.31147014324</v>
      </c>
      <c r="H29" s="266"/>
    </row>
    <row r="30" spans="1:8" ht="12.75">
      <c r="A30" s="148" t="s">
        <v>223</v>
      </c>
      <c r="B30" s="485" t="s">
        <v>253</v>
      </c>
      <c r="C30" s="135">
        <v>41432003.432405606</v>
      </c>
      <c r="D30" s="263">
        <v>1390</v>
      </c>
      <c r="E30" s="395">
        <v>526169.6086151311</v>
      </c>
      <c r="F30" s="279">
        <f aca="true" t="shared" si="0" ref="F30:F40">IF(ISERROR(E30/$E$42),"",E30/$E$42)</f>
        <v>0.2030467957902272</v>
      </c>
      <c r="G30" s="399">
        <f aca="true" t="shared" si="1" ref="G30:G40">IF(ISERROR($G$22*F30),0,$G$22*F30)</f>
        <v>68836.4249013055</v>
      </c>
      <c r="H30" s="266"/>
    </row>
    <row r="31" spans="1:8" ht="12.75">
      <c r="A31" s="148" t="s">
        <v>224</v>
      </c>
      <c r="B31" s="267">
        <v>312778.6</v>
      </c>
      <c r="C31" s="135" t="s">
        <v>253</v>
      </c>
      <c r="D31" s="263">
        <v>175</v>
      </c>
      <c r="E31" s="395">
        <v>865466.4653758826</v>
      </c>
      <c r="F31" s="279">
        <f t="shared" si="0"/>
        <v>0.3339801269042985</v>
      </c>
      <c r="G31" s="399">
        <f t="shared" si="1"/>
        <v>113225.1205181675</v>
      </c>
      <c r="H31" s="266"/>
    </row>
    <row r="32" spans="1:8" ht="12.75">
      <c r="A32" s="148" t="s">
        <v>71</v>
      </c>
      <c r="B32" s="263">
        <v>0</v>
      </c>
      <c r="C32" s="135" t="s">
        <v>253</v>
      </c>
      <c r="D32" s="263">
        <v>0</v>
      </c>
      <c r="E32" s="396">
        <v>0</v>
      </c>
      <c r="F32" s="279">
        <f t="shared" si="0"/>
        <v>0</v>
      </c>
      <c r="G32" s="399">
        <f t="shared" si="1"/>
        <v>0</v>
      </c>
      <c r="H32" s="268"/>
    </row>
    <row r="33" spans="1:8" ht="12.75">
      <c r="A33" s="148" t="s">
        <v>152</v>
      </c>
      <c r="B33" s="263">
        <v>12006</v>
      </c>
      <c r="C33" s="135" t="s">
        <v>253</v>
      </c>
      <c r="D33" s="263">
        <v>1</v>
      </c>
      <c r="E33" s="396">
        <v>8640.445276489423</v>
      </c>
      <c r="F33" s="279">
        <f t="shared" si="0"/>
        <v>0.0033343140669214416</v>
      </c>
      <c r="G33" s="399">
        <f t="shared" si="1"/>
        <v>1130.3909474253885</v>
      </c>
      <c r="H33" s="268"/>
    </row>
    <row r="34" spans="1:8" ht="12.75">
      <c r="A34" s="148" t="s">
        <v>72</v>
      </c>
      <c r="B34" s="263">
        <v>114790</v>
      </c>
      <c r="C34" s="135" t="s">
        <v>253</v>
      </c>
      <c r="D34" s="263">
        <v>1</v>
      </c>
      <c r="E34" s="396">
        <v>9756.093688405534</v>
      </c>
      <c r="F34" s="279">
        <f t="shared" si="0"/>
        <v>0.0037648384293304405</v>
      </c>
      <c r="G34" s="399">
        <f t="shared" si="1"/>
        <v>1276.3462570170107</v>
      </c>
      <c r="H34" s="268"/>
    </row>
    <row r="35" spans="1:8" ht="12.75">
      <c r="A35" s="148" t="s">
        <v>73</v>
      </c>
      <c r="B35" s="267">
        <v>832</v>
      </c>
      <c r="C35" s="135" t="s">
        <v>253</v>
      </c>
      <c r="D35" s="263">
        <v>264</v>
      </c>
      <c r="E35" s="397">
        <v>6836.48416142508</v>
      </c>
      <c r="F35" s="279">
        <f t="shared" si="0"/>
        <v>0.0026381725221673747</v>
      </c>
      <c r="G35" s="399">
        <f t="shared" si="1"/>
        <v>894.3867545020519</v>
      </c>
      <c r="H35" s="266"/>
    </row>
    <row r="36" spans="1:8" ht="12.75">
      <c r="A36" s="148" t="s">
        <v>74</v>
      </c>
      <c r="B36" s="267">
        <v>4476</v>
      </c>
      <c r="C36" s="135" t="s">
        <v>253</v>
      </c>
      <c r="D36" s="263">
        <v>2417</v>
      </c>
      <c r="E36" s="397">
        <v>20978.759531929376</v>
      </c>
      <c r="F36" s="279">
        <f t="shared" si="0"/>
        <v>0.008095621322225965</v>
      </c>
      <c r="G36" s="399">
        <f t="shared" si="1"/>
        <v>2744.557612977792</v>
      </c>
      <c r="H36" s="269"/>
    </row>
    <row r="37" spans="1:8" ht="12.75">
      <c r="A37" s="148" t="s">
        <v>225</v>
      </c>
      <c r="B37" s="267"/>
      <c r="C37" s="135"/>
      <c r="D37" s="263"/>
      <c r="E37" s="397"/>
      <c r="F37" s="513">
        <f t="shared" si="0"/>
        <v>0</v>
      </c>
      <c r="G37" s="399">
        <f t="shared" si="1"/>
        <v>0</v>
      </c>
      <c r="H37" s="269"/>
    </row>
    <row r="38" spans="1:8" ht="12.75">
      <c r="A38" s="148" t="s">
        <v>226</v>
      </c>
      <c r="B38" s="267"/>
      <c r="C38" s="135"/>
      <c r="D38" s="263"/>
      <c r="E38" s="397"/>
      <c r="F38" s="513">
        <f t="shared" si="0"/>
        <v>0</v>
      </c>
      <c r="G38" s="399">
        <f t="shared" si="1"/>
        <v>0</v>
      </c>
      <c r="H38" s="269"/>
    </row>
    <row r="39" spans="1:8" ht="12.75">
      <c r="A39" s="148" t="s">
        <v>227</v>
      </c>
      <c r="B39" s="267"/>
      <c r="C39" s="135"/>
      <c r="D39" s="263"/>
      <c r="E39" s="397"/>
      <c r="F39" s="513">
        <f t="shared" si="0"/>
        <v>0</v>
      </c>
      <c r="G39" s="399">
        <f t="shared" si="1"/>
        <v>0</v>
      </c>
      <c r="H39" s="269"/>
    </row>
    <row r="40" spans="1:8" ht="12.75">
      <c r="A40" s="148" t="s">
        <v>228</v>
      </c>
      <c r="B40" s="270"/>
      <c r="C40" s="136"/>
      <c r="D40" s="271"/>
      <c r="E40" s="398"/>
      <c r="F40" s="513">
        <f t="shared" si="0"/>
        <v>0</v>
      </c>
      <c r="G40" s="400">
        <f t="shared" si="1"/>
        <v>0</v>
      </c>
      <c r="H40" s="269"/>
    </row>
    <row r="41" spans="1:8" ht="13.5" thickBot="1">
      <c r="A41" s="148"/>
      <c r="B41" s="262"/>
      <c r="C41" s="273"/>
      <c r="D41" s="274"/>
      <c r="E41" s="262"/>
      <c r="F41" s="275"/>
      <c r="G41" s="265"/>
      <c r="H41" s="56"/>
    </row>
    <row r="42" spans="1:8" ht="13.5" thickBot="1">
      <c r="A42" s="318" t="s">
        <v>13</v>
      </c>
      <c r="B42" s="319">
        <f aca="true" t="shared" si="2" ref="B42:G42">SUM(B29:B40)</f>
        <v>444882.6</v>
      </c>
      <c r="C42" s="319">
        <f t="shared" si="2"/>
        <v>104692407.72463971</v>
      </c>
      <c r="D42" s="319">
        <f t="shared" si="2"/>
        <v>10582</v>
      </c>
      <c r="E42" s="412">
        <f t="shared" si="2"/>
        <v>2591371.1495291474</v>
      </c>
      <c r="F42" s="320">
        <f t="shared" si="2"/>
        <v>1</v>
      </c>
      <c r="G42" s="413">
        <f t="shared" si="2"/>
        <v>339017.5384615385</v>
      </c>
      <c r="H42" s="56"/>
    </row>
    <row r="43" spans="1:8" ht="12.75">
      <c r="A43" s="86"/>
      <c r="B43" s="31"/>
      <c r="C43" s="655" t="s">
        <v>121</v>
      </c>
      <c r="D43" s="655"/>
      <c r="E43" s="655"/>
      <c r="F43" s="656"/>
      <c r="G43" s="414">
        <f>G22</f>
        <v>339017.53846153844</v>
      </c>
      <c r="H43" s="276"/>
    </row>
    <row r="44" spans="1:7" ht="13.5" thickBot="1">
      <c r="A44" s="94"/>
      <c r="B44" s="149"/>
      <c r="C44" s="149"/>
      <c r="D44" s="149"/>
      <c r="E44" s="149"/>
      <c r="F44" s="149"/>
      <c r="G44" s="150"/>
    </row>
    <row r="45" spans="1:7" ht="42" customHeight="1">
      <c r="A45" s="653" t="s">
        <v>202</v>
      </c>
      <c r="B45" s="653"/>
      <c r="C45" s="653"/>
      <c r="D45" s="653"/>
      <c r="E45" s="653"/>
      <c r="F45" s="653"/>
      <c r="G45" s="653"/>
    </row>
    <row r="46" ht="15.75">
      <c r="A46" s="54" t="s">
        <v>229</v>
      </c>
    </row>
    <row r="47" ht="10.5" customHeight="1">
      <c r="A47" s="131"/>
    </row>
    <row r="48" ht="9" customHeight="1">
      <c r="A48" s="132"/>
    </row>
    <row r="49" spans="1:7" ht="39" thickBot="1">
      <c r="A49" s="132"/>
      <c r="B49" s="280" t="s">
        <v>103</v>
      </c>
      <c r="C49" s="280" t="s">
        <v>203</v>
      </c>
      <c r="D49" s="280" t="s">
        <v>102</v>
      </c>
      <c r="E49" s="278"/>
      <c r="F49" s="278"/>
      <c r="G49" s="278"/>
    </row>
    <row r="50" spans="1:3" ht="15">
      <c r="A50" s="132"/>
      <c r="B50" s="30"/>
      <c r="C50" s="30"/>
    </row>
    <row r="51" spans="1:5" ht="12.75">
      <c r="A51" s="109" t="s">
        <v>98</v>
      </c>
      <c r="B51" s="288"/>
      <c r="C51" s="288"/>
      <c r="D51" s="406">
        <f>$G29</f>
        <v>150910.31147014324</v>
      </c>
      <c r="E51" s="112"/>
    </row>
    <row r="52" spans="1:5" ht="7.5" customHeight="1">
      <c r="A52" s="112"/>
      <c r="B52" s="281"/>
      <c r="C52" s="281"/>
      <c r="D52" s="282"/>
      <c r="E52" s="112"/>
    </row>
    <row r="53" spans="1:5" ht="12.75">
      <c r="A53" s="109" t="s">
        <v>101</v>
      </c>
      <c r="B53" s="484">
        <v>0.5024</v>
      </c>
      <c r="C53" s="484">
        <v>0.49760000000000004</v>
      </c>
      <c r="D53" s="289">
        <f>B53+C53</f>
        <v>1</v>
      </c>
      <c r="E53" s="112"/>
    </row>
    <row r="54" spans="1:5" ht="7.5" customHeight="1">
      <c r="A54" s="112"/>
      <c r="B54" s="283"/>
      <c r="C54" s="283"/>
      <c r="D54" s="283"/>
      <c r="E54" s="112"/>
    </row>
    <row r="55" spans="1:5" ht="13.5" customHeight="1">
      <c r="A55" s="109" t="s">
        <v>105</v>
      </c>
      <c r="B55" s="401">
        <f>$B53*$D51</f>
        <v>75817.34048259996</v>
      </c>
      <c r="C55" s="401">
        <f>C53*D51</f>
        <v>75092.97098754327</v>
      </c>
      <c r="D55" s="401">
        <f>SUM(B55:C55)</f>
        <v>150910.31147014324</v>
      </c>
      <c r="E55" s="112"/>
    </row>
    <row r="56" spans="1:5" ht="7.5" customHeight="1">
      <c r="A56" s="112"/>
      <c r="B56" s="284"/>
      <c r="C56" s="284"/>
      <c r="D56" s="284"/>
      <c r="E56" s="112"/>
    </row>
    <row r="57" spans="1:5" ht="13.5" customHeight="1">
      <c r="A57" s="109" t="s">
        <v>99</v>
      </c>
      <c r="B57" s="291">
        <f>$C29</f>
        <v>63260404.292234115</v>
      </c>
      <c r="C57" s="290"/>
      <c r="D57" s="290"/>
      <c r="E57" s="112"/>
    </row>
    <row r="58" spans="1:5" ht="7.5" customHeight="1">
      <c r="A58" s="112"/>
      <c r="B58" s="285"/>
      <c r="C58" s="284"/>
      <c r="D58" s="284"/>
      <c r="E58" s="112"/>
    </row>
    <row r="59" spans="1:5" ht="13.5" customHeight="1">
      <c r="A59" s="109" t="s">
        <v>100</v>
      </c>
      <c r="B59" s="290"/>
      <c r="C59" s="291">
        <f>$D29</f>
        <v>6334</v>
      </c>
      <c r="D59" s="290"/>
      <c r="E59" s="112"/>
    </row>
    <row r="60" spans="1:5" ht="7.5" customHeight="1">
      <c r="A60" s="112"/>
      <c r="B60" s="284"/>
      <c r="C60" s="285"/>
      <c r="D60" s="284"/>
      <c r="E60" s="112"/>
    </row>
    <row r="61" spans="1:5" ht="13.5" customHeight="1">
      <c r="A61" s="109" t="s">
        <v>170</v>
      </c>
      <c r="B61" s="402">
        <f>IF(ISERROR($B55/$B57),0,$B55/$B57)</f>
        <v>0.0011984959838757677</v>
      </c>
      <c r="C61" s="402"/>
      <c r="D61" s="292"/>
      <c r="E61" s="112"/>
    </row>
    <row r="62" spans="1:5" ht="7.5" customHeight="1">
      <c r="A62" s="112"/>
      <c r="B62" s="403"/>
      <c r="C62" s="403"/>
      <c r="D62" s="287"/>
      <c r="E62" s="112"/>
    </row>
    <row r="63" spans="1:5" ht="12.75">
      <c r="A63" s="109" t="s">
        <v>171</v>
      </c>
      <c r="B63" s="404"/>
      <c r="C63" s="405">
        <f>IF(ISERROR($C55/$C59/12),0,$C55/$C59/12)</f>
        <v>0.9879614117927491</v>
      </c>
      <c r="D63" s="293"/>
      <c r="E63" s="112"/>
    </row>
    <row r="64" spans="1:4" ht="15">
      <c r="A64" s="132"/>
      <c r="B64" s="56"/>
      <c r="C64" s="56"/>
      <c r="D64" s="56"/>
    </row>
    <row r="65" spans="2:4" ht="12.75">
      <c r="B65" s="56"/>
      <c r="C65" s="56"/>
      <c r="D65" s="56"/>
    </row>
    <row r="66" ht="15.75">
      <c r="A66" s="54" t="s">
        <v>230</v>
      </c>
    </row>
    <row r="67" ht="10.5" customHeight="1">
      <c r="A67" s="131"/>
    </row>
    <row r="68" ht="9" customHeight="1">
      <c r="A68" s="132"/>
    </row>
    <row r="69" spans="1:7" ht="39" thickBot="1">
      <c r="A69" s="132"/>
      <c r="B69" s="280" t="s">
        <v>103</v>
      </c>
      <c r="C69" s="280" t="s">
        <v>203</v>
      </c>
      <c r="D69" s="280" t="s">
        <v>102</v>
      </c>
      <c r="E69" s="278"/>
      <c r="F69" s="278"/>
      <c r="G69" s="278"/>
    </row>
    <row r="70" spans="1:3" ht="15">
      <c r="A70" s="132"/>
      <c r="B70" s="30"/>
      <c r="C70" s="30"/>
    </row>
    <row r="71" spans="1:5" ht="12.75">
      <c r="A71" s="109" t="s">
        <v>98</v>
      </c>
      <c r="B71" s="288"/>
      <c r="C71" s="288"/>
      <c r="D71" s="406">
        <f>$G30</f>
        <v>68836.4249013055</v>
      </c>
      <c r="E71" s="112"/>
    </row>
    <row r="72" spans="1:5" ht="7.5" customHeight="1">
      <c r="A72" s="112"/>
      <c r="B72" s="281"/>
      <c r="C72" s="281"/>
      <c r="D72" s="282"/>
      <c r="E72" s="112"/>
    </row>
    <row r="73" spans="1:5" ht="12.75">
      <c r="A73" s="109" t="s">
        <v>101</v>
      </c>
      <c r="B73" s="484">
        <v>0.7212999999999999</v>
      </c>
      <c r="C73" s="484">
        <v>0.27870000000000006</v>
      </c>
      <c r="D73" s="289">
        <f>B73+C73</f>
        <v>1</v>
      </c>
      <c r="E73" s="112"/>
    </row>
    <row r="74" spans="1:5" ht="7.5" customHeight="1">
      <c r="A74" s="112"/>
      <c r="B74" s="283"/>
      <c r="C74" s="283"/>
      <c r="D74" s="283"/>
      <c r="E74" s="112"/>
    </row>
    <row r="75" spans="1:5" ht="13.5" customHeight="1">
      <c r="A75" s="109" t="s">
        <v>105</v>
      </c>
      <c r="B75" s="401">
        <f>$B73*$D71</f>
        <v>49651.71328131165</v>
      </c>
      <c r="C75" s="401">
        <f>C73*D71</f>
        <v>19184.711619993846</v>
      </c>
      <c r="D75" s="401">
        <f>SUM(B75:C75)</f>
        <v>68836.4249013055</v>
      </c>
      <c r="E75" s="112"/>
    </row>
    <row r="76" spans="1:5" ht="7.5" customHeight="1">
      <c r="A76" s="112"/>
      <c r="B76" s="284"/>
      <c r="C76" s="284"/>
      <c r="D76" s="284"/>
      <c r="E76" s="112"/>
    </row>
    <row r="77" spans="1:5" ht="13.5" customHeight="1">
      <c r="A77" s="109" t="s">
        <v>99</v>
      </c>
      <c r="B77" s="291">
        <f>$C30</f>
        <v>41432003.432405606</v>
      </c>
      <c r="C77" s="290"/>
      <c r="D77" s="290"/>
      <c r="E77" s="112"/>
    </row>
    <row r="78" spans="1:5" ht="7.5" customHeight="1">
      <c r="A78" s="112"/>
      <c r="B78" s="285"/>
      <c r="C78" s="284"/>
      <c r="D78" s="284"/>
      <c r="E78" s="112"/>
    </row>
    <row r="79" spans="1:5" ht="13.5" customHeight="1">
      <c r="A79" s="109" t="s">
        <v>100</v>
      </c>
      <c r="B79" s="290"/>
      <c r="C79" s="291">
        <f>$D30</f>
        <v>1390</v>
      </c>
      <c r="D79" s="290"/>
      <c r="E79" s="112"/>
    </row>
    <row r="80" spans="1:5" ht="7.5" customHeight="1">
      <c r="A80" s="112"/>
      <c r="B80" s="284"/>
      <c r="C80" s="285"/>
      <c r="D80" s="284"/>
      <c r="E80" s="112"/>
    </row>
    <row r="81" spans="1:5" ht="13.5" customHeight="1">
      <c r="A81" s="109" t="s">
        <v>170</v>
      </c>
      <c r="B81" s="402">
        <f>IF(ISERROR($B75/$B77),0,$B75/$B77)</f>
        <v>0.0011983903545073826</v>
      </c>
      <c r="C81" s="402"/>
      <c r="D81" s="292"/>
      <c r="E81" s="112"/>
    </row>
    <row r="82" spans="1:5" ht="7.5" customHeight="1">
      <c r="A82" s="112"/>
      <c r="B82" s="403"/>
      <c r="C82" s="403"/>
      <c r="D82" s="287"/>
      <c r="E82" s="112"/>
    </row>
    <row r="83" spans="1:5" ht="12.75">
      <c r="A83" s="109" t="s">
        <v>171</v>
      </c>
      <c r="B83" s="404"/>
      <c r="C83" s="405">
        <f>IF(ISERROR($C75/$C79/12),0,$C75/$C79/12)</f>
        <v>1.150162567145914</v>
      </c>
      <c r="D83" s="293"/>
      <c r="E83" s="112"/>
    </row>
    <row r="84" spans="1:5" ht="12.75">
      <c r="A84" s="294"/>
      <c r="B84" s="295"/>
      <c r="C84" s="296"/>
      <c r="D84" s="295"/>
      <c r="E84" s="112"/>
    </row>
    <row r="85" spans="1:5" ht="12.75">
      <c r="A85" s="294"/>
      <c r="B85" s="295"/>
      <c r="C85" s="296"/>
      <c r="D85" s="295"/>
      <c r="E85" s="112"/>
    </row>
    <row r="86" ht="15.75">
      <c r="A86" s="54" t="s">
        <v>231</v>
      </c>
    </row>
    <row r="87" ht="9" customHeight="1">
      <c r="A87" s="54"/>
    </row>
    <row r="88" ht="15">
      <c r="A88" s="132"/>
    </row>
    <row r="89" spans="1:7" ht="39" thickBot="1">
      <c r="A89" s="132"/>
      <c r="B89" s="280" t="s">
        <v>103</v>
      </c>
      <c r="C89" s="280" t="s">
        <v>203</v>
      </c>
      <c r="D89" s="280" t="s">
        <v>102</v>
      </c>
      <c r="E89" s="278"/>
      <c r="F89" s="278"/>
      <c r="G89" s="278"/>
    </row>
    <row r="90" spans="1:3" ht="15">
      <c r="A90" s="132"/>
      <c r="B90" s="30"/>
      <c r="C90" s="30"/>
    </row>
    <row r="91" spans="1:5" ht="12.75">
      <c r="A91" s="109" t="s">
        <v>98</v>
      </c>
      <c r="B91" s="288"/>
      <c r="C91" s="288"/>
      <c r="D91" s="406">
        <f>$G31</f>
        <v>113225.1205181675</v>
      </c>
      <c r="E91" s="112"/>
    </row>
    <row r="92" spans="1:5" ht="7.5" customHeight="1">
      <c r="A92" s="112"/>
      <c r="B92" s="281"/>
      <c r="C92" s="281"/>
      <c r="D92" s="282"/>
      <c r="E92" s="112"/>
    </row>
    <row r="93" spans="1:5" ht="12.75">
      <c r="A93" s="109" t="s">
        <v>101</v>
      </c>
      <c r="B93" s="484">
        <v>0.962</v>
      </c>
      <c r="C93" s="484">
        <v>0.038000000000000034</v>
      </c>
      <c r="D93" s="289">
        <f>B93+C93</f>
        <v>1</v>
      </c>
      <c r="E93" s="112"/>
    </row>
    <row r="94" spans="1:5" ht="7.5" customHeight="1">
      <c r="A94" s="112"/>
      <c r="B94" s="283"/>
      <c r="C94" s="283"/>
      <c r="D94" s="283"/>
      <c r="E94" s="112"/>
    </row>
    <row r="95" spans="1:5" ht="13.5" customHeight="1">
      <c r="A95" s="109" t="s">
        <v>105</v>
      </c>
      <c r="B95" s="401">
        <f>$B93*$D91</f>
        <v>108922.56593847713</v>
      </c>
      <c r="C95" s="401">
        <f>C93*D91</f>
        <v>4302.554579690369</v>
      </c>
      <c r="D95" s="401">
        <f>SUM(B95:C95)</f>
        <v>113225.1205181675</v>
      </c>
      <c r="E95" s="112"/>
    </row>
    <row r="96" spans="1:5" ht="7.5" customHeight="1">
      <c r="A96" s="112"/>
      <c r="B96" s="284"/>
      <c r="C96" s="284"/>
      <c r="D96" s="284"/>
      <c r="E96" s="112"/>
    </row>
    <row r="97" spans="1:5" ht="13.5" customHeight="1">
      <c r="A97" s="493" t="s">
        <v>162</v>
      </c>
      <c r="B97" s="487">
        <f>$B31</f>
        <v>312778.6</v>
      </c>
      <c r="C97" s="290"/>
      <c r="D97" s="290"/>
      <c r="E97" s="112"/>
    </row>
    <row r="98" spans="1:5" ht="7.5" customHeight="1">
      <c r="A98" s="112"/>
      <c r="B98" s="285"/>
      <c r="C98" s="284"/>
      <c r="D98" s="284"/>
      <c r="E98" s="112"/>
    </row>
    <row r="99" spans="1:5" ht="13.5" customHeight="1">
      <c r="A99" s="109" t="s">
        <v>100</v>
      </c>
      <c r="B99" s="290"/>
      <c r="C99" s="291">
        <f>$D31</f>
        <v>175</v>
      </c>
      <c r="D99" s="290"/>
      <c r="E99" s="112"/>
    </row>
    <row r="100" spans="1:5" ht="7.5" customHeight="1">
      <c r="A100" s="112"/>
      <c r="B100" s="284"/>
      <c r="C100" s="285"/>
      <c r="D100" s="284"/>
      <c r="E100" s="112"/>
    </row>
    <row r="101" spans="1:6" ht="13.5" customHeight="1">
      <c r="A101" s="109" t="s">
        <v>170</v>
      </c>
      <c r="B101" s="402">
        <f>IF(ISERROR($B95/$B97),0,$B95/$B97)</f>
        <v>0.3482417465212682</v>
      </c>
      <c r="C101" s="402"/>
      <c r="D101" s="292"/>
      <c r="E101" s="112"/>
      <c r="F101" s="380"/>
    </row>
    <row r="102" spans="1:5" ht="7.5" customHeight="1">
      <c r="A102" s="112"/>
      <c r="B102" s="403"/>
      <c r="C102" s="403"/>
      <c r="D102" s="287"/>
      <c r="E102" s="112"/>
    </row>
    <row r="103" spans="1:5" ht="12.75">
      <c r="A103" s="109" t="s">
        <v>171</v>
      </c>
      <c r="B103" s="404"/>
      <c r="C103" s="405">
        <f>IF(ISERROR($C95/$C99/12),0,$C95/$C99/12)</f>
        <v>2.048835514138271</v>
      </c>
      <c r="D103" s="293"/>
      <c r="E103" s="112"/>
    </row>
    <row r="104" spans="1:5" ht="12.75">
      <c r="A104" s="294"/>
      <c r="B104" s="295"/>
      <c r="C104" s="296"/>
      <c r="D104" s="295"/>
      <c r="E104" s="112"/>
    </row>
    <row r="105" spans="1:5" ht="12.75">
      <c r="A105" s="294"/>
      <c r="B105" s="295"/>
      <c r="C105" s="296"/>
      <c r="D105" s="295"/>
      <c r="E105" s="112"/>
    </row>
    <row r="106" ht="15.75">
      <c r="A106" s="54" t="s">
        <v>204</v>
      </c>
    </row>
    <row r="107" ht="9" customHeight="1">
      <c r="A107" s="54"/>
    </row>
    <row r="108" ht="15">
      <c r="A108" s="132"/>
    </row>
    <row r="109" spans="1:7" ht="39" thickBot="1">
      <c r="A109" s="132"/>
      <c r="B109" s="280" t="s">
        <v>103</v>
      </c>
      <c r="C109" s="280" t="s">
        <v>203</v>
      </c>
      <c r="D109" s="280" t="s">
        <v>102</v>
      </c>
      <c r="E109" s="278"/>
      <c r="F109" s="278"/>
      <c r="G109" s="278"/>
    </row>
    <row r="110" spans="1:3" ht="15">
      <c r="A110" s="132"/>
      <c r="B110" s="30"/>
      <c r="C110" s="30"/>
    </row>
    <row r="111" spans="1:5" ht="12.75">
      <c r="A111" s="109" t="s">
        <v>98</v>
      </c>
      <c r="B111" s="288"/>
      <c r="C111" s="288"/>
      <c r="D111" s="406">
        <f>$G32</f>
        <v>0</v>
      </c>
      <c r="E111" s="112"/>
    </row>
    <row r="112" spans="1:5" ht="7.5" customHeight="1">
      <c r="A112" s="112"/>
      <c r="B112" s="281"/>
      <c r="C112" s="281"/>
      <c r="D112" s="282"/>
      <c r="E112" s="112"/>
    </row>
    <row r="113" spans="1:5" ht="12.75">
      <c r="A113" s="109" t="s">
        <v>101</v>
      </c>
      <c r="B113" s="484"/>
      <c r="C113" s="484"/>
      <c r="D113" s="289">
        <f>B113+C113</f>
        <v>0</v>
      </c>
      <c r="E113" s="112"/>
    </row>
    <row r="114" spans="1:5" ht="7.5" customHeight="1">
      <c r="A114" s="112"/>
      <c r="B114" s="283"/>
      <c r="C114" s="283"/>
      <c r="D114" s="283"/>
      <c r="E114" s="112"/>
    </row>
    <row r="115" spans="1:5" ht="13.5" customHeight="1">
      <c r="A115" s="109" t="s">
        <v>105</v>
      </c>
      <c r="B115" s="401">
        <f>$B113*$D111</f>
        <v>0</v>
      </c>
      <c r="C115" s="401">
        <f>C113*D111</f>
        <v>0</v>
      </c>
      <c r="D115" s="401">
        <f>SUM(B115:C115)</f>
        <v>0</v>
      </c>
      <c r="E115" s="112"/>
    </row>
    <row r="116" spans="1:5" ht="7.5" customHeight="1">
      <c r="A116" s="112"/>
      <c r="B116" s="284"/>
      <c r="C116" s="284"/>
      <c r="D116" s="284"/>
      <c r="E116" s="112"/>
    </row>
    <row r="117" spans="1:5" ht="13.5" customHeight="1">
      <c r="A117" s="109" t="s">
        <v>162</v>
      </c>
      <c r="B117" s="291">
        <f>$B32</f>
        <v>0</v>
      </c>
      <c r="C117" s="290"/>
      <c r="D117" s="290"/>
      <c r="E117" s="112"/>
    </row>
    <row r="118" spans="1:5" ht="7.5" customHeight="1">
      <c r="A118" s="112"/>
      <c r="B118" s="285"/>
      <c r="C118" s="284"/>
      <c r="D118" s="284"/>
      <c r="E118" s="112"/>
    </row>
    <row r="119" spans="1:5" ht="13.5" customHeight="1">
      <c r="A119" s="109" t="s">
        <v>100</v>
      </c>
      <c r="B119" s="290"/>
      <c r="C119" s="291">
        <f>$D32</f>
        <v>0</v>
      </c>
      <c r="D119" s="290"/>
      <c r="E119" s="112"/>
    </row>
    <row r="120" spans="1:5" ht="7.5" customHeight="1">
      <c r="A120" s="112"/>
      <c r="B120" s="284"/>
      <c r="C120" s="285"/>
      <c r="D120" s="284"/>
      <c r="E120" s="112"/>
    </row>
    <row r="121" spans="1:5" ht="13.5" customHeight="1">
      <c r="A121" s="109" t="s">
        <v>172</v>
      </c>
      <c r="B121" s="402">
        <f>IF(ISERROR($B115/$B117),0,$B115/$B117)</f>
        <v>0</v>
      </c>
      <c r="C121" s="402"/>
      <c r="D121" s="292"/>
      <c r="E121" s="112"/>
    </row>
    <row r="122" spans="1:5" ht="7.5" customHeight="1">
      <c r="A122" s="112"/>
      <c r="B122" s="403"/>
      <c r="C122" s="403"/>
      <c r="D122" s="287"/>
      <c r="E122" s="112"/>
    </row>
    <row r="123" spans="1:5" ht="12.75">
      <c r="A123" s="109" t="s">
        <v>171</v>
      </c>
      <c r="B123" s="404"/>
      <c r="C123" s="405">
        <f>IF(ISERROR($C115/$C119/12),0,$C115/$C119/12)</f>
        <v>0</v>
      </c>
      <c r="D123" s="293"/>
      <c r="E123" s="112"/>
    </row>
    <row r="124" spans="1:5" ht="12.75">
      <c r="A124" s="294"/>
      <c r="B124" s="295"/>
      <c r="C124" s="296"/>
      <c r="D124" s="295"/>
      <c r="E124" s="112"/>
    </row>
    <row r="125" spans="1:5" ht="12.75">
      <c r="A125" s="294"/>
      <c r="B125" s="295"/>
      <c r="C125" s="296"/>
      <c r="D125" s="295"/>
      <c r="E125" s="112"/>
    </row>
    <row r="126" ht="15.75">
      <c r="A126" s="54" t="s">
        <v>14</v>
      </c>
    </row>
    <row r="127" ht="10.5" customHeight="1">
      <c r="A127" s="54"/>
    </row>
    <row r="128" ht="15">
      <c r="A128" s="132"/>
    </row>
    <row r="129" spans="1:7" ht="39" thickBot="1">
      <c r="A129" s="132"/>
      <c r="B129" s="280" t="s">
        <v>103</v>
      </c>
      <c r="C129" s="280" t="s">
        <v>203</v>
      </c>
      <c r="D129" s="280" t="s">
        <v>102</v>
      </c>
      <c r="E129" s="278"/>
      <c r="F129" s="278"/>
      <c r="G129" s="278"/>
    </row>
    <row r="130" spans="1:3" ht="15">
      <c r="A130" s="132"/>
      <c r="B130" s="30"/>
      <c r="C130" s="30"/>
    </row>
    <row r="131" spans="1:5" ht="12.75">
      <c r="A131" s="109" t="s">
        <v>98</v>
      </c>
      <c r="B131" s="288"/>
      <c r="C131" s="288"/>
      <c r="D131" s="406">
        <f>$G33</f>
        <v>1130.3909474253885</v>
      </c>
      <c r="E131" s="112"/>
    </row>
    <row r="132" spans="1:5" ht="7.5" customHeight="1">
      <c r="A132" s="112"/>
      <c r="B132" s="281"/>
      <c r="C132" s="281"/>
      <c r="D132" s="282"/>
      <c r="E132" s="112"/>
    </row>
    <row r="133" spans="1:5" ht="12.75">
      <c r="A133" s="109" t="s">
        <v>101</v>
      </c>
      <c r="B133" s="484">
        <v>0.96194</v>
      </c>
      <c r="C133" s="484">
        <v>0.03805999999999998</v>
      </c>
      <c r="D133" s="289">
        <f>B133+C133</f>
        <v>1</v>
      </c>
      <c r="E133" s="112"/>
    </row>
    <row r="134" spans="1:5" ht="7.5" customHeight="1">
      <c r="A134" s="112"/>
      <c r="B134" s="283"/>
      <c r="C134" s="283"/>
      <c r="D134" s="283"/>
      <c r="E134" s="112"/>
    </row>
    <row r="135" spans="1:5" ht="13.5" customHeight="1">
      <c r="A135" s="109" t="s">
        <v>105</v>
      </c>
      <c r="B135" s="401">
        <f>$B133*$D131</f>
        <v>1087.3682679663782</v>
      </c>
      <c r="C135" s="401">
        <f>C133*D131</f>
        <v>43.02267945901027</v>
      </c>
      <c r="D135" s="401">
        <f>SUM(B135:C135)</f>
        <v>1130.3909474253885</v>
      </c>
      <c r="E135" s="112"/>
    </row>
    <row r="136" spans="1:5" ht="7.5" customHeight="1">
      <c r="A136" s="112"/>
      <c r="B136" s="284"/>
      <c r="C136" s="284"/>
      <c r="D136" s="284"/>
      <c r="E136" s="112"/>
    </row>
    <row r="137" spans="1:5" ht="13.5" customHeight="1">
      <c r="A137" s="109" t="s">
        <v>162</v>
      </c>
      <c r="B137" s="291">
        <f>$B33</f>
        <v>12006</v>
      </c>
      <c r="C137" s="290"/>
      <c r="D137" s="290"/>
      <c r="E137" s="112"/>
    </row>
    <row r="138" spans="1:5" ht="7.5" customHeight="1">
      <c r="A138" s="112"/>
      <c r="B138" s="285"/>
      <c r="C138" s="284"/>
      <c r="D138" s="284"/>
      <c r="E138" s="112"/>
    </row>
    <row r="139" spans="1:5" ht="13.5" customHeight="1">
      <c r="A139" s="109" t="s">
        <v>100</v>
      </c>
      <c r="B139" s="290"/>
      <c r="C139" s="291">
        <f>$D33</f>
        <v>1</v>
      </c>
      <c r="D139" s="290"/>
      <c r="E139" s="112"/>
    </row>
    <row r="140" spans="1:5" ht="7.5" customHeight="1">
      <c r="A140" s="112"/>
      <c r="B140" s="284"/>
      <c r="C140" s="285"/>
      <c r="D140" s="284"/>
      <c r="E140" s="112"/>
    </row>
    <row r="141" spans="1:5" ht="13.5" customHeight="1">
      <c r="A141" s="109" t="s">
        <v>172</v>
      </c>
      <c r="B141" s="402">
        <f>IF(ISERROR($B135/$B137),0,$B135/$B137)</f>
        <v>0.09056873796155074</v>
      </c>
      <c r="C141" s="402"/>
      <c r="D141" s="292"/>
      <c r="E141" s="112"/>
    </row>
    <row r="142" spans="1:5" ht="7.5" customHeight="1">
      <c r="A142" s="112"/>
      <c r="B142" s="403"/>
      <c r="C142" s="403"/>
      <c r="D142" s="287"/>
      <c r="E142" s="112"/>
    </row>
    <row r="143" spans="1:5" ht="12.75">
      <c r="A143" s="109" t="s">
        <v>171</v>
      </c>
      <c r="B143" s="404"/>
      <c r="C143" s="405">
        <f>IF(ISERROR($C135/$C139/12),0,$C135/$C139/12)</f>
        <v>3.5852232882508557</v>
      </c>
      <c r="D143" s="293"/>
      <c r="E143" s="112"/>
    </row>
    <row r="144" spans="1:5" ht="12.75">
      <c r="A144" s="294"/>
      <c r="B144" s="295"/>
      <c r="C144" s="296"/>
      <c r="D144" s="295"/>
      <c r="E144" s="112"/>
    </row>
    <row r="145" spans="1:5" ht="12.75">
      <c r="A145" s="294"/>
      <c r="B145" s="295"/>
      <c r="C145" s="296"/>
      <c r="D145" s="295"/>
      <c r="E145" s="112"/>
    </row>
    <row r="146" ht="15.75">
      <c r="A146" s="54" t="s">
        <v>15</v>
      </c>
    </row>
    <row r="147" ht="10.5" customHeight="1">
      <c r="A147" s="54"/>
    </row>
    <row r="148" ht="15">
      <c r="A148" s="132"/>
    </row>
    <row r="149" spans="1:7" ht="39" thickBot="1">
      <c r="A149" s="132"/>
      <c r="B149" s="280" t="s">
        <v>103</v>
      </c>
      <c r="C149" s="280" t="s">
        <v>203</v>
      </c>
      <c r="D149" s="280" t="s">
        <v>102</v>
      </c>
      <c r="E149" s="278"/>
      <c r="F149" s="278"/>
      <c r="G149" s="278"/>
    </row>
    <row r="150" spans="1:3" ht="15">
      <c r="A150" s="132"/>
      <c r="B150" s="30"/>
      <c r="C150" s="30"/>
    </row>
    <row r="151" spans="1:5" ht="12.75">
      <c r="A151" s="109" t="s">
        <v>98</v>
      </c>
      <c r="B151" s="288"/>
      <c r="C151" s="288"/>
      <c r="D151" s="406">
        <f>$G34</f>
        <v>1276.3462570170107</v>
      </c>
      <c r="E151" s="112"/>
    </row>
    <row r="152" spans="1:5" ht="7.5" customHeight="1">
      <c r="A152" s="112"/>
      <c r="B152" s="281"/>
      <c r="C152" s="281"/>
      <c r="D152" s="282"/>
      <c r="E152" s="112"/>
    </row>
    <row r="153" spans="1:5" ht="12.75">
      <c r="A153" s="109" t="s">
        <v>101</v>
      </c>
      <c r="B153" s="484">
        <v>0.96629</v>
      </c>
      <c r="C153" s="484">
        <v>0.03371000000000002</v>
      </c>
      <c r="D153" s="289">
        <f>B153+C153</f>
        <v>1</v>
      </c>
      <c r="E153" s="112"/>
    </row>
    <row r="154" spans="1:5" ht="7.5" customHeight="1">
      <c r="A154" s="112"/>
      <c r="B154" s="283"/>
      <c r="C154" s="283"/>
      <c r="D154" s="283"/>
      <c r="E154" s="112"/>
    </row>
    <row r="155" spans="1:5" ht="13.5" customHeight="1">
      <c r="A155" s="109" t="s">
        <v>105</v>
      </c>
      <c r="B155" s="401">
        <f>$B153*$D151</f>
        <v>1233.3206246929672</v>
      </c>
      <c r="C155" s="401">
        <f>C153*D151</f>
        <v>43.02563232404345</v>
      </c>
      <c r="D155" s="401">
        <f>SUM(B155:C155)</f>
        <v>1276.3462570170107</v>
      </c>
      <c r="E155" s="112"/>
    </row>
    <row r="156" spans="1:5" ht="7.5" customHeight="1">
      <c r="A156" s="112"/>
      <c r="B156" s="284"/>
      <c r="C156" s="284"/>
      <c r="D156" s="284"/>
      <c r="E156" s="112"/>
    </row>
    <row r="157" spans="1:5" ht="13.5" customHeight="1">
      <c r="A157" s="109" t="s">
        <v>162</v>
      </c>
      <c r="B157" s="291">
        <f>$B34</f>
        <v>114790</v>
      </c>
      <c r="C157" s="290"/>
      <c r="D157" s="290"/>
      <c r="E157" s="112"/>
    </row>
    <row r="158" spans="1:5" ht="7.5" customHeight="1">
      <c r="A158" s="112"/>
      <c r="B158" s="285"/>
      <c r="C158" s="284"/>
      <c r="D158" s="284"/>
      <c r="E158" s="112"/>
    </row>
    <row r="159" spans="1:5" ht="13.5" customHeight="1">
      <c r="A159" s="109" t="s">
        <v>100</v>
      </c>
      <c r="B159" s="290"/>
      <c r="C159" s="291">
        <f>$D34</f>
        <v>1</v>
      </c>
      <c r="D159" s="290"/>
      <c r="E159" s="112"/>
    </row>
    <row r="160" spans="1:5" ht="7.5" customHeight="1">
      <c r="A160" s="112"/>
      <c r="B160" s="284"/>
      <c r="C160" s="285"/>
      <c r="D160" s="284"/>
      <c r="E160" s="112"/>
    </row>
    <row r="161" spans="1:5" ht="13.5" customHeight="1">
      <c r="A161" s="109" t="s">
        <v>172</v>
      </c>
      <c r="B161" s="402">
        <f>IF(ISERROR($B155/$B157),0,$B155/$B157)</f>
        <v>0.01074414691778872</v>
      </c>
      <c r="C161" s="402"/>
      <c r="D161" s="292"/>
      <c r="E161" s="112"/>
    </row>
    <row r="162" spans="1:5" ht="7.5" customHeight="1">
      <c r="A162" s="112"/>
      <c r="B162" s="403"/>
      <c r="C162" s="403"/>
      <c r="D162" s="287"/>
      <c r="E162" s="112"/>
    </row>
    <row r="163" spans="1:5" ht="12.75">
      <c r="A163" s="109" t="s">
        <v>171</v>
      </c>
      <c r="B163" s="404"/>
      <c r="C163" s="405">
        <f>IF(ISERROR($C155/$C159/12),0,$C155/$C159/12)</f>
        <v>3.5854693603369543</v>
      </c>
      <c r="D163" s="293"/>
      <c r="E163" s="112"/>
    </row>
    <row r="164" spans="1:5" ht="12.75">
      <c r="A164" s="294"/>
      <c r="B164" s="295"/>
      <c r="C164" s="296"/>
      <c r="D164" s="295"/>
      <c r="E164" s="112"/>
    </row>
    <row r="165" spans="1:5" ht="12.75">
      <c r="A165" s="294"/>
      <c r="B165" s="295"/>
      <c r="C165" s="296"/>
      <c r="D165" s="295"/>
      <c r="E165" s="112"/>
    </row>
    <row r="166" ht="15.75">
      <c r="A166" s="54" t="s">
        <v>16</v>
      </c>
    </row>
    <row r="167" ht="6.75" customHeight="1">
      <c r="A167" s="54"/>
    </row>
    <row r="168" ht="15">
      <c r="A168" s="132"/>
    </row>
    <row r="169" spans="1:7" ht="39" thickBot="1">
      <c r="A169" s="132"/>
      <c r="B169" s="280" t="s">
        <v>103</v>
      </c>
      <c r="C169" s="280" t="s">
        <v>203</v>
      </c>
      <c r="D169" s="280" t="s">
        <v>102</v>
      </c>
      <c r="E169" s="278"/>
      <c r="F169" s="278"/>
      <c r="G169" s="278"/>
    </row>
    <row r="170" spans="1:3" ht="15">
      <c r="A170" s="132"/>
      <c r="B170" s="30"/>
      <c r="C170" s="30"/>
    </row>
    <row r="171" spans="1:5" ht="12.75">
      <c r="A171" s="109" t="s">
        <v>98</v>
      </c>
      <c r="B171" s="288"/>
      <c r="C171" s="288"/>
      <c r="D171" s="406">
        <f>$G35</f>
        <v>894.3867545020519</v>
      </c>
      <c r="E171" s="112"/>
    </row>
    <row r="172" spans="1:5" ht="7.5" customHeight="1">
      <c r="A172" s="112"/>
      <c r="B172" s="281"/>
      <c r="C172" s="281"/>
      <c r="D172" s="282"/>
      <c r="E172" s="112"/>
    </row>
    <row r="173" spans="1:5" ht="12.75">
      <c r="A173" s="109" t="s">
        <v>101</v>
      </c>
      <c r="B173" s="484">
        <v>0.463</v>
      </c>
      <c r="C173" s="484">
        <v>0.5369999999999999</v>
      </c>
      <c r="D173" s="289">
        <f>B173+C173</f>
        <v>1</v>
      </c>
      <c r="E173" s="112"/>
    </row>
    <row r="174" spans="1:5" ht="7.5" customHeight="1">
      <c r="A174" s="112"/>
      <c r="B174" s="283"/>
      <c r="C174" s="283"/>
      <c r="D174" s="283"/>
      <c r="E174" s="112"/>
    </row>
    <row r="175" spans="1:5" ht="13.5" customHeight="1">
      <c r="A175" s="109" t="s">
        <v>105</v>
      </c>
      <c r="B175" s="401">
        <f>$B173*$D171</f>
        <v>414.10106733445</v>
      </c>
      <c r="C175" s="401">
        <f>C173*D171</f>
        <v>480.2856871676018</v>
      </c>
      <c r="D175" s="401">
        <f>SUM(B175:C175)</f>
        <v>894.3867545020519</v>
      </c>
      <c r="E175" s="112"/>
    </row>
    <row r="176" spans="1:5" ht="7.5" customHeight="1">
      <c r="A176" s="112"/>
      <c r="B176" s="284"/>
      <c r="C176" s="284"/>
      <c r="D176" s="284"/>
      <c r="E176" s="112"/>
    </row>
    <row r="177" spans="1:5" ht="13.5" customHeight="1">
      <c r="A177" s="109" t="s">
        <v>162</v>
      </c>
      <c r="B177" s="291">
        <f>$B35</f>
        <v>832</v>
      </c>
      <c r="C177" s="290"/>
      <c r="D177" s="290"/>
      <c r="E177" s="112"/>
    </row>
    <row r="178" spans="1:5" ht="7.5" customHeight="1">
      <c r="A178" s="112"/>
      <c r="B178" s="285"/>
      <c r="C178" s="284"/>
      <c r="D178" s="284"/>
      <c r="E178" s="112"/>
    </row>
    <row r="179" spans="1:5" ht="13.5" customHeight="1">
      <c r="A179" s="109" t="s">
        <v>100</v>
      </c>
      <c r="B179" s="290"/>
      <c r="C179" s="291">
        <f>$D35</f>
        <v>264</v>
      </c>
      <c r="D179" s="290"/>
      <c r="E179" s="112"/>
    </row>
    <row r="180" spans="1:5" ht="7.5" customHeight="1">
      <c r="A180" s="112"/>
      <c r="B180" s="284"/>
      <c r="C180" s="285"/>
      <c r="D180" s="284"/>
      <c r="E180" s="112"/>
    </row>
    <row r="181" spans="1:5" ht="13.5" customHeight="1">
      <c r="A181" s="109" t="s">
        <v>172</v>
      </c>
      <c r="B181" s="402">
        <f>IF(ISERROR($B175/$B177),0,$B175/$B177)</f>
        <v>0.4977176290077524</v>
      </c>
      <c r="C181" s="402"/>
      <c r="D181" s="292"/>
      <c r="E181" s="112"/>
    </row>
    <row r="182" spans="1:5" ht="7.5" customHeight="1">
      <c r="A182" s="112"/>
      <c r="B182" s="403"/>
      <c r="C182" s="403"/>
      <c r="D182" s="287"/>
      <c r="E182" s="112"/>
    </row>
    <row r="183" spans="1:5" ht="12.75">
      <c r="A183" s="109" t="s">
        <v>171</v>
      </c>
      <c r="B183" s="404"/>
      <c r="C183" s="405">
        <f>IF(ISERROR($C175/$C179/12),0,$C175/$C179/12)</f>
        <v>0.15160533054532885</v>
      </c>
      <c r="D183" s="293"/>
      <c r="E183" s="112"/>
    </row>
    <row r="184" spans="1:5" ht="12.75">
      <c r="A184" s="294"/>
      <c r="B184" s="295"/>
      <c r="C184" s="296"/>
      <c r="D184" s="295"/>
      <c r="E184" s="112"/>
    </row>
    <row r="185" spans="1:5" ht="12.75">
      <c r="A185" s="294"/>
      <c r="B185" s="295"/>
      <c r="C185" s="296"/>
      <c r="D185" s="295"/>
      <c r="E185" s="112"/>
    </row>
    <row r="186" ht="15.75">
      <c r="A186" s="54" t="s">
        <v>106</v>
      </c>
    </row>
    <row r="187" ht="9.75" customHeight="1">
      <c r="A187" s="54"/>
    </row>
    <row r="188" ht="15">
      <c r="A188" s="132"/>
    </row>
    <row r="189" spans="1:7" ht="39" thickBot="1">
      <c r="A189" s="132"/>
      <c r="B189" s="280" t="s">
        <v>103</v>
      </c>
      <c r="C189" s="280" t="s">
        <v>203</v>
      </c>
      <c r="D189" s="280" t="s">
        <v>102</v>
      </c>
      <c r="E189" s="278"/>
      <c r="F189" s="278"/>
      <c r="G189" s="278"/>
    </row>
    <row r="190" spans="1:3" ht="15">
      <c r="A190" s="132"/>
      <c r="B190" s="30"/>
      <c r="C190" s="30"/>
    </row>
    <row r="191" spans="1:5" ht="12.75">
      <c r="A191" s="109" t="s">
        <v>98</v>
      </c>
      <c r="B191" s="288"/>
      <c r="C191" s="288"/>
      <c r="D191" s="406">
        <f>$G36</f>
        <v>2744.557612977792</v>
      </c>
      <c r="E191" s="112"/>
    </row>
    <row r="192" spans="1:5" ht="7.5" customHeight="1">
      <c r="A192" s="112"/>
      <c r="B192" s="281"/>
      <c r="C192" s="281"/>
      <c r="D192" s="282"/>
      <c r="E192" s="112"/>
    </row>
    <row r="193" spans="1:5" ht="12.75">
      <c r="A193" s="109" t="s">
        <v>101</v>
      </c>
      <c r="B193" s="484">
        <v>0.4</v>
      </c>
      <c r="C193" s="484">
        <v>0.6</v>
      </c>
      <c r="D193" s="289">
        <f>B193+C193</f>
        <v>1</v>
      </c>
      <c r="E193" s="112"/>
    </row>
    <row r="194" spans="1:5" ht="7.5" customHeight="1">
      <c r="A194" s="112"/>
      <c r="B194" s="283"/>
      <c r="C194" s="283"/>
      <c r="D194" s="283"/>
      <c r="E194" s="112"/>
    </row>
    <row r="195" spans="1:5" ht="13.5" customHeight="1">
      <c r="A195" s="109" t="s">
        <v>105</v>
      </c>
      <c r="B195" s="401">
        <f>$B193*$D191</f>
        <v>1097.8230451911168</v>
      </c>
      <c r="C195" s="401">
        <f>C193*D191</f>
        <v>1646.7345677866751</v>
      </c>
      <c r="D195" s="401">
        <f>SUM(B195:C195)</f>
        <v>2744.557612977792</v>
      </c>
      <c r="E195" s="112"/>
    </row>
    <row r="196" spans="1:5" ht="7.5" customHeight="1">
      <c r="A196" s="112"/>
      <c r="B196" s="284"/>
      <c r="C196" s="284"/>
      <c r="D196" s="284"/>
      <c r="E196" s="112"/>
    </row>
    <row r="197" spans="1:5" ht="13.5" customHeight="1">
      <c r="A197" s="109" t="s">
        <v>162</v>
      </c>
      <c r="B197" s="291">
        <f>$B36</f>
        <v>4476</v>
      </c>
      <c r="C197" s="290"/>
      <c r="D197" s="290"/>
      <c r="E197" s="112"/>
    </row>
    <row r="198" spans="1:5" ht="7.5" customHeight="1">
      <c r="A198" s="112"/>
      <c r="B198" s="285"/>
      <c r="C198" s="284"/>
      <c r="D198" s="284"/>
      <c r="E198" s="112"/>
    </row>
    <row r="199" spans="1:5" ht="13.5" customHeight="1">
      <c r="A199" s="109" t="s">
        <v>100</v>
      </c>
      <c r="B199" s="290"/>
      <c r="C199" s="291">
        <f>$D36</f>
        <v>2417</v>
      </c>
      <c r="D199" s="290"/>
      <c r="E199" s="112"/>
    </row>
    <row r="200" spans="1:5" ht="7.5" customHeight="1">
      <c r="A200" s="112"/>
      <c r="B200" s="284"/>
      <c r="C200" s="285"/>
      <c r="D200" s="284"/>
      <c r="E200" s="112"/>
    </row>
    <row r="201" spans="1:5" ht="13.5" customHeight="1">
      <c r="A201" s="109" t="s">
        <v>172</v>
      </c>
      <c r="B201" s="402">
        <f>IF(ISERROR($B195/$B197),0,$B195/$B197)</f>
        <v>0.2452687768523496</v>
      </c>
      <c r="C201" s="402"/>
      <c r="D201" s="292"/>
      <c r="E201" s="112"/>
    </row>
    <row r="202" spans="1:5" ht="7.5" customHeight="1">
      <c r="A202" s="112"/>
      <c r="B202" s="403"/>
      <c r="C202" s="403"/>
      <c r="D202" s="287"/>
      <c r="E202" s="112"/>
    </row>
    <row r="203" spans="1:5" ht="12.75">
      <c r="A203" s="109" t="s">
        <v>171</v>
      </c>
      <c r="B203" s="404"/>
      <c r="C203" s="405">
        <f>IF(ISERROR($C195/$C199/12),0,$C195/$C199/12)</f>
        <v>0.05677611942444749</v>
      </c>
      <c r="D203" s="293"/>
      <c r="E203" s="112"/>
    </row>
    <row r="206" ht="15.75">
      <c r="A206" s="54" t="s">
        <v>232</v>
      </c>
    </row>
    <row r="207" ht="15.75">
      <c r="A207" s="131"/>
    </row>
    <row r="208" ht="15">
      <c r="A208" s="132"/>
    </row>
    <row r="209" spans="1:4" ht="39" thickBot="1">
      <c r="A209" s="132"/>
      <c r="B209" s="280" t="s">
        <v>103</v>
      </c>
      <c r="C209" s="280" t="s">
        <v>203</v>
      </c>
      <c r="D209" s="280" t="s">
        <v>102</v>
      </c>
    </row>
    <row r="210" spans="1:3" ht="15">
      <c r="A210" s="132"/>
      <c r="B210" s="30"/>
      <c r="C210" s="30"/>
    </row>
    <row r="211" spans="1:4" ht="12.75">
      <c r="A211" s="109" t="s">
        <v>98</v>
      </c>
      <c r="B211" s="288"/>
      <c r="C211" s="288"/>
      <c r="D211" s="486">
        <f>$G37</f>
        <v>0</v>
      </c>
    </row>
    <row r="212" spans="1:4" ht="12.75">
      <c r="A212" s="112"/>
      <c r="B212" s="281"/>
      <c r="C212" s="281"/>
      <c r="D212" s="282"/>
    </row>
    <row r="213" spans="1:4" ht="12.75">
      <c r="A213" s="109" t="s">
        <v>101</v>
      </c>
      <c r="B213" s="484"/>
      <c r="C213" s="484"/>
      <c r="D213" s="289">
        <f>B213+C213</f>
        <v>0</v>
      </c>
    </row>
    <row r="214" spans="1:4" ht="12.75">
      <c r="A214" s="112"/>
      <c r="B214" s="283"/>
      <c r="C214" s="283"/>
      <c r="D214" s="283"/>
    </row>
    <row r="215" spans="1:4" ht="12.75">
      <c r="A215" s="109" t="s">
        <v>105</v>
      </c>
      <c r="B215" s="401">
        <f>$B213*$D211</f>
        <v>0</v>
      </c>
      <c r="C215" s="401">
        <f>C213*D211</f>
        <v>0</v>
      </c>
      <c r="D215" s="401">
        <f>SUM(B215:C215)</f>
        <v>0</v>
      </c>
    </row>
    <row r="216" spans="1:4" ht="12.75">
      <c r="A216" s="112"/>
      <c r="B216" s="284"/>
      <c r="C216" s="284"/>
      <c r="D216" s="284"/>
    </row>
    <row r="217" spans="1:4" ht="12.75">
      <c r="A217" s="109" t="s">
        <v>99</v>
      </c>
      <c r="B217" s="487">
        <f>$C37</f>
        <v>0</v>
      </c>
      <c r="C217" s="290"/>
      <c r="D217" s="290"/>
    </row>
    <row r="218" spans="1:4" ht="12.75">
      <c r="A218" s="112"/>
      <c r="B218" s="285"/>
      <c r="C218" s="284"/>
      <c r="D218" s="284"/>
    </row>
    <row r="219" spans="1:4" ht="12.75">
      <c r="A219" s="109" t="s">
        <v>100</v>
      </c>
      <c r="B219" s="290"/>
      <c r="C219" s="487">
        <f>$D37</f>
        <v>0</v>
      </c>
      <c r="D219" s="290"/>
    </row>
    <row r="220" spans="1:4" ht="12.75">
      <c r="A220" s="112"/>
      <c r="B220" s="284"/>
      <c r="C220" s="285"/>
      <c r="D220" s="284"/>
    </row>
    <row r="221" spans="1:4" ht="12.75">
      <c r="A221" s="109" t="s">
        <v>170</v>
      </c>
      <c r="B221" s="402">
        <f>IF(ISERROR($B215/$B217),0,$B215/$B217)</f>
        <v>0</v>
      </c>
      <c r="C221" s="402"/>
      <c r="D221" s="292"/>
    </row>
    <row r="222" spans="1:4" ht="12.75">
      <c r="A222" s="112"/>
      <c r="B222" s="403"/>
      <c r="C222" s="403"/>
      <c r="D222" s="287"/>
    </row>
    <row r="223" spans="1:4" ht="12.75">
      <c r="A223" s="109" t="s">
        <v>171</v>
      </c>
      <c r="B223" s="404"/>
      <c r="C223" s="405">
        <f>IF(ISERROR($C215/$C219/12),0,$C215/$C219/12)</f>
        <v>0</v>
      </c>
      <c r="D223" s="293"/>
    </row>
    <row r="224" spans="1:4" ht="15">
      <c r="A224" s="132"/>
      <c r="B224" s="56"/>
      <c r="C224" s="56"/>
      <c r="D224" s="56"/>
    </row>
    <row r="225" spans="2:4" ht="12.75">
      <c r="B225" s="56"/>
      <c r="C225" s="56"/>
      <c r="D225" s="56"/>
    </row>
    <row r="226" ht="15.75">
      <c r="A226" s="54" t="s">
        <v>233</v>
      </c>
    </row>
    <row r="227" ht="15.75">
      <c r="A227" s="131"/>
    </row>
    <row r="228" ht="15">
      <c r="A228" s="132"/>
    </row>
    <row r="229" spans="1:4" ht="39" thickBot="1">
      <c r="A229" s="132"/>
      <c r="B229" s="280" t="s">
        <v>103</v>
      </c>
      <c r="C229" s="280" t="s">
        <v>203</v>
      </c>
      <c r="D229" s="280" t="s">
        <v>102</v>
      </c>
    </row>
    <row r="230" spans="1:3" ht="15">
      <c r="A230" s="132"/>
      <c r="B230" s="30"/>
      <c r="C230" s="30"/>
    </row>
    <row r="231" spans="1:4" ht="12.75">
      <c r="A231" s="109" t="s">
        <v>98</v>
      </c>
      <c r="B231" s="288"/>
      <c r="C231" s="288"/>
      <c r="D231" s="486">
        <f>$G38</f>
        <v>0</v>
      </c>
    </row>
    <row r="232" spans="1:4" ht="12.75">
      <c r="A232" s="112"/>
      <c r="B232" s="281"/>
      <c r="C232" s="281"/>
      <c r="D232" s="282"/>
    </row>
    <row r="233" spans="1:4" ht="12.75">
      <c r="A233" s="109" t="s">
        <v>101</v>
      </c>
      <c r="B233" s="484"/>
      <c r="C233" s="484"/>
      <c r="D233" s="289">
        <f>B233+C233</f>
        <v>0</v>
      </c>
    </row>
    <row r="234" spans="1:4" ht="12.75">
      <c r="A234" s="112"/>
      <c r="B234" s="283"/>
      <c r="C234" s="283"/>
      <c r="D234" s="283"/>
    </row>
    <row r="235" spans="1:4" ht="12.75">
      <c r="A235" s="109" t="s">
        <v>105</v>
      </c>
      <c r="B235" s="401">
        <f>$B233*$D231</f>
        <v>0</v>
      </c>
      <c r="C235" s="401">
        <f>C233*D231</f>
        <v>0</v>
      </c>
      <c r="D235" s="401">
        <f>SUM(B235:C235)</f>
        <v>0</v>
      </c>
    </row>
    <row r="236" spans="1:4" ht="12.75">
      <c r="A236" s="112"/>
      <c r="B236" s="284"/>
      <c r="C236" s="284"/>
      <c r="D236" s="284"/>
    </row>
    <row r="237" spans="1:4" ht="12.75">
      <c r="A237" s="516" t="s">
        <v>99</v>
      </c>
      <c r="B237" s="517">
        <f>$C38</f>
        <v>0</v>
      </c>
      <c r="C237" s="290"/>
      <c r="D237" s="290"/>
    </row>
    <row r="238" spans="1:4" ht="12.75">
      <c r="A238" s="112"/>
      <c r="B238" s="285"/>
      <c r="C238" s="284"/>
      <c r="D238" s="284"/>
    </row>
    <row r="239" spans="1:4" ht="12.75">
      <c r="A239" s="109" t="s">
        <v>100</v>
      </c>
      <c r="B239" s="290"/>
      <c r="C239" s="487">
        <f>$D38</f>
        <v>0</v>
      </c>
      <c r="D239" s="290"/>
    </row>
    <row r="240" spans="1:4" ht="12.75">
      <c r="A240" s="112"/>
      <c r="B240" s="284"/>
      <c r="C240" s="285"/>
      <c r="D240" s="284"/>
    </row>
    <row r="241" spans="1:4" ht="12.75">
      <c r="A241" s="109" t="s">
        <v>170</v>
      </c>
      <c r="B241" s="402">
        <f>IF(ISERROR($B235/$B237),0,$B235/$B237)</f>
        <v>0</v>
      </c>
      <c r="C241" s="402"/>
      <c r="D241" s="292"/>
    </row>
    <row r="242" spans="1:4" ht="12.75">
      <c r="A242" s="112"/>
      <c r="B242" s="403"/>
      <c r="C242" s="403"/>
      <c r="D242" s="287"/>
    </row>
    <row r="243" spans="1:4" ht="12.75">
      <c r="A243" s="109" t="s">
        <v>171</v>
      </c>
      <c r="B243" s="404"/>
      <c r="C243" s="405">
        <f>IF(ISERROR($C235/$C239/12),0,$C235/$C239/12)</f>
        <v>0</v>
      </c>
      <c r="D243" s="293"/>
    </row>
    <row r="244" spans="1:4" ht="12.75">
      <c r="A244" s="294"/>
      <c r="B244" s="295"/>
      <c r="C244" s="296"/>
      <c r="D244" s="295"/>
    </row>
    <row r="245" spans="1:4" ht="12.75">
      <c r="A245" s="294"/>
      <c r="B245" s="295"/>
      <c r="C245" s="296"/>
      <c r="D245" s="295"/>
    </row>
    <row r="246" ht="15.75">
      <c r="A246" s="54" t="s">
        <v>234</v>
      </c>
    </row>
    <row r="247" ht="15.75">
      <c r="A247" s="54"/>
    </row>
    <row r="248" ht="15">
      <c r="A248" s="132"/>
    </row>
    <row r="249" spans="1:4" ht="39" thickBot="1">
      <c r="A249" s="132"/>
      <c r="B249" s="280" t="s">
        <v>103</v>
      </c>
      <c r="C249" s="280" t="s">
        <v>203</v>
      </c>
      <c r="D249" s="280" t="s">
        <v>102</v>
      </c>
    </row>
    <row r="250" spans="1:3" ht="15">
      <c r="A250" s="132"/>
      <c r="B250" s="30"/>
      <c r="C250" s="30"/>
    </row>
    <row r="251" spans="1:4" ht="12.75">
      <c r="A251" s="109" t="s">
        <v>98</v>
      </c>
      <c r="B251" s="288"/>
      <c r="C251" s="288"/>
      <c r="D251" s="486">
        <f>$G39</f>
        <v>0</v>
      </c>
    </row>
    <row r="252" spans="1:4" ht="12.75">
      <c r="A252" s="112"/>
      <c r="B252" s="281"/>
      <c r="C252" s="281"/>
      <c r="D252" s="282"/>
    </row>
    <row r="253" spans="1:4" ht="12.75">
      <c r="A253" s="109" t="s">
        <v>101</v>
      </c>
      <c r="B253" s="484"/>
      <c r="C253" s="484"/>
      <c r="D253" s="289">
        <f>B253+C253</f>
        <v>0</v>
      </c>
    </row>
    <row r="254" spans="1:4" ht="12.75">
      <c r="A254" s="112"/>
      <c r="B254" s="283"/>
      <c r="C254" s="283"/>
      <c r="D254" s="283"/>
    </row>
    <row r="255" spans="1:4" ht="12.75">
      <c r="A255" s="109" t="s">
        <v>105</v>
      </c>
      <c r="B255" s="401">
        <f>$B253*$D251</f>
        <v>0</v>
      </c>
      <c r="C255" s="401">
        <f>C253*D251</f>
        <v>0</v>
      </c>
      <c r="D255" s="401">
        <f>SUM(B255:C255)</f>
        <v>0</v>
      </c>
    </row>
    <row r="256" spans="1:4" ht="12.75">
      <c r="A256" s="112"/>
      <c r="B256" s="284"/>
      <c r="C256" s="284"/>
      <c r="D256" s="284"/>
    </row>
    <row r="257" spans="1:4" ht="12.75">
      <c r="A257" s="518" t="s">
        <v>162</v>
      </c>
      <c r="B257" s="519">
        <f>$B39</f>
        <v>0</v>
      </c>
      <c r="C257" s="290"/>
      <c r="D257" s="290"/>
    </row>
    <row r="258" spans="1:4" ht="12.75">
      <c r="A258" s="112"/>
      <c r="B258" s="285"/>
      <c r="C258" s="284"/>
      <c r="D258" s="284"/>
    </row>
    <row r="259" spans="1:4" ht="12.75">
      <c r="A259" s="109" t="s">
        <v>100</v>
      </c>
      <c r="B259" s="290"/>
      <c r="C259" s="487">
        <f>$D39</f>
        <v>0</v>
      </c>
      <c r="D259" s="290"/>
    </row>
    <row r="260" spans="1:4" ht="12.75">
      <c r="A260" s="112"/>
      <c r="B260" s="284"/>
      <c r="C260" s="285"/>
      <c r="D260" s="284"/>
    </row>
    <row r="261" spans="1:4" ht="12.75">
      <c r="A261" s="109" t="s">
        <v>170</v>
      </c>
      <c r="B261" s="402">
        <f>IF(ISERROR($B255/$B257),0,$B255/$B257)</f>
        <v>0</v>
      </c>
      <c r="C261" s="402"/>
      <c r="D261" s="292"/>
    </row>
    <row r="262" spans="1:4" ht="12.75">
      <c r="A262" s="112"/>
      <c r="B262" s="403"/>
      <c r="C262" s="403"/>
      <c r="D262" s="287"/>
    </row>
    <row r="263" spans="1:4" ht="12.75">
      <c r="A263" s="109" t="s">
        <v>171</v>
      </c>
      <c r="B263" s="404"/>
      <c r="C263" s="405">
        <f>IF(ISERROR($C255/$C259/12),0,$C255/$C259/12)</f>
        <v>0</v>
      </c>
      <c r="D263" s="293"/>
    </row>
    <row r="266" ht="15.75">
      <c r="A266" s="54" t="s">
        <v>235</v>
      </c>
    </row>
    <row r="267" ht="15.75">
      <c r="A267" s="131"/>
    </row>
    <row r="268" ht="15">
      <c r="A268" s="132"/>
    </row>
    <row r="269" spans="1:4" ht="39" thickBot="1">
      <c r="A269" s="132"/>
      <c r="B269" s="280" t="s">
        <v>103</v>
      </c>
      <c r="C269" s="280" t="s">
        <v>203</v>
      </c>
      <c r="D269" s="280" t="s">
        <v>102</v>
      </c>
    </row>
    <row r="270" spans="1:3" ht="15">
      <c r="A270" s="132"/>
      <c r="B270" s="30"/>
      <c r="C270" s="30"/>
    </row>
    <row r="271" spans="1:4" ht="12.75">
      <c r="A271" s="109" t="s">
        <v>98</v>
      </c>
      <c r="B271" s="288"/>
      <c r="C271" s="288"/>
      <c r="D271" s="486">
        <f>$G40</f>
        <v>0</v>
      </c>
    </row>
    <row r="272" spans="1:4" ht="12.75">
      <c r="A272" s="112"/>
      <c r="B272" s="281"/>
      <c r="C272" s="281"/>
      <c r="D272" s="282"/>
    </row>
    <row r="273" spans="1:4" ht="12.75">
      <c r="A273" s="109" t="s">
        <v>101</v>
      </c>
      <c r="B273" s="484"/>
      <c r="C273" s="484"/>
      <c r="D273" s="289">
        <f>B273+C273</f>
        <v>0</v>
      </c>
    </row>
    <row r="274" spans="1:4" ht="12.75">
      <c r="A274" s="112"/>
      <c r="B274" s="283"/>
      <c r="C274" s="283"/>
      <c r="D274" s="283"/>
    </row>
    <row r="275" spans="1:4" ht="12.75">
      <c r="A275" s="109" t="s">
        <v>105</v>
      </c>
      <c r="B275" s="401">
        <f>$B273*$D271</f>
        <v>0</v>
      </c>
      <c r="C275" s="401">
        <f>C273*D271</f>
        <v>0</v>
      </c>
      <c r="D275" s="401">
        <f>SUM(B275:C275)</f>
        <v>0</v>
      </c>
    </row>
    <row r="276" spans="1:4" ht="12.75">
      <c r="A276" s="112"/>
      <c r="B276" s="284"/>
      <c r="C276" s="284"/>
      <c r="D276" s="284"/>
    </row>
    <row r="277" spans="1:4" ht="12.75">
      <c r="A277" s="109" t="s">
        <v>99</v>
      </c>
      <c r="B277" s="487">
        <f>$C40</f>
        <v>0</v>
      </c>
      <c r="C277" s="290"/>
      <c r="D277" s="290"/>
    </row>
    <row r="278" spans="1:4" ht="12.75">
      <c r="A278" s="112"/>
      <c r="B278" s="285"/>
      <c r="C278" s="284"/>
      <c r="D278" s="284"/>
    </row>
    <row r="279" spans="1:4" ht="12.75">
      <c r="A279" s="109" t="s">
        <v>100</v>
      </c>
      <c r="B279" s="290"/>
      <c r="C279" s="487">
        <f>$D40</f>
        <v>0</v>
      </c>
      <c r="D279" s="290"/>
    </row>
    <row r="280" spans="1:4" ht="12.75">
      <c r="A280" s="112"/>
      <c r="B280" s="284"/>
      <c r="C280" s="285"/>
      <c r="D280" s="284"/>
    </row>
    <row r="281" spans="1:4" ht="12.75">
      <c r="A281" s="109" t="s">
        <v>170</v>
      </c>
      <c r="B281" s="402">
        <f>IF(ISERROR($B275/$B277),0,$B275/$B277)</f>
        <v>0</v>
      </c>
      <c r="C281" s="402"/>
      <c r="D281" s="292"/>
    </row>
    <row r="282" spans="1:4" ht="12.75">
      <c r="A282" s="112"/>
      <c r="B282" s="403"/>
      <c r="C282" s="403"/>
      <c r="D282" s="287"/>
    </row>
    <row r="283" spans="1:4" ht="12.75">
      <c r="A283" s="109" t="s">
        <v>171</v>
      </c>
      <c r="B283" s="404"/>
      <c r="C283" s="405">
        <f>IF(ISERROR($C275/$C279/12),0,$C275/$C279/12)</f>
        <v>0</v>
      </c>
      <c r="D283" s="293"/>
    </row>
  </sheetData>
  <sheetProtection/>
  <mergeCells count="6">
    <mergeCell ref="A45:G45"/>
    <mergeCell ref="B5:C5"/>
    <mergeCell ref="C43:F43"/>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5" max="6" man="1"/>
    <brk id="144" max="6" man="1"/>
  </rowBreaks>
</worksheet>
</file>

<file path=xl/worksheets/sheet4.xml><?xml version="1.0" encoding="utf-8"?>
<worksheet xmlns="http://schemas.openxmlformats.org/spreadsheetml/2006/main" xmlns:r="http://schemas.openxmlformats.org/officeDocument/2006/relationships">
  <dimension ref="A1:H116"/>
  <sheetViews>
    <sheetView zoomScale="75" zoomScaleNormal="75" zoomScalePageLayoutView="0" workbookViewId="0" topLeftCell="A1">
      <pane ySplit="1" topLeftCell="BM5" activePane="bottomLeft" state="frozen"/>
      <selection pane="topLeft" activeCell="A1" sqref="A1"/>
      <selection pane="bottomLeft" activeCell="G42" sqref="G4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173</v>
      </c>
    </row>
    <row r="2" ht="13.5" thickBot="1"/>
    <row r="3" spans="1:7" ht="18">
      <c r="A3" s="300" t="str">
        <f>"Name of Utility:      "&amp;'Info Sheet'!B4</f>
        <v>Name of Utility:      Brant County Power</v>
      </c>
      <c r="B3" s="301"/>
      <c r="C3" s="389"/>
      <c r="D3" s="455" t="str">
        <f>'Info Sheet'!$B$21</f>
        <v>2005.V1.0</v>
      </c>
      <c r="E3" s="26"/>
      <c r="F3" s="31"/>
      <c r="G3" s="31"/>
    </row>
    <row r="4" spans="1:7" ht="18">
      <c r="A4" s="302" t="str">
        <f>"License Number:   "&amp;'Info Sheet'!B6</f>
        <v>License Number:   ED 1999-0191</v>
      </c>
      <c r="B4" s="27"/>
      <c r="C4" s="390"/>
      <c r="D4" s="394" t="str">
        <f>'Info Sheet'!B8</f>
        <v>RP-2005-0013</v>
      </c>
      <c r="E4" s="26"/>
      <c r="F4" s="31"/>
      <c r="G4" s="31"/>
    </row>
    <row r="5" spans="1:7" ht="15.75">
      <c r="A5" s="302" t="str">
        <f>"Name of Contact:  "&amp;'Info Sheet'!B12</f>
        <v>Name of Contact:  Grant Brooker</v>
      </c>
      <c r="B5" s="658"/>
      <c r="C5" s="658"/>
      <c r="D5" s="394" t="str">
        <f>'Info Sheet'!B10</f>
        <v>EB-2005-0009</v>
      </c>
      <c r="E5" s="31"/>
      <c r="F5" s="31"/>
      <c r="G5" s="31"/>
    </row>
    <row r="6" spans="1:4" ht="18">
      <c r="A6" s="303" t="str">
        <f>"E- Mail Address:    "&amp;'Info Sheet'!B14</f>
        <v>E- Mail Address:    gbrooker@brantcountypower.com</v>
      </c>
      <c r="B6" s="27"/>
      <c r="C6" s="391"/>
      <c r="D6" s="100"/>
    </row>
    <row r="7" spans="1:4" ht="15.75">
      <c r="A7" s="302" t="str">
        <f>"Phone Number:     "&amp;'Info Sheet'!B16</f>
        <v>Phone Number:     519 442 2215</v>
      </c>
      <c r="B7" s="652" t="str">
        <f>'Info Sheet'!$C$16&amp;" "&amp;'Info Sheet'!$D$16</f>
        <v>Extension: 734</v>
      </c>
      <c r="C7" s="652"/>
      <c r="D7" s="100"/>
    </row>
    <row r="8" spans="1:4" ht="16.5" thickBot="1">
      <c r="A8" s="304" t="str">
        <f>"Date:                      "&amp;('Info Sheet'!B18)</f>
        <v>Date:                      January 17, 2005</v>
      </c>
      <c r="B8" s="305"/>
      <c r="C8" s="392"/>
      <c r="D8" s="150"/>
    </row>
    <row r="9" spans="1:3" ht="18">
      <c r="A9" s="131"/>
      <c r="C9" s="8"/>
    </row>
    <row r="10" ht="14.25">
      <c r="A10" s="11"/>
    </row>
    <row r="12" spans="1:7" ht="15.75">
      <c r="A12" s="54" t="s">
        <v>229</v>
      </c>
      <c r="B12" s="52"/>
      <c r="C12" s="53"/>
      <c r="D12" s="10"/>
      <c r="E12" s="15"/>
      <c r="G12" s="15"/>
    </row>
    <row r="13" spans="2:7" ht="12.75">
      <c r="B13" s="15"/>
      <c r="C13" s="15"/>
      <c r="D13" s="25"/>
      <c r="E13" s="15"/>
      <c r="F13" s="15"/>
      <c r="G13" s="15"/>
    </row>
    <row r="14" spans="1:8" ht="12.75">
      <c r="A14" s="34" t="s">
        <v>1</v>
      </c>
      <c r="B14" s="23">
        <f>IF(OR(ISBLANK('1. 2002 Base Rate Schedule'!D19),'1. 2002 Base Rate Schedule'!D19=0),"",'1. 2002 Base Rate Schedule'!D19+'2. Adding Final 3rd MARR'!B61)</f>
        <v>0.01232343323667891</v>
      </c>
      <c r="C14" s="15"/>
      <c r="D14" s="381"/>
      <c r="E14" s="15"/>
      <c r="F14" s="297"/>
      <c r="G14" s="297"/>
      <c r="H14" s="297"/>
    </row>
    <row r="15" spans="2:7" ht="12.75">
      <c r="B15" s="15"/>
      <c r="C15" s="15"/>
      <c r="D15" s="381"/>
      <c r="E15" s="15"/>
      <c r="F15" s="15"/>
      <c r="G15" s="15"/>
    </row>
    <row r="16" spans="1:8" ht="12.75">
      <c r="A16" s="34" t="s">
        <v>18</v>
      </c>
      <c r="B16" s="51">
        <f>IF(OR(ISBLANK('1. 2002 Base Rate Schedule'!D21),'1. 2002 Base Rate Schedule'!D21=0),"",'1. 2002 Base Rate Schedule'!D21+'2. Adding Final 3rd MARR'!C63)</f>
        <v>10.139451099306044</v>
      </c>
      <c r="C16" s="15"/>
      <c r="D16" s="381"/>
      <c r="E16" s="15"/>
      <c r="F16" s="297"/>
      <c r="G16" s="277"/>
      <c r="H16" s="297"/>
    </row>
    <row r="17" spans="2:7" ht="12.75">
      <c r="B17" s="15"/>
      <c r="C17" s="15"/>
      <c r="D17" s="16"/>
      <c r="E17" s="15"/>
      <c r="F17" s="15"/>
      <c r="G17" s="15"/>
    </row>
    <row r="18" spans="2:7" ht="12.75">
      <c r="B18" s="15"/>
      <c r="C18" s="15"/>
      <c r="D18" s="16"/>
      <c r="E18" s="15"/>
      <c r="F18" s="15"/>
      <c r="G18" s="15"/>
    </row>
    <row r="19" spans="1:7" ht="15.75">
      <c r="A19" s="54" t="s">
        <v>107</v>
      </c>
      <c r="B19" s="52"/>
      <c r="C19" s="53"/>
      <c r="D19" s="16"/>
      <c r="E19" s="15"/>
      <c r="F19" s="15"/>
      <c r="G19" s="15"/>
    </row>
    <row r="20" spans="2:7" ht="12.75">
      <c r="B20" s="15"/>
      <c r="C20" s="15"/>
      <c r="D20" s="16"/>
      <c r="E20" s="15"/>
      <c r="F20" s="15"/>
      <c r="G20" s="15"/>
    </row>
    <row r="21" spans="1:7" ht="12.75">
      <c r="A21" s="34" t="s">
        <v>1</v>
      </c>
      <c r="B21" s="23">
        <f>IF(OR(ISBLANK('1. 2002 Base Rate Schedule'!D26),'1. 2002 Base Rate Schedule'!D26=0),"",'1. 2002 Base Rate Schedule'!D26+'2. Adding Final 3rd MARR'!B61)</f>
      </c>
      <c r="C21" s="15"/>
      <c r="D21" s="381"/>
      <c r="E21" s="15"/>
      <c r="F21" s="15"/>
      <c r="G21" s="15"/>
    </row>
    <row r="22" spans="2:7" ht="12.75">
      <c r="B22" s="15"/>
      <c r="C22" s="15"/>
      <c r="D22" s="381"/>
      <c r="E22" s="15"/>
      <c r="F22" s="15"/>
      <c r="G22" s="15"/>
    </row>
    <row r="23" spans="1:7" ht="12.75">
      <c r="A23" s="34" t="s">
        <v>18</v>
      </c>
      <c r="B23" s="51">
        <f>IF(OR(ISBLANK('1. 2002 Base Rate Schedule'!D28),'1. 2002 Base Rate Schedule'!D28=0),"",'1. 2002 Base Rate Schedule'!D28+'2. Adding Final 3rd MARR'!C63)</f>
      </c>
      <c r="C23" s="15"/>
      <c r="D23" s="381"/>
      <c r="E23" s="15"/>
      <c r="F23" s="15"/>
      <c r="G23" s="15"/>
    </row>
    <row r="24" spans="2:7" ht="12.75">
      <c r="B24" s="49"/>
      <c r="C24" s="15"/>
      <c r="D24" s="16"/>
      <c r="E24" s="15"/>
      <c r="F24" s="15"/>
      <c r="G24" s="15"/>
    </row>
    <row r="25" spans="2:7" ht="12.75">
      <c r="B25" s="15"/>
      <c r="C25" s="15"/>
      <c r="D25" s="25"/>
      <c r="E25" s="15"/>
      <c r="F25" s="15"/>
      <c r="G25" s="15"/>
    </row>
    <row r="26" spans="1:7" ht="15.75">
      <c r="A26" s="54" t="s">
        <v>236</v>
      </c>
      <c r="B26" s="52"/>
      <c r="C26" s="53"/>
      <c r="D26" s="25"/>
      <c r="E26" s="15"/>
      <c r="F26" s="15"/>
      <c r="G26" s="15"/>
    </row>
    <row r="27" spans="2:7" ht="12.75">
      <c r="B27" s="15"/>
      <c r="C27" s="15"/>
      <c r="D27" s="25"/>
      <c r="E27" s="15"/>
      <c r="F27" s="15"/>
      <c r="G27" s="15"/>
    </row>
    <row r="28" spans="1:8" ht="12.75">
      <c r="A28" s="34" t="s">
        <v>1</v>
      </c>
      <c r="B28" s="23">
        <f>IF(OR(ISBLANK('1. 2002 Base Rate Schedule'!D33),'1. 2002 Base Rate Schedule'!D33=0),"",'1. 2002 Base Rate Schedule'!D33+'2. Adding Final 3rd MARR'!B81)</f>
        <v>0.012721070095554865</v>
      </c>
      <c r="C28" s="15"/>
      <c r="D28" s="381"/>
      <c r="E28" s="15"/>
      <c r="F28" s="15"/>
      <c r="G28" s="298"/>
      <c r="H28" s="297"/>
    </row>
    <row r="29" spans="2:7" ht="12.75">
      <c r="B29" s="15"/>
      <c r="C29" s="15"/>
      <c r="D29" s="381"/>
      <c r="E29" s="15"/>
      <c r="F29" s="15"/>
      <c r="G29" s="298"/>
    </row>
    <row r="30" spans="1:8" ht="12.75">
      <c r="A30" s="34" t="s">
        <v>18</v>
      </c>
      <c r="B30" s="51">
        <f>IF(OR(ISBLANK('1. 2002 Base Rate Schedule'!D35),'1. 2002 Base Rate Schedule'!D35=0),"",'1. 2002 Base Rate Schedule'!D35+'2. Adding Final 3rd MARR'!C83)</f>
        <v>12.185831699634123</v>
      </c>
      <c r="C30" s="15"/>
      <c r="D30" s="381"/>
      <c r="E30" s="15"/>
      <c r="F30" s="15"/>
      <c r="G30" s="298"/>
      <c r="H30" s="297"/>
    </row>
    <row r="31" spans="2:7" ht="12.75">
      <c r="B31" s="15"/>
      <c r="C31" s="15"/>
      <c r="D31" s="25"/>
      <c r="E31" s="15"/>
      <c r="F31" s="15"/>
      <c r="G31" s="15"/>
    </row>
    <row r="32" spans="2:7" ht="12.75">
      <c r="B32" s="15"/>
      <c r="C32" s="15"/>
      <c r="D32" s="25"/>
      <c r="E32" s="15"/>
      <c r="F32" s="15"/>
      <c r="G32" s="15"/>
    </row>
    <row r="33" spans="1:7" ht="15.75">
      <c r="A33" s="54" t="s">
        <v>237</v>
      </c>
      <c r="B33" s="52"/>
      <c r="C33" s="53"/>
      <c r="D33" s="25"/>
      <c r="E33" s="15"/>
      <c r="F33" s="15"/>
      <c r="G33" s="15"/>
    </row>
    <row r="34" spans="2:7" ht="12.75">
      <c r="B34" s="15"/>
      <c r="C34" s="15"/>
      <c r="D34" s="25"/>
      <c r="E34" s="15"/>
      <c r="F34" s="15"/>
      <c r="G34" s="15"/>
    </row>
    <row r="35" spans="1:7" ht="12.75">
      <c r="A35" s="34" t="s">
        <v>3</v>
      </c>
      <c r="B35" s="23">
        <f>IF(OR(ISBLANK('1. 2002 Base Rate Schedule'!D40),'1. 2002 Base Rate Schedule'!D40=0),"",'1. 2002 Base Rate Schedule'!D40+'2. Adding Final 3rd MARR'!B101)</f>
        <v>3.693737299990129</v>
      </c>
      <c r="C35" s="15"/>
      <c r="D35" s="381"/>
      <c r="E35" s="15"/>
      <c r="F35" s="15"/>
      <c r="G35" s="15"/>
    </row>
    <row r="36" spans="2:7" ht="12.75">
      <c r="B36" s="15"/>
      <c r="C36" s="15"/>
      <c r="D36" s="381"/>
      <c r="E36" s="15"/>
      <c r="F36" s="15"/>
      <c r="G36" s="15"/>
    </row>
    <row r="37" spans="1:7" ht="12.75">
      <c r="A37" s="34" t="s">
        <v>18</v>
      </c>
      <c r="B37" s="51">
        <f>IF(OR(ISBLANK('1. 2002 Base Rate Schedule'!D42),'1. 2002 Base Rate Schedule'!D42=0),"",'1. 2002 Base Rate Schedule'!D42+'2. Adding Final 3rd MARR'!C103)</f>
        <v>21.7006919519267</v>
      </c>
      <c r="C37" s="15"/>
      <c r="D37" s="381"/>
      <c r="E37" s="15"/>
      <c r="F37" s="15"/>
      <c r="G37" s="15"/>
    </row>
    <row r="38" spans="2:7" ht="12.75">
      <c r="B38" s="15"/>
      <c r="C38" s="15"/>
      <c r="D38" s="25"/>
      <c r="E38" s="15"/>
      <c r="F38" s="15"/>
      <c r="G38" s="15"/>
    </row>
    <row r="39" spans="2:7" ht="12.75">
      <c r="B39" s="15"/>
      <c r="C39" s="15"/>
      <c r="D39" s="25"/>
      <c r="E39" s="15"/>
      <c r="F39" s="15"/>
      <c r="G39" s="15"/>
    </row>
    <row r="40" spans="1:7" ht="15.75">
      <c r="A40" s="54" t="s">
        <v>108</v>
      </c>
      <c r="B40" s="52"/>
      <c r="C40" s="53"/>
      <c r="D40" s="25"/>
      <c r="E40" s="15"/>
      <c r="F40" s="15"/>
      <c r="G40" s="15"/>
    </row>
    <row r="41" spans="1:7" ht="18">
      <c r="A41" s="8"/>
      <c r="B41" s="15"/>
      <c r="C41" s="15"/>
      <c r="D41" s="25"/>
      <c r="E41" s="15"/>
      <c r="F41" s="15"/>
      <c r="G41" s="15"/>
    </row>
    <row r="42" spans="1:7" ht="12.75">
      <c r="A42" s="34" t="s">
        <v>3</v>
      </c>
      <c r="B42" s="23">
        <f>IF(OR(ISBLANK('1. 2002 Base Rate Schedule'!D47),'1. 2002 Base Rate Schedule'!D47=0),"",'1. 2002 Base Rate Schedule'!D47+'2. Adding Final 3rd MARR'!B121)</f>
      </c>
      <c r="C42" s="15"/>
      <c r="D42" s="381"/>
      <c r="E42" s="15"/>
      <c r="F42" s="15"/>
      <c r="G42" s="15"/>
    </row>
    <row r="43" spans="2:7" ht="12.75">
      <c r="B43" s="15"/>
      <c r="C43" s="15"/>
      <c r="D43" s="381"/>
      <c r="E43" s="15"/>
      <c r="F43" s="15"/>
      <c r="G43" s="15"/>
    </row>
    <row r="44" spans="1:7" ht="12.75">
      <c r="A44" s="34" t="s">
        <v>18</v>
      </c>
      <c r="B44" s="51">
        <f>IF(OR(ISBLANK('1. 2002 Base Rate Schedule'!D49),'1. 2002 Base Rate Schedule'!D49=0),"",'1. 2002 Base Rate Schedule'!D49+'2. Adding Final 3rd MARR'!C123)</f>
      </c>
      <c r="C44" s="15"/>
      <c r="D44" s="381"/>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6" t="s">
        <v>152</v>
      </c>
      <c r="B47" s="15"/>
      <c r="C47" s="15"/>
      <c r="D47" s="25"/>
      <c r="E47" s="15"/>
      <c r="F47" s="15"/>
      <c r="G47" s="15"/>
    </row>
    <row r="48" spans="2:7" ht="12.75">
      <c r="B48" s="15"/>
      <c r="C48" s="15"/>
      <c r="D48" s="25"/>
      <c r="E48" s="15"/>
      <c r="F48" s="15"/>
      <c r="G48" s="15"/>
    </row>
    <row r="49" spans="1:7" ht="12.75">
      <c r="A49" s="34" t="s">
        <v>3</v>
      </c>
      <c r="B49" s="23">
        <f>IF(OR(ISBLANK('1. 2002 Base Rate Schedule'!D54),'1. 2002 Base Rate Schedule'!D54=0),"",'1. 2002 Base Rate Schedule'!D54+'2. Adding Final 3rd MARR'!B141)</f>
        <v>0.9630041498474807</v>
      </c>
      <c r="C49" s="15"/>
      <c r="D49" s="381"/>
      <c r="E49" s="15"/>
      <c r="F49" s="15"/>
      <c r="G49" s="15"/>
    </row>
    <row r="50" spans="2:7" ht="12.75">
      <c r="B50" s="15"/>
      <c r="C50" s="15"/>
      <c r="D50" s="381"/>
      <c r="E50" s="15"/>
      <c r="F50" s="15"/>
      <c r="G50" s="15"/>
    </row>
    <row r="51" spans="1:7" ht="12.75">
      <c r="A51" s="34" t="s">
        <v>18</v>
      </c>
      <c r="B51" s="51">
        <f>IF(OR(ISBLANK('1. 2002 Base Rate Schedule'!D56),'1. 2002 Base Rate Schedule'!D56=0),"",'1. 2002 Base Rate Schedule'!D56+'2. Adding Final 3rd MARR'!C143)</f>
        <v>37.96940217025832</v>
      </c>
      <c r="C51" s="15"/>
      <c r="D51" s="381"/>
      <c r="E51" s="15"/>
      <c r="F51" s="15"/>
      <c r="G51" s="15"/>
    </row>
    <row r="52" spans="2:7" ht="12.75">
      <c r="B52" s="15"/>
      <c r="C52" s="15"/>
      <c r="D52" s="25"/>
      <c r="E52" s="15"/>
      <c r="F52" s="15"/>
      <c r="G52" s="15"/>
    </row>
    <row r="53" spans="2:7" ht="12.75">
      <c r="B53" s="15"/>
      <c r="C53" s="15"/>
      <c r="D53" s="25"/>
      <c r="E53" s="15"/>
      <c r="F53" s="15"/>
      <c r="G53" s="15"/>
    </row>
    <row r="54" spans="1:7" ht="15.75">
      <c r="A54" s="54" t="s">
        <v>109</v>
      </c>
      <c r="B54" s="15"/>
      <c r="C54" s="15"/>
      <c r="D54" s="25"/>
      <c r="E54" s="15"/>
      <c r="F54" s="15"/>
      <c r="G54" s="15"/>
    </row>
    <row r="55" spans="2:7" ht="12.75">
      <c r="B55" s="15"/>
      <c r="C55" s="15"/>
      <c r="D55" s="25"/>
      <c r="E55" s="15"/>
      <c r="F55" s="15"/>
      <c r="G55" s="15"/>
    </row>
    <row r="56" spans="1:7" ht="12.75">
      <c r="A56" s="34" t="s">
        <v>3</v>
      </c>
      <c r="B56" s="23">
        <f>IF(OR(ISBLANK('1. 2002 Base Rate Schedule'!D61),'1. 2002 Base Rate Schedule'!D61=0),"",'1. 2002 Base Rate Schedule'!D61+'2. Adding Final 3rd MARR'!B161)</f>
        <v>0.5331159179755399</v>
      </c>
      <c r="C56" s="15"/>
      <c r="D56" s="381"/>
      <c r="E56" s="15"/>
      <c r="F56" s="15"/>
      <c r="G56" s="15"/>
    </row>
    <row r="57" spans="2:7" ht="12.75">
      <c r="B57" s="15"/>
      <c r="C57" s="15"/>
      <c r="D57" s="381"/>
      <c r="E57" s="15"/>
      <c r="F57" s="15"/>
      <c r="G57" s="15"/>
    </row>
    <row r="58" spans="1:7" ht="12.75">
      <c r="A58" s="34" t="s">
        <v>18</v>
      </c>
      <c r="B58" s="51">
        <f>IF(OR(ISBLANK('1. 2002 Base Rate Schedule'!D63),'1. 2002 Base Rate Schedule'!D63=0),"",'1. 2002 Base Rate Schedule'!D63+'2. Adding Final 3rd MARR'!C163)</f>
        <v>179.8940168853936</v>
      </c>
      <c r="C58" s="15"/>
      <c r="D58" s="381"/>
      <c r="E58" s="15"/>
      <c r="F58" s="15"/>
      <c r="G58" s="15"/>
    </row>
    <row r="59" spans="2:7" ht="12.75">
      <c r="B59" s="15"/>
      <c r="C59" s="15"/>
      <c r="D59" s="25"/>
      <c r="E59" s="15"/>
      <c r="F59" s="15"/>
      <c r="G59" s="15"/>
    </row>
    <row r="60" spans="3:7" ht="12.75">
      <c r="C60" s="15"/>
      <c r="D60" s="30"/>
      <c r="E60" s="15"/>
      <c r="F60" s="15"/>
      <c r="G60" s="15"/>
    </row>
    <row r="61" spans="1:7" ht="15.75">
      <c r="A61" s="54" t="s">
        <v>110</v>
      </c>
      <c r="B61" s="15"/>
      <c r="C61" s="15"/>
      <c r="D61" s="25"/>
      <c r="E61" s="15"/>
      <c r="F61" s="15"/>
      <c r="G61" s="15"/>
    </row>
    <row r="62" spans="2:7" ht="12.75">
      <c r="B62" s="15"/>
      <c r="C62" s="15"/>
      <c r="D62" s="25"/>
      <c r="E62" s="15"/>
      <c r="F62" s="15"/>
      <c r="G62" s="15"/>
    </row>
    <row r="63" spans="1:7" ht="12.75">
      <c r="A63" s="34" t="s">
        <v>3</v>
      </c>
      <c r="B63" s="23">
        <f>IF(OR(ISBLANK('1. 2002 Base Rate Schedule'!D68),'1. 2002 Base Rate Schedule'!D68=0),"",'1. 2002 Base Rate Schedule'!D68+'2. Adding Final 3rd MARR'!B181)</f>
        <v>5.275840000167736</v>
      </c>
      <c r="C63" s="15"/>
      <c r="D63" s="381"/>
      <c r="E63" s="15"/>
      <c r="F63" s="15"/>
      <c r="G63" s="15"/>
    </row>
    <row r="64" spans="2:7" ht="12.75">
      <c r="B64" s="15"/>
      <c r="C64" s="15"/>
      <c r="D64" s="381"/>
      <c r="E64" s="15"/>
      <c r="F64" s="15"/>
      <c r="G64" s="15"/>
    </row>
    <row r="65" spans="1:7" ht="12.75">
      <c r="A65" s="34" t="s">
        <v>19</v>
      </c>
      <c r="B65" s="51">
        <f>IF(OR(ISBLANK('1. 2002 Base Rate Schedule'!D70),'1. 2002 Base Rate Schedule'!D70=0),"",'1. 2002 Base Rate Schedule'!D70+'2. Adding Final 3rd MARR'!C183)</f>
        <v>1.6063870698855058</v>
      </c>
      <c r="C65" s="15"/>
      <c r="D65" s="381"/>
      <c r="E65" s="15"/>
      <c r="F65" s="15"/>
      <c r="G65" s="15"/>
    </row>
    <row r="66" spans="2:7" ht="12.75">
      <c r="B66" s="15"/>
      <c r="C66" s="15"/>
      <c r="D66" s="25"/>
      <c r="E66" s="15"/>
      <c r="F66" s="15"/>
      <c r="G66" s="15"/>
    </row>
    <row r="67" spans="1:7" ht="12.75">
      <c r="A67" s="12" t="s">
        <v>6</v>
      </c>
      <c r="B67" s="15"/>
      <c r="C67" s="15"/>
      <c r="D67" s="25"/>
      <c r="E67" s="15"/>
      <c r="F67" s="15"/>
      <c r="G67" s="15"/>
    </row>
    <row r="68" spans="2:7" ht="12.75">
      <c r="B68" s="15"/>
      <c r="C68" s="15"/>
      <c r="D68" s="25"/>
      <c r="E68" s="15"/>
      <c r="F68" s="15"/>
      <c r="G68" s="15"/>
    </row>
    <row r="69" spans="1:7" ht="15.75">
      <c r="A69" s="54" t="s">
        <v>111</v>
      </c>
      <c r="B69" s="15"/>
      <c r="C69" s="15"/>
      <c r="D69" s="25"/>
      <c r="E69" s="15"/>
      <c r="F69" s="15"/>
      <c r="G69" s="15"/>
    </row>
    <row r="70" spans="2:7" ht="12.75">
      <c r="B70" s="15"/>
      <c r="C70" s="15"/>
      <c r="D70" s="25"/>
      <c r="E70" s="15"/>
      <c r="F70" s="15"/>
      <c r="G70" s="15"/>
    </row>
    <row r="71" spans="1:7" ht="12.75">
      <c r="A71" s="34" t="s">
        <v>3</v>
      </c>
      <c r="B71" s="23">
        <f>IF(OR(ISBLANK('1. 2002 Base Rate Schedule'!D76),'1. 2002 Base Rate Schedule'!D76=0),"",'1. 2002 Base Rate Schedule'!D76+'2. Adding Final 3rd MARR'!B181)</f>
      </c>
      <c r="C71" s="15"/>
      <c r="D71" s="381"/>
      <c r="E71" s="15"/>
      <c r="F71" s="15"/>
      <c r="G71" s="15"/>
    </row>
    <row r="72" spans="2:7" ht="12.75">
      <c r="B72" s="15"/>
      <c r="C72" s="15"/>
      <c r="D72" s="381"/>
      <c r="E72" s="15"/>
      <c r="F72" s="15"/>
      <c r="G72" s="15"/>
    </row>
    <row r="73" spans="1:7" ht="12.75">
      <c r="A73" s="34" t="s">
        <v>19</v>
      </c>
      <c r="B73" s="51">
        <f>IF(OR(ISBLANK('1. 2002 Base Rate Schedule'!D78),'1. 2002 Base Rate Schedule'!D78=0),"",'1. 2002 Base Rate Schedule'!D78+'2. Adding Final 3rd MARR'!C183)</f>
      </c>
      <c r="C73" s="15"/>
      <c r="D73" s="381"/>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112</v>
      </c>
      <c r="B76" s="15"/>
      <c r="C76" s="15"/>
      <c r="D76" s="25"/>
      <c r="E76" s="15"/>
      <c r="F76" s="15"/>
      <c r="G76" s="15"/>
    </row>
    <row r="77" spans="2:7" ht="12.75">
      <c r="B77" s="15"/>
      <c r="C77" s="15"/>
      <c r="D77" s="25"/>
      <c r="E77" s="15"/>
      <c r="F77" s="15"/>
      <c r="G77" s="15"/>
    </row>
    <row r="78" spans="1:7" ht="12.75">
      <c r="A78" s="34" t="s">
        <v>3</v>
      </c>
      <c r="B78" s="23">
        <f>IF(OR(ISBLANK('1. 2002 Base Rate Schedule'!D83),'1. 2002 Base Rate Schedule'!D83=0),"",'1. 2002 Base Rate Schedule'!D83+'2. Adding Final 3rd MARR'!B201)</f>
        <v>2.595711080720311</v>
      </c>
      <c r="C78" s="15"/>
      <c r="D78" s="381"/>
      <c r="E78" s="15"/>
      <c r="F78" s="15"/>
      <c r="G78" s="15"/>
    </row>
    <row r="79" spans="2:7" ht="12.75">
      <c r="B79" s="15"/>
      <c r="C79" s="15"/>
      <c r="D79" s="381"/>
      <c r="E79" s="15"/>
      <c r="F79" s="15"/>
      <c r="G79" s="15"/>
    </row>
    <row r="80" spans="1:7" ht="12.75">
      <c r="A80" s="34" t="s">
        <v>19</v>
      </c>
      <c r="B80" s="51">
        <f>IF(OR(ISBLANK('1. 2002 Base Rate Schedule'!D85),'1. 2002 Base Rate Schedule'!D85=0),"",'1. 2002 Base Rate Schedule'!D85+'2. Adding Final 3rd MARR'!C203)</f>
        <v>0.6047071450819254</v>
      </c>
      <c r="C80" s="15"/>
      <c r="D80" s="381"/>
      <c r="E80" s="15"/>
      <c r="F80" s="15"/>
      <c r="G80" s="15"/>
    </row>
    <row r="81" spans="2:7" ht="12.75">
      <c r="B81" s="15"/>
      <c r="C81" s="15"/>
      <c r="D81" s="25"/>
      <c r="E81" s="15"/>
      <c r="F81" s="15"/>
      <c r="G81" s="15"/>
    </row>
    <row r="82" spans="1:7" ht="12.75">
      <c r="A82" s="12" t="s">
        <v>6</v>
      </c>
      <c r="B82" s="15"/>
      <c r="C82" s="15"/>
      <c r="D82" s="25"/>
      <c r="E82" s="15"/>
      <c r="F82" s="15"/>
      <c r="G82" s="15"/>
    </row>
    <row r="83" spans="2:7" ht="12.75">
      <c r="B83" s="15"/>
      <c r="C83" s="15"/>
      <c r="D83" s="25"/>
      <c r="E83" s="15"/>
      <c r="F83" s="15"/>
      <c r="G83" s="15"/>
    </row>
    <row r="84" spans="1:7" ht="15.75">
      <c r="A84" s="54" t="s">
        <v>113</v>
      </c>
      <c r="B84" s="307"/>
      <c r="C84" s="15"/>
      <c r="D84" s="25"/>
      <c r="E84" s="15"/>
      <c r="F84" s="15"/>
      <c r="G84" s="15"/>
    </row>
    <row r="85" spans="2:7" ht="12.75">
      <c r="B85" s="15"/>
      <c r="C85" s="15"/>
      <c r="D85" s="25"/>
      <c r="E85" s="15"/>
      <c r="F85" s="15"/>
      <c r="G85" s="15"/>
    </row>
    <row r="86" spans="1:7" ht="12.75">
      <c r="A86" s="34" t="s">
        <v>3</v>
      </c>
      <c r="B86" s="23">
        <f>IF(OR(ISBLANK('1. 2002 Base Rate Schedule'!D91),'1. 2002 Base Rate Schedule'!D91=0),"",'1. 2002 Base Rate Schedule'!D91+'2. Adding Final 3rd MARR'!B201)</f>
      </c>
      <c r="C86" s="15"/>
      <c r="D86" s="381"/>
      <c r="E86" s="15"/>
      <c r="F86" s="15"/>
      <c r="G86" s="15"/>
    </row>
    <row r="87" spans="2:7" ht="12.75">
      <c r="B87" s="15"/>
      <c r="C87" s="15"/>
      <c r="D87" s="381"/>
      <c r="E87" s="15"/>
      <c r="F87" s="15"/>
      <c r="G87" s="15"/>
    </row>
    <row r="88" spans="1:7" ht="12.75">
      <c r="A88" s="34" t="s">
        <v>19</v>
      </c>
      <c r="B88" s="51">
        <f>IF(OR(ISBLANK('1. 2002 Base Rate Schedule'!D93),'1. 2002 Base Rate Schedule'!D93=0),"",'1. 2002 Base Rate Schedule'!D93+'2. Adding Final 3rd MARR'!C203)</f>
      </c>
      <c r="C88" s="15"/>
      <c r="D88" s="381"/>
      <c r="E88" s="15"/>
      <c r="F88" s="15"/>
      <c r="G88" s="15"/>
    </row>
    <row r="89" spans="2:7" ht="12.75">
      <c r="B89" s="15"/>
      <c r="C89" s="15"/>
      <c r="D89" s="49"/>
      <c r="E89" s="15"/>
      <c r="F89" s="15"/>
      <c r="G89" s="15"/>
    </row>
    <row r="90" spans="2:7" ht="12.75">
      <c r="B90" s="16"/>
      <c r="C90" s="16"/>
      <c r="D90" s="49"/>
      <c r="E90" s="15"/>
      <c r="F90" s="15"/>
      <c r="G90" s="15"/>
    </row>
    <row r="91" spans="1:7" ht="15.75">
      <c r="A91" s="54" t="s">
        <v>225</v>
      </c>
      <c r="B91" s="52"/>
      <c r="C91" s="16"/>
      <c r="D91" s="49"/>
      <c r="E91" s="15"/>
      <c r="F91" s="15"/>
      <c r="G91" s="15"/>
    </row>
    <row r="92" spans="2:7" ht="12.75">
      <c r="B92" s="15"/>
      <c r="C92" s="16"/>
      <c r="E92" s="15"/>
      <c r="F92" s="15"/>
      <c r="G92" s="15"/>
    </row>
    <row r="93" spans="1:7" ht="12.75">
      <c r="A93" s="34" t="s">
        <v>1</v>
      </c>
      <c r="B93" s="488">
        <f>IF(OR(ISBLANK('1. 2002 Base Rate Schedule'!D98),'1. 2002 Base Rate Schedule'!D98=0),"",'1. 2002 Base Rate Schedule'!D98+'2. Adding Final 3rd MARR'!B221)</f>
      </c>
      <c r="C93" s="15"/>
      <c r="D93" s="49"/>
      <c r="E93" s="15"/>
      <c r="F93" s="15"/>
      <c r="G93" s="15"/>
    </row>
    <row r="94" ht="12.75">
      <c r="B94" s="15"/>
    </row>
    <row r="95" spans="1:2" ht="12.75">
      <c r="A95" s="34" t="s">
        <v>18</v>
      </c>
      <c r="B95" s="489">
        <f>IF(OR(ISBLANK('1. 2002 Base Rate Schedule'!D100),'1. 2002 Base Rate Schedule'!D100=0),"",'1. 2002 Base Rate Schedule'!D100+'2. Adding Final 3rd MARR'!C223)</f>
      </c>
    </row>
    <row r="96" ht="12.75">
      <c r="B96" s="49"/>
    </row>
    <row r="97" ht="12.75">
      <c r="B97" s="15"/>
    </row>
    <row r="98" spans="1:2" ht="15.75">
      <c r="A98" s="54" t="s">
        <v>238</v>
      </c>
      <c r="B98" s="52"/>
    </row>
    <row r="99" ht="15" customHeight="1">
      <c r="B99" s="15"/>
    </row>
    <row r="100" spans="1:2" ht="12.75">
      <c r="A100" s="34" t="s">
        <v>1</v>
      </c>
      <c r="B100" s="488">
        <f>IF(OR(ISBLANK('1. 2002 Base Rate Schedule'!D105),'1. 2002 Base Rate Schedule'!D105=0),"",'1. 2002 Base Rate Schedule'!D105+'2. Adding Final 3rd MARR'!B241)</f>
      </c>
    </row>
    <row r="101" ht="12.75">
      <c r="B101" s="15"/>
    </row>
    <row r="102" spans="1:2" ht="12.75">
      <c r="A102" s="34" t="s">
        <v>18</v>
      </c>
      <c r="B102" s="489">
        <f>IF(OR(ISBLANK('1. 2002 Base Rate Schedule'!D107),'1. 2002 Base Rate Schedule'!D107=0),"",'1. 2002 Base Rate Schedule'!D107+'2. Adding Final 3rd MARR'!C243)</f>
      </c>
    </row>
    <row r="103" ht="12.75">
      <c r="B103" s="15"/>
    </row>
    <row r="104" ht="12.75">
      <c r="B104" s="15"/>
    </row>
    <row r="105" spans="1:2" ht="15.75">
      <c r="A105" s="54" t="s">
        <v>239</v>
      </c>
      <c r="B105" s="52"/>
    </row>
    <row r="106" ht="12.75">
      <c r="B106" s="15"/>
    </row>
    <row r="107" spans="1:2" ht="12.75">
      <c r="A107" s="34" t="s">
        <v>3</v>
      </c>
      <c r="B107" s="488">
        <f>IF(OR(ISBLANK('1. 2002 Base Rate Schedule'!D112),'1. 2002 Base Rate Schedule'!D112=0),"",'1. 2002 Base Rate Schedule'!D112+'2. Adding Final 3rd MARR'!B261)</f>
      </c>
    </row>
    <row r="108" ht="12.75">
      <c r="B108" s="15"/>
    </row>
    <row r="109" spans="1:2" ht="12.75">
      <c r="A109" s="34" t="s">
        <v>18</v>
      </c>
      <c r="B109" s="489">
        <f>IF(OR(ISBLANK('1. 2002 Base Rate Schedule'!D114),'1. 2002 Base Rate Schedule'!D114=0),"",'1. 2002 Base Rate Schedule'!D114+'2. Adding Final 3rd MARR'!C263)</f>
      </c>
    </row>
    <row r="112" spans="1:2" ht="15.75">
      <c r="A112" s="54" t="s">
        <v>228</v>
      </c>
      <c r="B112" s="52"/>
    </row>
    <row r="113" ht="12.75">
      <c r="B113" s="15"/>
    </row>
    <row r="114" spans="1:2" ht="12.75">
      <c r="A114" s="34" t="s">
        <v>1</v>
      </c>
      <c r="B114" s="488">
        <f>IF(OR(ISBLANK('1. 2002 Base Rate Schedule'!D119),'1. 2002 Base Rate Schedule'!D119=0),"",'1. 2002 Base Rate Schedule'!D119+'2. Adding Final 3rd MARR'!B281)</f>
      </c>
    </row>
    <row r="115" ht="12.75">
      <c r="B115" s="15"/>
    </row>
    <row r="116" spans="1:2" ht="12.75">
      <c r="A116" s="34" t="s">
        <v>18</v>
      </c>
      <c r="B116" s="489">
        <f>IF(OR(ISBLANK('1. 2002 Base Rate Schedule'!D121),'1. 2002 Base Rate Schedule'!D121=0),"",'1. 2002 Base Rate Schedule'!D121+'2. Adding Final 3rd MARR'!C283)</f>
      </c>
    </row>
  </sheetData>
  <sheetProtection/>
  <mergeCells count="2">
    <mergeCell ref="B5:C5"/>
    <mergeCell ref="B7:C7"/>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R241"/>
  <sheetViews>
    <sheetView zoomScale="75" zoomScaleNormal="75" zoomScalePageLayoutView="0" workbookViewId="0" topLeftCell="B1">
      <selection activeCell="I20" sqref="I20"/>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 min="9" max="9" width="59.57421875" style="0" bestFit="1" customWidth="1"/>
    <col min="10" max="10" width="7.57421875" style="0" bestFit="1" customWidth="1"/>
    <col min="11" max="11" width="11.140625" style="0" bestFit="1" customWidth="1"/>
    <col min="13" max="13" width="14.140625" style="0" bestFit="1" customWidth="1"/>
  </cols>
  <sheetData>
    <row r="1" ht="18">
      <c r="A1" s="37" t="s">
        <v>153</v>
      </c>
    </row>
    <row r="2" ht="18.75" thickBot="1">
      <c r="A2" s="116"/>
    </row>
    <row r="3" spans="1:7" ht="18">
      <c r="A3" s="300" t="str">
        <f>"Name of Utility:      "&amp;'Info Sheet'!B4</f>
        <v>Name of Utility:      Brant County Power</v>
      </c>
      <c r="B3" s="456"/>
      <c r="C3" s="457"/>
      <c r="D3" s="455" t="str">
        <f>'Info Sheet'!$B$21</f>
        <v>2005.V1.0</v>
      </c>
      <c r="E3" s="36"/>
      <c r="F3" s="116"/>
      <c r="G3" s="117"/>
    </row>
    <row r="4" spans="1:7" ht="18">
      <c r="A4" s="302" t="str">
        <f>"License Number:   "&amp;'Info Sheet'!B6</f>
        <v>License Number:   ED 1999-0191</v>
      </c>
      <c r="B4" s="458"/>
      <c r="C4" s="388"/>
      <c r="D4" s="394" t="str">
        <f>'Info Sheet'!B8</f>
        <v>RP-2005-0013</v>
      </c>
      <c r="E4" s="36"/>
      <c r="F4" s="116"/>
      <c r="G4" s="117"/>
    </row>
    <row r="5" spans="1:4" ht="15.75">
      <c r="A5" s="302" t="str">
        <f>"Name of Contact:  "&amp;'Info Sheet'!B12</f>
        <v>Name of Contact:  Grant Brooker</v>
      </c>
      <c r="B5" s="661" t="str">
        <f>'Info Sheet'!B10</f>
        <v>EB-2005-0009</v>
      </c>
      <c r="C5" s="661"/>
      <c r="D5" s="662"/>
    </row>
    <row r="6" spans="1:4" ht="15.75">
      <c r="A6" s="303" t="str">
        <f>"E- Mail Address:    "&amp;'Info Sheet'!B14</f>
        <v>E- Mail Address:    gbrooker@brantcountypower.com</v>
      </c>
      <c r="B6" s="458"/>
      <c r="C6" s="28"/>
      <c r="D6" s="463"/>
    </row>
    <row r="7" spans="1:4" ht="15.75">
      <c r="A7" s="302" t="str">
        <f>"Phone Number:     "&amp;'Info Sheet'!B16</f>
        <v>Phone Number:     519 442 2215</v>
      </c>
      <c r="B7" s="652" t="str">
        <f>'Info Sheet'!$C$16&amp;" "&amp;'Info Sheet'!$D$16</f>
        <v>Extension: 734</v>
      </c>
      <c r="C7" s="652"/>
      <c r="D7" s="463"/>
    </row>
    <row r="8" spans="1:4" ht="16.5" thickBot="1">
      <c r="A8" s="304" t="str">
        <f>"Date:                      "&amp;('Info Sheet'!B18)</f>
        <v>Date:                      January 17, 2005</v>
      </c>
      <c r="B8" s="460"/>
      <c r="C8" s="461"/>
      <c r="D8" s="464"/>
    </row>
    <row r="9" spans="1:16" ht="15.75">
      <c r="A9" s="28"/>
      <c r="B9" s="29"/>
      <c r="C9" s="27"/>
      <c r="O9" s="5"/>
      <c r="P9" s="1"/>
    </row>
    <row r="10" spans="1:15" ht="14.25">
      <c r="A10" s="137" t="s">
        <v>175</v>
      </c>
      <c r="B10" s="138"/>
      <c r="C10" s="138"/>
      <c r="D10" s="138"/>
      <c r="E10" s="138"/>
      <c r="F10" s="138"/>
      <c r="G10" s="138"/>
      <c r="O10" s="5"/>
    </row>
    <row r="11" spans="1:7" ht="12.75" customHeight="1">
      <c r="A11" s="137" t="s">
        <v>193</v>
      </c>
      <c r="B11" s="138"/>
      <c r="C11" s="138"/>
      <c r="D11" s="138"/>
      <c r="E11" s="138"/>
      <c r="F11" s="138"/>
      <c r="G11" s="138"/>
    </row>
    <row r="12" spans="1:15" ht="15.75">
      <c r="A12" s="118"/>
      <c r="O12" s="5"/>
    </row>
    <row r="13" spans="2:17" ht="13.5" thickBot="1">
      <c r="B13" s="106"/>
      <c r="C13" s="56"/>
      <c r="P13" s="2"/>
      <c r="Q13" s="3"/>
    </row>
    <row r="14" spans="1:17" ht="15.75" thickBot="1">
      <c r="A14" s="657" t="s">
        <v>143</v>
      </c>
      <c r="B14" s="657"/>
      <c r="C14" s="657"/>
      <c r="D14" s="657"/>
      <c r="E14" s="34"/>
      <c r="F14" s="261"/>
      <c r="G14" s="630">
        <f>'[1]TAXCALC'!$C$95</f>
        <v>202209.51604310345</v>
      </c>
      <c r="O14" s="5"/>
      <c r="P14" s="2"/>
      <c r="Q14" s="4"/>
    </row>
    <row r="15" spans="1:7" ht="14.25">
      <c r="A15" s="141"/>
      <c r="B15" s="142"/>
      <c r="C15" s="143"/>
      <c r="D15" s="144"/>
      <c r="E15" s="144"/>
      <c r="F15" s="56"/>
      <c r="G15" s="56"/>
    </row>
    <row r="16" ht="12.75">
      <c r="C16" s="120"/>
    </row>
    <row r="17" spans="1:7" ht="14.25">
      <c r="A17" s="137" t="s">
        <v>176</v>
      </c>
      <c r="B17" s="138"/>
      <c r="C17" s="138"/>
      <c r="D17" s="138"/>
      <c r="E17" s="138"/>
      <c r="F17" s="138"/>
      <c r="G17" s="138"/>
    </row>
    <row r="19" ht="13.5" thickBot="1"/>
    <row r="20" spans="1:18" ht="74.25" thickBot="1">
      <c r="A20" s="151" t="s">
        <v>174</v>
      </c>
      <c r="B20" s="152" t="s">
        <v>10</v>
      </c>
      <c r="C20" s="152" t="s">
        <v>11</v>
      </c>
      <c r="D20" s="152" t="s">
        <v>20</v>
      </c>
      <c r="E20" s="152" t="s">
        <v>12</v>
      </c>
      <c r="F20" s="152" t="s">
        <v>96</v>
      </c>
      <c r="G20" s="153" t="s">
        <v>145</v>
      </c>
      <c r="H20" s="121"/>
      <c r="I20" s="540" t="s">
        <v>272</v>
      </c>
      <c r="J20" s="541" t="s">
        <v>10</v>
      </c>
      <c r="K20" s="542" t="s">
        <v>11</v>
      </c>
      <c r="L20" s="580" t="s">
        <v>20</v>
      </c>
      <c r="M20" s="581" t="s">
        <v>12</v>
      </c>
      <c r="O20" s="588" t="s">
        <v>10</v>
      </c>
      <c r="P20" s="542" t="s">
        <v>11</v>
      </c>
      <c r="Q20" s="566" t="s">
        <v>20</v>
      </c>
      <c r="R20" s="587" t="s">
        <v>12</v>
      </c>
    </row>
    <row r="21" spans="1:18" ht="12.75">
      <c r="A21" s="86"/>
      <c r="B21" s="31"/>
      <c r="C21" s="122"/>
      <c r="D21" s="122"/>
      <c r="E21" s="31"/>
      <c r="F21" s="31"/>
      <c r="G21" s="100"/>
      <c r="I21" s="543"/>
      <c r="J21" s="544"/>
      <c r="K21" s="545"/>
      <c r="L21" s="567"/>
      <c r="M21" s="568"/>
      <c r="O21" s="543"/>
      <c r="P21" s="544"/>
      <c r="Q21" s="544"/>
      <c r="R21" s="568"/>
    </row>
    <row r="22" spans="1:18" ht="12.75">
      <c r="A22" s="148" t="s">
        <v>222</v>
      </c>
      <c r="B22" s="263" t="s">
        <v>253</v>
      </c>
      <c r="C22" s="263">
        <v>86727772</v>
      </c>
      <c r="D22" s="263">
        <v>7259</v>
      </c>
      <c r="E22" s="396">
        <v>1884225</v>
      </c>
      <c r="F22" s="264">
        <f aca="true" t="shared" si="0" ref="F22:F33">IF(ISERROR(E22/E$35),"",E22/E$35)</f>
        <v>0.49431552558302067</v>
      </c>
      <c r="G22" s="399">
        <f>IF(ISERROR($G$36*F22),0,$G$36*F22)</f>
        <v>99955.30320073492</v>
      </c>
      <c r="H22" s="266"/>
      <c r="I22" s="546" t="s">
        <v>273</v>
      </c>
      <c r="J22" s="547" t="s">
        <v>253</v>
      </c>
      <c r="K22" s="548">
        <v>68659239</v>
      </c>
      <c r="L22" s="569">
        <v>6972</v>
      </c>
      <c r="M22" s="570">
        <v>1795971.71</v>
      </c>
      <c r="O22" s="584"/>
      <c r="P22" s="585">
        <f aca="true" t="shared" si="1" ref="P22:R24">(C22-K22)/K22</f>
        <v>0.263162441983955</v>
      </c>
      <c r="Q22" s="585">
        <f t="shared" si="1"/>
        <v>0.04116465863453815</v>
      </c>
      <c r="R22" s="586">
        <f t="shared" si="1"/>
        <v>0.04913957692574124</v>
      </c>
    </row>
    <row r="23" spans="1:18" ht="12.75">
      <c r="A23" s="148" t="s">
        <v>223</v>
      </c>
      <c r="B23" s="263" t="s">
        <v>253</v>
      </c>
      <c r="C23" s="263">
        <v>34235816</v>
      </c>
      <c r="D23" s="263">
        <v>1316</v>
      </c>
      <c r="E23" s="396">
        <v>662208</v>
      </c>
      <c r="F23" s="264">
        <f t="shared" si="0"/>
        <v>0.17372643689860867</v>
      </c>
      <c r="G23" s="399">
        <f aca="true" t="shared" si="2" ref="G23:G33">IF(ISERROR($G$36*F23),0,$G$36*F23)</f>
        <v>35129.13872916041</v>
      </c>
      <c r="H23" s="266"/>
      <c r="I23" s="546" t="s">
        <v>274</v>
      </c>
      <c r="J23" s="547" t="s">
        <v>253</v>
      </c>
      <c r="K23" s="549">
        <v>33990518</v>
      </c>
      <c r="L23" s="571">
        <v>1345</v>
      </c>
      <c r="M23" s="572">
        <v>653363.86</v>
      </c>
      <c r="O23" s="584"/>
      <c r="P23" s="585">
        <f t="shared" si="1"/>
        <v>0.007216659657849286</v>
      </c>
      <c r="Q23" s="585">
        <f t="shared" si="1"/>
        <v>-0.021561338289962824</v>
      </c>
      <c r="R23" s="586">
        <f t="shared" si="1"/>
        <v>0.013536316502109581</v>
      </c>
    </row>
    <row r="24" spans="1:18" ht="12.75">
      <c r="A24" s="148" t="s">
        <v>224</v>
      </c>
      <c r="B24" s="263">
        <v>313433.7</v>
      </c>
      <c r="C24" s="263">
        <v>103213998</v>
      </c>
      <c r="D24" s="263">
        <v>165</v>
      </c>
      <c r="E24" s="396">
        <v>1204817</v>
      </c>
      <c r="F24" s="264">
        <f t="shared" si="0"/>
        <v>0.31607676821311587</v>
      </c>
      <c r="G24" s="399">
        <f t="shared" si="2"/>
        <v>63913.730332842344</v>
      </c>
      <c r="H24" s="266"/>
      <c r="I24" s="546" t="s">
        <v>275</v>
      </c>
      <c r="J24" s="550">
        <v>295341.33</v>
      </c>
      <c r="K24" s="551">
        <v>96070049.708</v>
      </c>
      <c r="L24" s="571">
        <v>155</v>
      </c>
      <c r="M24" s="573">
        <v>1112481.33</v>
      </c>
      <c r="O24" s="584">
        <f>(B24-J24)/J24</f>
        <v>0.06125918780144992</v>
      </c>
      <c r="P24" s="585">
        <f t="shared" si="1"/>
        <v>0.07436186734277395</v>
      </c>
      <c r="Q24" s="585">
        <f t="shared" si="1"/>
        <v>0.06451612903225806</v>
      </c>
      <c r="R24" s="586">
        <f t="shared" si="1"/>
        <v>0.08299974795981513</v>
      </c>
    </row>
    <row r="25" spans="1:18" ht="12.75">
      <c r="A25" s="148" t="s">
        <v>71</v>
      </c>
      <c r="B25" s="263">
        <v>0</v>
      </c>
      <c r="C25" s="263">
        <v>0</v>
      </c>
      <c r="D25" s="263">
        <v>0</v>
      </c>
      <c r="E25" s="396">
        <v>0</v>
      </c>
      <c r="F25" s="264">
        <f t="shared" si="0"/>
        <v>0</v>
      </c>
      <c r="G25" s="399">
        <f t="shared" si="2"/>
        <v>0</v>
      </c>
      <c r="H25" s="268"/>
      <c r="I25" s="546" t="s">
        <v>276</v>
      </c>
      <c r="J25" s="552"/>
      <c r="K25" s="553"/>
      <c r="L25" s="574"/>
      <c r="M25" s="575"/>
      <c r="O25" s="584"/>
      <c r="P25" s="585"/>
      <c r="Q25" s="585"/>
      <c r="R25" s="586"/>
    </row>
    <row r="26" spans="1:18" ht="12.75">
      <c r="A26" s="148" t="s">
        <v>152</v>
      </c>
      <c r="B26" s="263">
        <v>4708.7</v>
      </c>
      <c r="C26" s="263">
        <v>2202432</v>
      </c>
      <c r="D26" s="263">
        <v>1</v>
      </c>
      <c r="E26" s="396">
        <v>0</v>
      </c>
      <c r="F26" s="264">
        <f t="shared" si="0"/>
        <v>0</v>
      </c>
      <c r="G26" s="399">
        <f t="shared" si="2"/>
        <v>0</v>
      </c>
      <c r="H26" s="268"/>
      <c r="I26" s="546" t="s">
        <v>213</v>
      </c>
      <c r="J26" s="557"/>
      <c r="K26" s="556"/>
      <c r="L26" s="569"/>
      <c r="M26" s="570"/>
      <c r="O26" s="584"/>
      <c r="P26" s="585"/>
      <c r="Q26" s="585"/>
      <c r="R26" s="586"/>
    </row>
    <row r="27" spans="1:18" ht="12.75">
      <c r="A27" s="148" t="s">
        <v>72</v>
      </c>
      <c r="B27" s="263">
        <v>188772.4</v>
      </c>
      <c r="C27" s="263">
        <v>0</v>
      </c>
      <c r="D27" s="263">
        <v>1</v>
      </c>
      <c r="E27" s="396">
        <v>12940</v>
      </c>
      <c r="F27" s="264">
        <f t="shared" si="0"/>
        <v>0.0033947341220099975</v>
      </c>
      <c r="G27" s="399">
        <f t="shared" si="2"/>
        <v>686.4475439066513</v>
      </c>
      <c r="H27" s="268"/>
      <c r="I27" s="546" t="s">
        <v>278</v>
      </c>
      <c r="J27" s="555">
        <v>162040.41</v>
      </c>
      <c r="K27" s="556">
        <v>35719968</v>
      </c>
      <c r="L27" s="569">
        <v>1</v>
      </c>
      <c r="M27" s="570">
        <v>51496.48</v>
      </c>
      <c r="O27" s="584">
        <f aca="true" t="shared" si="3" ref="O27:R29">(B27-J27)/J27</f>
        <v>0.16497113281804204</v>
      </c>
      <c r="P27" s="585">
        <f t="shared" si="3"/>
        <v>-1</v>
      </c>
      <c r="Q27" s="585">
        <f t="shared" si="3"/>
        <v>0</v>
      </c>
      <c r="R27" s="586">
        <f t="shared" si="3"/>
        <v>-0.748720689258761</v>
      </c>
    </row>
    <row r="28" spans="1:18" ht="12.75">
      <c r="A28" s="148" t="s">
        <v>73</v>
      </c>
      <c r="B28" s="263">
        <v>0</v>
      </c>
      <c r="C28" s="263">
        <v>245383</v>
      </c>
      <c r="D28" s="263">
        <v>250</v>
      </c>
      <c r="E28" s="396">
        <v>9097</v>
      </c>
      <c r="F28" s="264">
        <f t="shared" si="0"/>
        <v>0.0023865453097314487</v>
      </c>
      <c r="G28" s="399">
        <f t="shared" si="2"/>
        <v>482.5821720957347</v>
      </c>
      <c r="H28" s="266"/>
      <c r="I28" s="546" t="s">
        <v>279</v>
      </c>
      <c r="J28" s="555">
        <v>681</v>
      </c>
      <c r="K28" s="556">
        <v>257447</v>
      </c>
      <c r="L28" s="569">
        <v>242</v>
      </c>
      <c r="M28" s="570">
        <v>8246.98</v>
      </c>
      <c r="O28" s="584">
        <f t="shared" si="3"/>
        <v>-1</v>
      </c>
      <c r="P28" s="585">
        <f t="shared" si="3"/>
        <v>-0.04686013043461373</v>
      </c>
      <c r="Q28" s="585">
        <f t="shared" si="3"/>
        <v>0.03305785123966942</v>
      </c>
      <c r="R28" s="586">
        <f t="shared" si="3"/>
        <v>0.103070457306796</v>
      </c>
    </row>
    <row r="29" spans="1:18" ht="12.75">
      <c r="A29" s="148" t="s">
        <v>74</v>
      </c>
      <c r="B29" s="263">
        <v>4135</v>
      </c>
      <c r="C29" s="263">
        <v>1665850</v>
      </c>
      <c r="D29" s="263">
        <v>2</v>
      </c>
      <c r="E29" s="396">
        <v>38499</v>
      </c>
      <c r="F29" s="264">
        <f t="shared" si="0"/>
        <v>0.01009998987351336</v>
      </c>
      <c r="G29" s="399">
        <f t="shared" si="2"/>
        <v>2042.3140643633822</v>
      </c>
      <c r="H29" s="269"/>
      <c r="I29" s="546" t="s">
        <v>280</v>
      </c>
      <c r="J29" s="555">
        <v>2528</v>
      </c>
      <c r="K29" s="556">
        <v>1415305</v>
      </c>
      <c r="L29" s="576">
        <v>2528</v>
      </c>
      <c r="M29" s="570">
        <v>33301.84</v>
      </c>
      <c r="O29" s="584">
        <f t="shared" si="3"/>
        <v>0.6356803797468354</v>
      </c>
      <c r="P29" s="585">
        <f t="shared" si="3"/>
        <v>0.17702544681181795</v>
      </c>
      <c r="Q29" s="585">
        <f t="shared" si="3"/>
        <v>-0.9992088607594937</v>
      </c>
      <c r="R29" s="586">
        <f t="shared" si="3"/>
        <v>0.1560622476115435</v>
      </c>
    </row>
    <row r="30" spans="1:18" ht="12.75">
      <c r="A30" s="148" t="s">
        <v>225</v>
      </c>
      <c r="B30" s="263"/>
      <c r="C30" s="263"/>
      <c r="D30" s="263"/>
      <c r="E30" s="396"/>
      <c r="F30" s="515">
        <f t="shared" si="0"/>
        <v>0</v>
      </c>
      <c r="G30" s="399">
        <f t="shared" si="2"/>
        <v>0</v>
      </c>
      <c r="H30" s="269"/>
      <c r="I30" s="554" t="s">
        <v>281</v>
      </c>
      <c r="J30" s="547" t="s">
        <v>253</v>
      </c>
      <c r="K30" s="556"/>
      <c r="L30" s="569"/>
      <c r="M30" s="570"/>
      <c r="O30" s="584"/>
      <c r="P30" s="585"/>
      <c r="Q30" s="585"/>
      <c r="R30" s="586"/>
    </row>
    <row r="31" spans="1:18" ht="12.75">
      <c r="A31" s="148" t="s">
        <v>226</v>
      </c>
      <c r="B31" s="263"/>
      <c r="C31" s="263"/>
      <c r="D31" s="263"/>
      <c r="E31" s="396"/>
      <c r="F31" s="515">
        <f t="shared" si="0"/>
        <v>0</v>
      </c>
      <c r="G31" s="399">
        <f t="shared" si="2"/>
        <v>0</v>
      </c>
      <c r="H31" s="269"/>
      <c r="I31" s="554" t="s">
        <v>282</v>
      </c>
      <c r="J31" s="547" t="s">
        <v>253</v>
      </c>
      <c r="K31" s="548">
        <v>0</v>
      </c>
      <c r="L31" s="577">
        <v>0</v>
      </c>
      <c r="M31" s="578">
        <v>0</v>
      </c>
      <c r="O31" s="584"/>
      <c r="P31" s="585"/>
      <c r="Q31" s="585"/>
      <c r="R31" s="586"/>
    </row>
    <row r="32" spans="1:18" ht="12.75">
      <c r="A32" s="148" t="s">
        <v>227</v>
      </c>
      <c r="B32" s="263"/>
      <c r="C32" s="263"/>
      <c r="D32" s="263"/>
      <c r="E32" s="396"/>
      <c r="F32" s="515">
        <f t="shared" si="0"/>
        <v>0</v>
      </c>
      <c r="G32" s="399">
        <f t="shared" si="2"/>
        <v>0</v>
      </c>
      <c r="H32" s="269"/>
      <c r="I32" s="554" t="s">
        <v>283</v>
      </c>
      <c r="J32" s="547" t="s">
        <v>253</v>
      </c>
      <c r="K32" s="548">
        <v>0</v>
      </c>
      <c r="L32" s="577">
        <v>0</v>
      </c>
      <c r="M32" s="578">
        <v>0</v>
      </c>
      <c r="O32" s="584"/>
      <c r="P32" s="585"/>
      <c r="Q32" s="585"/>
      <c r="R32" s="586"/>
    </row>
    <row r="33" spans="1:18" ht="12.75">
      <c r="A33" s="148" t="s">
        <v>228</v>
      </c>
      <c r="B33" s="271"/>
      <c r="C33" s="271"/>
      <c r="D33" s="271"/>
      <c r="E33" s="407"/>
      <c r="F33" s="515">
        <f t="shared" si="0"/>
        <v>0</v>
      </c>
      <c r="G33" s="400">
        <f t="shared" si="2"/>
        <v>0</v>
      </c>
      <c r="H33" s="269"/>
      <c r="I33" s="554" t="s">
        <v>284</v>
      </c>
      <c r="J33" s="558">
        <v>0</v>
      </c>
      <c r="K33" s="548">
        <v>0</v>
      </c>
      <c r="L33" s="577">
        <v>0</v>
      </c>
      <c r="M33" s="578">
        <v>0</v>
      </c>
      <c r="O33" s="584"/>
      <c r="P33" s="585"/>
      <c r="Q33" s="585"/>
      <c r="R33" s="586"/>
    </row>
    <row r="34" spans="1:18" ht="12.75">
      <c r="A34" s="148"/>
      <c r="B34" s="262"/>
      <c r="C34" s="273"/>
      <c r="D34" s="274"/>
      <c r="E34" s="262"/>
      <c r="F34" s="275"/>
      <c r="G34" s="265"/>
      <c r="H34" s="56"/>
      <c r="I34" s="554" t="s">
        <v>285</v>
      </c>
      <c r="J34" s="559" t="s">
        <v>253</v>
      </c>
      <c r="K34" s="560">
        <v>0</v>
      </c>
      <c r="L34" s="577">
        <v>0</v>
      </c>
      <c r="M34" s="578">
        <v>0</v>
      </c>
      <c r="O34" s="584"/>
      <c r="P34" s="585"/>
      <c r="Q34" s="585"/>
      <c r="R34" s="586"/>
    </row>
    <row r="35" spans="1:18" ht="12.75">
      <c r="A35" s="148" t="s">
        <v>13</v>
      </c>
      <c r="B35" s="31"/>
      <c r="C35" s="154">
        <f>SUM(C22:C33)</f>
        <v>228291251</v>
      </c>
      <c r="D35" s="154">
        <f>SUM(D22:D33)</f>
        <v>8994</v>
      </c>
      <c r="E35" s="410">
        <f>SUM(E22:E33)</f>
        <v>3811786</v>
      </c>
      <c r="F35" s="156">
        <f>SUM(F22:F33)</f>
        <v>1</v>
      </c>
      <c r="G35" s="408">
        <f>SUM(G22:G33)</f>
        <v>202209.5160431035</v>
      </c>
      <c r="H35" s="56"/>
      <c r="I35" s="561"/>
      <c r="J35" s="562"/>
      <c r="K35" s="563"/>
      <c r="L35" s="543"/>
      <c r="M35" s="568"/>
      <c r="O35" s="543"/>
      <c r="P35" s="544"/>
      <c r="Q35" s="544"/>
      <c r="R35" s="568"/>
    </row>
    <row r="36" spans="1:18" ht="12.75">
      <c r="A36" s="86"/>
      <c r="B36" s="31"/>
      <c r="C36" s="659" t="s">
        <v>146</v>
      </c>
      <c r="D36" s="659"/>
      <c r="E36" s="659"/>
      <c r="F36" s="660"/>
      <c r="G36" s="409">
        <f>G14</f>
        <v>202209.51604310345</v>
      </c>
      <c r="H36" s="276"/>
      <c r="I36" s="564" t="s">
        <v>13</v>
      </c>
      <c r="J36" s="565"/>
      <c r="K36" s="579">
        <f>SUM(K22:K34)</f>
        <v>236112526.708</v>
      </c>
      <c r="L36" s="579">
        <f>SUM(L22:L34)</f>
        <v>11243</v>
      </c>
      <c r="M36" s="579">
        <f>SUM(M22:M34)</f>
        <v>3654862.1999999997</v>
      </c>
      <c r="O36" s="543"/>
      <c r="P36" s="585">
        <f>(C35-K36)/K36</f>
        <v>-0.033125204397446324</v>
      </c>
      <c r="Q36" s="585">
        <f>(D35-L36)/L36</f>
        <v>-0.20003557769278663</v>
      </c>
      <c r="R36" s="586">
        <f>(E35-M36)/M36</f>
        <v>0.042935626957426816</v>
      </c>
    </row>
    <row r="37" spans="1:18" ht="13.5" thickBot="1">
      <c r="A37" s="94"/>
      <c r="B37" s="149"/>
      <c r="C37" s="149"/>
      <c r="D37" s="149"/>
      <c r="E37" s="149"/>
      <c r="F37" s="149"/>
      <c r="G37" s="150"/>
      <c r="I37" s="554" t="s">
        <v>277</v>
      </c>
      <c r="J37" s="555"/>
      <c r="K37" s="556"/>
      <c r="L37" s="582"/>
      <c r="M37" s="583"/>
      <c r="O37" s="582"/>
      <c r="P37" s="565"/>
      <c r="Q37" s="565"/>
      <c r="R37" s="583"/>
    </row>
    <row r="39" ht="15.75">
      <c r="A39" s="164" t="s">
        <v>144</v>
      </c>
    </row>
    <row r="40" ht="10.5" customHeight="1">
      <c r="A40" s="54"/>
    </row>
    <row r="41" ht="15.75">
      <c r="A41" s="54" t="s">
        <v>229</v>
      </c>
    </row>
    <row r="42" ht="9" customHeight="1">
      <c r="A42" s="131"/>
    </row>
    <row r="43" ht="15">
      <c r="A43" s="132"/>
    </row>
    <row r="44" spans="1:7" ht="39" thickBot="1">
      <c r="A44" s="132"/>
      <c r="B44" s="280" t="s">
        <v>103</v>
      </c>
      <c r="C44" s="280" t="s">
        <v>104</v>
      </c>
      <c r="D44" s="280" t="s">
        <v>145</v>
      </c>
      <c r="E44" s="278"/>
      <c r="F44" s="278"/>
      <c r="G44" s="278"/>
    </row>
    <row r="45" spans="1:3" ht="15">
      <c r="A45" s="132"/>
      <c r="B45" s="30"/>
      <c r="C45" s="30"/>
    </row>
    <row r="46" spans="1:5" ht="13.5" customHeight="1">
      <c r="A46" s="109" t="s">
        <v>148</v>
      </c>
      <c r="B46" s="288"/>
      <c r="C46" s="288"/>
      <c r="D46" s="406">
        <f>$G22</f>
        <v>99955.30320073492</v>
      </c>
      <c r="E46" s="112"/>
    </row>
    <row r="47" spans="1:5" ht="12.75">
      <c r="A47" s="112"/>
      <c r="B47" s="281"/>
      <c r="C47" s="281"/>
      <c r="D47" s="282"/>
      <c r="E47" s="112"/>
    </row>
    <row r="48" spans="1:5" ht="12.75">
      <c r="A48" s="109" t="s">
        <v>101</v>
      </c>
      <c r="B48" s="289">
        <v>1</v>
      </c>
      <c r="C48" s="289">
        <v>0</v>
      </c>
      <c r="D48" s="289">
        <f>B48+C48</f>
        <v>1</v>
      </c>
      <c r="E48" s="112"/>
    </row>
    <row r="49" spans="1:5" ht="12.75">
      <c r="A49" s="112"/>
      <c r="B49" s="283"/>
      <c r="C49" s="283"/>
      <c r="D49" s="283"/>
      <c r="E49" s="112"/>
    </row>
    <row r="50" spans="1:5" ht="12.75">
      <c r="A50" s="109" t="s">
        <v>149</v>
      </c>
      <c r="B50" s="401">
        <f>$B48*$D46</f>
        <v>99955.30320073492</v>
      </c>
      <c r="C50" s="401">
        <f>C48*D46</f>
        <v>0</v>
      </c>
      <c r="D50" s="401">
        <f>SUM(B50:C50)</f>
        <v>99955.30320073492</v>
      </c>
      <c r="E50" s="112"/>
    </row>
    <row r="51" spans="1:5" ht="12.75">
      <c r="A51" s="112"/>
      <c r="B51" s="284"/>
      <c r="C51" s="284"/>
      <c r="D51" s="284"/>
      <c r="E51" s="112"/>
    </row>
    <row r="52" spans="1:5" ht="12.75">
      <c r="A52" s="109" t="s">
        <v>99</v>
      </c>
      <c r="B52" s="491">
        <f>$C22</f>
        <v>86727772</v>
      </c>
      <c r="C52" s="290"/>
      <c r="D52" s="290"/>
      <c r="E52" s="112"/>
    </row>
    <row r="53" spans="1:5" ht="12.75">
      <c r="A53" s="112"/>
      <c r="B53" s="285"/>
      <c r="C53" s="284"/>
      <c r="D53" s="284"/>
      <c r="E53" s="112"/>
    </row>
    <row r="54" spans="1:5" ht="12.75">
      <c r="A54" s="109" t="s">
        <v>177</v>
      </c>
      <c r="B54" s="411">
        <f>IF(ISERROR($B50/$B52),0,$B50/$B52)</f>
        <v>0.0011525178255557508</v>
      </c>
      <c r="C54" s="292"/>
      <c r="D54" s="292"/>
      <c r="E54" s="112"/>
    </row>
    <row r="55" spans="1:5" ht="12.75">
      <c r="A55" s="112"/>
      <c r="B55" s="286"/>
      <c r="C55" s="287"/>
      <c r="D55" s="287"/>
      <c r="E55" s="112"/>
    </row>
    <row r="56" spans="1:4" ht="15">
      <c r="A56" s="132"/>
      <c r="B56" s="56"/>
      <c r="C56" s="56"/>
      <c r="D56" s="56"/>
    </row>
    <row r="57" spans="2:4" ht="12.75">
      <c r="B57" s="56"/>
      <c r="C57" s="56"/>
      <c r="D57" s="56"/>
    </row>
    <row r="58" ht="15.75">
      <c r="A58" s="54" t="s">
        <v>230</v>
      </c>
    </row>
    <row r="59" ht="15.75">
      <c r="A59" s="131"/>
    </row>
    <row r="60" ht="10.5" customHeight="1">
      <c r="A60" s="132"/>
    </row>
    <row r="61" spans="1:7" ht="39" thickBot="1">
      <c r="A61" s="132"/>
      <c r="B61" s="280" t="s">
        <v>103</v>
      </c>
      <c r="C61" s="280" t="s">
        <v>104</v>
      </c>
      <c r="D61" s="280" t="s">
        <v>145</v>
      </c>
      <c r="E61" s="278"/>
      <c r="F61" s="278"/>
      <c r="G61" s="278"/>
    </row>
    <row r="62" spans="1:3" ht="13.5" customHeight="1">
      <c r="A62" s="132"/>
      <c r="B62" s="30"/>
      <c r="C62" s="30"/>
    </row>
    <row r="63" spans="1:5" ht="12.75">
      <c r="A63" s="109" t="s">
        <v>148</v>
      </c>
      <c r="B63" s="288"/>
      <c r="C63" s="288"/>
      <c r="D63" s="406">
        <f>$G23</f>
        <v>35129.13872916041</v>
      </c>
      <c r="E63" s="112"/>
    </row>
    <row r="64" spans="1:5" ht="12.75">
      <c r="A64" s="112"/>
      <c r="B64" s="281"/>
      <c r="C64" s="281"/>
      <c r="D64" s="282"/>
      <c r="E64" s="112"/>
    </row>
    <row r="65" spans="1:5" ht="12.75">
      <c r="A65" s="109" t="s">
        <v>101</v>
      </c>
      <c r="B65" s="289">
        <v>1</v>
      </c>
      <c r="C65" s="289">
        <v>0</v>
      </c>
      <c r="D65" s="289">
        <f>B65+C65</f>
        <v>1</v>
      </c>
      <c r="E65" s="112"/>
    </row>
    <row r="66" spans="1:5" ht="12.75">
      <c r="A66" s="112"/>
      <c r="B66" s="283"/>
      <c r="C66" s="283"/>
      <c r="D66" s="283"/>
      <c r="E66" s="112"/>
    </row>
    <row r="67" spans="1:5" ht="12.75">
      <c r="A67" s="109" t="s">
        <v>149</v>
      </c>
      <c r="B67" s="401">
        <f>$B65*$D63</f>
        <v>35129.13872916041</v>
      </c>
      <c r="C67" s="401">
        <f>C65*D63</f>
        <v>0</v>
      </c>
      <c r="D67" s="401">
        <f>SUM(B67:C67)</f>
        <v>35129.13872916041</v>
      </c>
      <c r="E67" s="112"/>
    </row>
    <row r="68" spans="1:5" ht="12.75">
      <c r="A68" s="112"/>
      <c r="B68" s="284"/>
      <c r="C68" s="284"/>
      <c r="D68" s="284"/>
      <c r="E68" s="112"/>
    </row>
    <row r="69" spans="1:5" ht="12.75">
      <c r="A69" s="109" t="s">
        <v>99</v>
      </c>
      <c r="B69" s="291">
        <f>$C23</f>
        <v>34235816</v>
      </c>
      <c r="C69" s="290"/>
      <c r="D69" s="290"/>
      <c r="E69" s="112"/>
    </row>
    <row r="70" spans="1:5" ht="12.75">
      <c r="A70" s="112"/>
      <c r="B70" s="285"/>
      <c r="C70" s="284"/>
      <c r="D70" s="284"/>
      <c r="E70" s="112"/>
    </row>
    <row r="71" spans="1:5" ht="12.75">
      <c r="A71" s="109" t="s">
        <v>177</v>
      </c>
      <c r="B71" s="411">
        <f>IF(ISERROR($B67/$B69),0,$B67/$B69)</f>
        <v>0.0010260932214719348</v>
      </c>
      <c r="C71" s="292"/>
      <c r="D71" s="292"/>
      <c r="E71" s="112"/>
    </row>
    <row r="72" spans="1:5" ht="12.75">
      <c r="A72" s="112"/>
      <c r="B72" s="286"/>
      <c r="C72" s="287"/>
      <c r="D72" s="287"/>
      <c r="E72" s="112"/>
    </row>
    <row r="73" spans="1:4" ht="15">
      <c r="A73" s="132"/>
      <c r="B73" s="56"/>
      <c r="C73" s="56"/>
      <c r="D73" s="56"/>
    </row>
    <row r="74" spans="2:4" ht="12.75">
      <c r="B74" s="56"/>
      <c r="C74" s="56"/>
      <c r="D74" s="56"/>
    </row>
    <row r="75" ht="15.75">
      <c r="A75" s="54" t="s">
        <v>231</v>
      </c>
    </row>
    <row r="76" ht="9" customHeight="1">
      <c r="A76" s="131"/>
    </row>
    <row r="77" ht="15">
      <c r="A77" s="132"/>
    </row>
    <row r="78" spans="1:7" ht="39" thickBot="1">
      <c r="A78" s="132"/>
      <c r="B78" s="280" t="s">
        <v>103</v>
      </c>
      <c r="C78" s="280" t="s">
        <v>104</v>
      </c>
      <c r="D78" s="280" t="s">
        <v>145</v>
      </c>
      <c r="E78" s="278"/>
      <c r="F78" s="278"/>
      <c r="G78" s="278"/>
    </row>
    <row r="79" spans="1:3" ht="15">
      <c r="A79" s="132"/>
      <c r="B79" s="30"/>
      <c r="C79" s="30"/>
    </row>
    <row r="80" spans="1:5" ht="12.75">
      <c r="A80" s="109" t="s">
        <v>148</v>
      </c>
      <c r="B80" s="288"/>
      <c r="C80" s="288"/>
      <c r="D80" s="406">
        <f>$G24</f>
        <v>63913.730332842344</v>
      </c>
      <c r="E80" s="112"/>
    </row>
    <row r="81" spans="1:5" ht="12.75">
      <c r="A81" s="112"/>
      <c r="B81" s="281"/>
      <c r="C81" s="281"/>
      <c r="D81" s="282"/>
      <c r="E81" s="112"/>
    </row>
    <row r="82" spans="1:5" ht="12.75">
      <c r="A82" s="109" t="s">
        <v>101</v>
      </c>
      <c r="B82" s="289">
        <v>1</v>
      </c>
      <c r="C82" s="289">
        <v>0</v>
      </c>
      <c r="D82" s="289">
        <f>B82+C82</f>
        <v>1</v>
      </c>
      <c r="E82" s="112"/>
    </row>
    <row r="83" spans="1:5" ht="12.75">
      <c r="A83" s="112"/>
      <c r="B83" s="283"/>
      <c r="C83" s="283"/>
      <c r="D83" s="283"/>
      <c r="E83" s="112"/>
    </row>
    <row r="84" spans="1:5" ht="12.75">
      <c r="A84" s="109" t="s">
        <v>149</v>
      </c>
      <c r="B84" s="401">
        <f>$B82*$D80</f>
        <v>63913.730332842344</v>
      </c>
      <c r="C84" s="401">
        <f>C82*D80</f>
        <v>0</v>
      </c>
      <c r="D84" s="401">
        <f>SUM(B84:C84)</f>
        <v>63913.730332842344</v>
      </c>
      <c r="E84" s="112"/>
    </row>
    <row r="85" spans="1:5" ht="12.75">
      <c r="A85" s="112"/>
      <c r="B85" s="284"/>
      <c r="C85" s="284"/>
      <c r="D85" s="284"/>
      <c r="E85" s="112"/>
    </row>
    <row r="86" spans="1:5" ht="12.75">
      <c r="A86" s="109" t="s">
        <v>162</v>
      </c>
      <c r="B86" s="291">
        <f>$B24</f>
        <v>313433.7</v>
      </c>
      <c r="C86" s="290"/>
      <c r="D86" s="290"/>
      <c r="E86" s="112"/>
    </row>
    <row r="87" spans="1:5" ht="12.75">
      <c r="A87" s="112"/>
      <c r="B87" s="285"/>
      <c r="C87" s="284"/>
      <c r="D87" s="284"/>
      <c r="E87" s="112"/>
    </row>
    <row r="88" spans="1:5" ht="12.75">
      <c r="A88" s="109" t="s">
        <v>178</v>
      </c>
      <c r="B88" s="411">
        <f>IF(ISERROR($B84/$B86),0,$B84/$B86)</f>
        <v>0.20391467264956623</v>
      </c>
      <c r="C88" s="292"/>
      <c r="D88" s="292"/>
      <c r="E88" s="112"/>
    </row>
    <row r="89" spans="1:8" ht="12.75">
      <c r="A89" s="294"/>
      <c r="B89" s="295"/>
      <c r="C89" s="296"/>
      <c r="D89" s="295"/>
      <c r="E89" s="294"/>
      <c r="F89" s="31"/>
      <c r="G89" s="31"/>
      <c r="H89" s="31"/>
    </row>
    <row r="90" spans="1:5" ht="12.75">
      <c r="A90" s="294"/>
      <c r="B90" s="295"/>
      <c r="C90" s="296"/>
      <c r="D90" s="295"/>
      <c r="E90" s="112"/>
    </row>
    <row r="91" spans="1:5" ht="12.75">
      <c r="A91" s="294"/>
      <c r="B91" s="295"/>
      <c r="C91" s="296"/>
      <c r="D91" s="295"/>
      <c r="E91" s="112"/>
    </row>
    <row r="92" ht="15.75">
      <c r="A92" s="54" t="s">
        <v>204</v>
      </c>
    </row>
    <row r="93" ht="15.75">
      <c r="A93" s="131"/>
    </row>
    <row r="94" ht="15">
      <c r="A94" s="132"/>
    </row>
    <row r="95" spans="1:7" ht="39" thickBot="1">
      <c r="A95" s="132"/>
      <c r="B95" s="280" t="s">
        <v>103</v>
      </c>
      <c r="C95" s="280" t="s">
        <v>104</v>
      </c>
      <c r="D95" s="280" t="s">
        <v>145</v>
      </c>
      <c r="E95" s="278"/>
      <c r="F95" s="278"/>
      <c r="G95" s="278"/>
    </row>
    <row r="96" spans="1:3" ht="15">
      <c r="A96" s="132"/>
      <c r="B96" s="30"/>
      <c r="C96" s="30"/>
    </row>
    <row r="97" spans="1:5" ht="12.75">
      <c r="A97" s="109" t="s">
        <v>148</v>
      </c>
      <c r="B97" s="288"/>
      <c r="C97" s="288"/>
      <c r="D97" s="406">
        <f>$G25</f>
        <v>0</v>
      </c>
      <c r="E97" s="112"/>
    </row>
    <row r="98" spans="1:5" ht="12.75">
      <c r="A98" s="112"/>
      <c r="B98" s="281"/>
      <c r="C98" s="281"/>
      <c r="D98" s="282"/>
      <c r="E98" s="112"/>
    </row>
    <row r="99" spans="1:5" ht="12.75">
      <c r="A99" s="109" t="s">
        <v>101</v>
      </c>
      <c r="B99" s="289">
        <v>1</v>
      </c>
      <c r="C99" s="289">
        <v>0</v>
      </c>
      <c r="D99" s="289">
        <f>B99+C99</f>
        <v>1</v>
      </c>
      <c r="E99" s="112"/>
    </row>
    <row r="100" spans="1:5" ht="12.75">
      <c r="A100" s="112"/>
      <c r="B100" s="283"/>
      <c r="C100" s="283"/>
      <c r="D100" s="283"/>
      <c r="E100" s="112"/>
    </row>
    <row r="101" spans="1:5" ht="12.75">
      <c r="A101" s="109" t="s">
        <v>149</v>
      </c>
      <c r="B101" s="401">
        <f>$B99*$D97</f>
        <v>0</v>
      </c>
      <c r="C101" s="401">
        <f>C99*D97</f>
        <v>0</v>
      </c>
      <c r="D101" s="401">
        <f>SUM(B101:C101)</f>
        <v>0</v>
      </c>
      <c r="E101" s="112"/>
    </row>
    <row r="102" spans="1:5" ht="12.75">
      <c r="A102" s="112"/>
      <c r="B102" s="284"/>
      <c r="C102" s="284"/>
      <c r="D102" s="284"/>
      <c r="E102" s="112"/>
    </row>
    <row r="103" spans="1:5" ht="12.75">
      <c r="A103" s="109" t="s">
        <v>162</v>
      </c>
      <c r="B103" s="291">
        <f>$B25</f>
        <v>0</v>
      </c>
      <c r="C103" s="290"/>
      <c r="D103" s="290"/>
      <c r="E103" s="112"/>
    </row>
    <row r="104" spans="1:5" ht="12.75">
      <c r="A104" s="112"/>
      <c r="B104" s="285"/>
      <c r="C104" s="284"/>
      <c r="D104" s="284"/>
      <c r="E104" s="112"/>
    </row>
    <row r="105" spans="1:5" ht="12.75">
      <c r="A105" s="109" t="s">
        <v>178</v>
      </c>
      <c r="B105" s="411">
        <f>IF(ISERROR($B101/$B103),0,$B101/$B103)</f>
        <v>0</v>
      </c>
      <c r="C105" s="292"/>
      <c r="D105" s="292"/>
      <c r="E105" s="112"/>
    </row>
    <row r="106" spans="1:8" ht="12.75">
      <c r="A106" s="294"/>
      <c r="B106" s="295"/>
      <c r="C106" s="296"/>
      <c r="D106" s="295"/>
      <c r="E106" s="294"/>
      <c r="F106" s="31"/>
      <c r="G106" s="31"/>
      <c r="H106" s="31"/>
    </row>
    <row r="107" spans="1:5" ht="12.75">
      <c r="A107" s="294"/>
      <c r="B107" s="295"/>
      <c r="C107" s="296"/>
      <c r="D107" s="295"/>
      <c r="E107" s="112"/>
    </row>
    <row r="108" spans="1:5" ht="12.75">
      <c r="A108" s="294"/>
      <c r="B108" s="295"/>
      <c r="C108" s="296"/>
      <c r="D108" s="295"/>
      <c r="E108" s="112"/>
    </row>
    <row r="109" ht="15.75">
      <c r="A109" s="54" t="s">
        <v>14</v>
      </c>
    </row>
    <row r="110" ht="15.75">
      <c r="A110" s="131"/>
    </row>
    <row r="111" ht="15">
      <c r="A111" s="132"/>
    </row>
    <row r="112" spans="1:7" ht="39" thickBot="1">
      <c r="A112" s="132"/>
      <c r="B112" s="280" t="s">
        <v>103</v>
      </c>
      <c r="C112" s="280" t="s">
        <v>104</v>
      </c>
      <c r="D112" s="280" t="s">
        <v>145</v>
      </c>
      <c r="E112" s="278"/>
      <c r="F112" s="278"/>
      <c r="G112" s="278"/>
    </row>
    <row r="113" spans="1:3" ht="15">
      <c r="A113" s="132"/>
      <c r="B113" s="30"/>
      <c r="C113" s="30"/>
    </row>
    <row r="114" spans="1:5" ht="12.75">
      <c r="A114" s="109" t="s">
        <v>148</v>
      </c>
      <c r="B114" s="288"/>
      <c r="C114" s="288"/>
      <c r="D114" s="406">
        <f>$G26</f>
        <v>0</v>
      </c>
      <c r="E114" s="112"/>
    </row>
    <row r="115" spans="1:5" ht="12.75">
      <c r="A115" s="112"/>
      <c r="B115" s="281"/>
      <c r="C115" s="281"/>
      <c r="D115" s="282"/>
      <c r="E115" s="112"/>
    </row>
    <row r="116" spans="1:5" ht="12.75">
      <c r="A116" s="109" t="s">
        <v>101</v>
      </c>
      <c r="B116" s="289">
        <v>1</v>
      </c>
      <c r="C116" s="289">
        <v>0</v>
      </c>
      <c r="D116" s="289">
        <f>B116+C116</f>
        <v>1</v>
      </c>
      <c r="E116" s="112"/>
    </row>
    <row r="117" spans="1:5" ht="12.75">
      <c r="A117" s="112"/>
      <c r="B117" s="283"/>
      <c r="C117" s="283"/>
      <c r="D117" s="283"/>
      <c r="E117" s="112"/>
    </row>
    <row r="118" spans="1:5" ht="12.75">
      <c r="A118" s="109" t="s">
        <v>149</v>
      </c>
      <c r="B118" s="401">
        <f>$B116*$D114</f>
        <v>0</v>
      </c>
      <c r="C118" s="401">
        <f>C116*D114</f>
        <v>0</v>
      </c>
      <c r="D118" s="401">
        <f>SUM(B118:C118)</f>
        <v>0</v>
      </c>
      <c r="E118" s="112"/>
    </row>
    <row r="119" spans="1:5" ht="12.75">
      <c r="A119" s="112"/>
      <c r="B119" s="284"/>
      <c r="C119" s="284"/>
      <c r="D119" s="284"/>
      <c r="E119" s="112"/>
    </row>
    <row r="120" spans="1:5" ht="12.75">
      <c r="A120" s="109" t="s">
        <v>162</v>
      </c>
      <c r="B120" s="291">
        <f>$B26</f>
        <v>4708.7</v>
      </c>
      <c r="C120" s="290"/>
      <c r="D120" s="290"/>
      <c r="E120" s="112"/>
    </row>
    <row r="121" spans="1:5" ht="12.75">
      <c r="A121" s="112"/>
      <c r="B121" s="285"/>
      <c r="C121" s="284"/>
      <c r="D121" s="284"/>
      <c r="E121" s="112"/>
    </row>
    <row r="122" spans="1:5" ht="12.75">
      <c r="A122" s="109" t="s">
        <v>178</v>
      </c>
      <c r="B122" s="411">
        <f>IF(ISERROR($B118/$B120),0,$B118/$B120)</f>
        <v>0</v>
      </c>
      <c r="C122" s="292"/>
      <c r="D122" s="292"/>
      <c r="E122" s="112"/>
    </row>
    <row r="123" spans="1:5" ht="12.75">
      <c r="A123" s="112"/>
      <c r="B123" s="286"/>
      <c r="C123" s="287"/>
      <c r="D123" s="287"/>
      <c r="E123" s="112"/>
    </row>
    <row r="124" spans="1:4" ht="15">
      <c r="A124" s="132"/>
      <c r="B124" s="56"/>
      <c r="C124" s="56"/>
      <c r="D124" s="56"/>
    </row>
    <row r="125" spans="2:4" ht="12.75">
      <c r="B125" s="56"/>
      <c r="C125" s="56"/>
      <c r="D125" s="56"/>
    </row>
    <row r="126" ht="15.75">
      <c r="A126" s="54" t="s">
        <v>15</v>
      </c>
    </row>
    <row r="127" ht="15.75">
      <c r="A127" s="131"/>
    </row>
    <row r="128" ht="15">
      <c r="A128" s="132"/>
    </row>
    <row r="129" spans="1:7" ht="39" thickBot="1">
      <c r="A129" s="132"/>
      <c r="B129" s="280" t="s">
        <v>103</v>
      </c>
      <c r="C129" s="280" t="s">
        <v>104</v>
      </c>
      <c r="D129" s="280" t="s">
        <v>145</v>
      </c>
      <c r="E129" s="278"/>
      <c r="F129" s="278"/>
      <c r="G129" s="278"/>
    </row>
    <row r="130" spans="1:3" ht="15">
      <c r="A130" s="132"/>
      <c r="B130" s="30"/>
      <c r="C130" s="30"/>
    </row>
    <row r="131" spans="1:5" ht="12.75">
      <c r="A131" s="109" t="s">
        <v>148</v>
      </c>
      <c r="B131" s="288"/>
      <c r="C131" s="288"/>
      <c r="D131" s="406">
        <f>$G27</f>
        <v>686.4475439066513</v>
      </c>
      <c r="E131" s="112"/>
    </row>
    <row r="132" spans="1:5" ht="12.75">
      <c r="A132" s="112"/>
      <c r="B132" s="281"/>
      <c r="C132" s="281"/>
      <c r="D132" s="282"/>
      <c r="E132" s="112"/>
    </row>
    <row r="133" spans="1:5" ht="12.75">
      <c r="A133" s="109" t="s">
        <v>101</v>
      </c>
      <c r="B133" s="289">
        <v>1</v>
      </c>
      <c r="C133" s="289">
        <v>0</v>
      </c>
      <c r="D133" s="289">
        <f>B133+C133</f>
        <v>1</v>
      </c>
      <c r="E133" s="112"/>
    </row>
    <row r="134" spans="1:5" ht="12.75">
      <c r="A134" s="112"/>
      <c r="B134" s="283"/>
      <c r="C134" s="283"/>
      <c r="D134" s="283"/>
      <c r="E134" s="112"/>
    </row>
    <row r="135" spans="1:5" ht="12.75">
      <c r="A135" s="109" t="s">
        <v>149</v>
      </c>
      <c r="B135" s="401">
        <f>$B133*$D131</f>
        <v>686.4475439066513</v>
      </c>
      <c r="C135" s="401">
        <f>C133*D131</f>
        <v>0</v>
      </c>
      <c r="D135" s="401">
        <f>SUM(B135:C135)</f>
        <v>686.4475439066513</v>
      </c>
      <c r="E135" s="112"/>
    </row>
    <row r="136" spans="1:5" ht="12.75">
      <c r="A136" s="112"/>
      <c r="B136" s="284"/>
      <c r="C136" s="284"/>
      <c r="D136" s="284"/>
      <c r="E136" s="112"/>
    </row>
    <row r="137" spans="1:5" ht="12.75">
      <c r="A137" s="109" t="s">
        <v>162</v>
      </c>
      <c r="B137" s="291">
        <f>$B27</f>
        <v>188772.4</v>
      </c>
      <c r="C137" s="290"/>
      <c r="D137" s="290"/>
      <c r="E137" s="112"/>
    </row>
    <row r="138" spans="1:5" ht="12.75">
      <c r="A138" s="112"/>
      <c r="B138" s="285"/>
      <c r="C138" s="284"/>
      <c r="D138" s="284"/>
      <c r="E138" s="112"/>
    </row>
    <row r="139" spans="1:5" ht="12.75">
      <c r="A139" s="109" t="s">
        <v>178</v>
      </c>
      <c r="B139" s="411">
        <f>IF(ISERROR($B135/$B137),0,$B135/$B137)</f>
        <v>0.0036363766308350758</v>
      </c>
      <c r="C139" s="292"/>
      <c r="D139" s="292"/>
      <c r="E139" s="112"/>
    </row>
    <row r="140" spans="2:4" ht="12.75">
      <c r="B140" s="56"/>
      <c r="C140" s="56"/>
      <c r="D140" s="56"/>
    </row>
    <row r="141" spans="1:5" ht="12.75">
      <c r="A141" s="294"/>
      <c r="B141" s="295"/>
      <c r="C141" s="296"/>
      <c r="D141" s="295"/>
      <c r="E141" s="112"/>
    </row>
    <row r="142" spans="1:5" ht="12.75">
      <c r="A142" s="294"/>
      <c r="B142" s="295"/>
      <c r="C142" s="296"/>
      <c r="D142" s="295"/>
      <c r="E142" s="112"/>
    </row>
    <row r="143" ht="15.75">
      <c r="A143" s="54" t="s">
        <v>16</v>
      </c>
    </row>
    <row r="144" ht="15.75">
      <c r="A144" s="131"/>
    </row>
    <row r="145" ht="15">
      <c r="A145" s="132"/>
    </row>
    <row r="146" spans="1:7" ht="39" thickBot="1">
      <c r="A146" s="132"/>
      <c r="B146" s="280" t="s">
        <v>103</v>
      </c>
      <c r="C146" s="280" t="s">
        <v>104</v>
      </c>
      <c r="D146" s="280" t="s">
        <v>145</v>
      </c>
      <c r="E146" s="278"/>
      <c r="F146" s="278"/>
      <c r="G146" s="278"/>
    </row>
    <row r="147" spans="1:3" ht="15">
      <c r="A147" s="132"/>
      <c r="B147" s="30"/>
      <c r="C147" s="30"/>
    </row>
    <row r="148" spans="1:5" ht="12.75">
      <c r="A148" s="109" t="s">
        <v>148</v>
      </c>
      <c r="B148" s="288"/>
      <c r="C148" s="288"/>
      <c r="D148" s="406">
        <f>$G28</f>
        <v>482.5821720957347</v>
      </c>
      <c r="E148" s="112"/>
    </row>
    <row r="149" spans="1:5" ht="12.75">
      <c r="A149" s="112"/>
      <c r="B149" s="281"/>
      <c r="C149" s="281"/>
      <c r="D149" s="282"/>
      <c r="E149" s="112"/>
    </row>
    <row r="150" spans="1:5" ht="12.75">
      <c r="A150" s="109" t="s">
        <v>101</v>
      </c>
      <c r="B150" s="289">
        <v>1</v>
      </c>
      <c r="C150" s="289">
        <v>0</v>
      </c>
      <c r="D150" s="289">
        <f>B150+C150</f>
        <v>1</v>
      </c>
      <c r="E150" s="112"/>
    </row>
    <row r="151" spans="1:5" ht="12.75">
      <c r="A151" s="112"/>
      <c r="B151" s="283"/>
      <c r="C151" s="283"/>
      <c r="D151" s="283"/>
      <c r="E151" s="112"/>
    </row>
    <row r="152" spans="1:5" ht="12.75">
      <c r="A152" s="109" t="s">
        <v>149</v>
      </c>
      <c r="B152" s="401">
        <f>$B150*$D148</f>
        <v>482.5821720957347</v>
      </c>
      <c r="C152" s="401">
        <f>C150*D148</f>
        <v>0</v>
      </c>
      <c r="D152" s="401">
        <f>SUM(B152:C152)</f>
        <v>482.5821720957347</v>
      </c>
      <c r="E152" s="112"/>
    </row>
    <row r="153" spans="1:5" ht="12.75">
      <c r="A153" s="112"/>
      <c r="B153" s="284"/>
      <c r="C153" s="284"/>
      <c r="D153" s="284"/>
      <c r="E153" s="112"/>
    </row>
    <row r="154" spans="1:5" ht="12.75">
      <c r="A154" s="109" t="s">
        <v>162</v>
      </c>
      <c r="B154" s="291">
        <f>$B28</f>
        <v>0</v>
      </c>
      <c r="C154" s="290"/>
      <c r="D154" s="290"/>
      <c r="E154" s="112"/>
    </row>
    <row r="155" spans="1:5" ht="12.75">
      <c r="A155" s="112"/>
      <c r="B155" s="285"/>
      <c r="C155" s="284"/>
      <c r="D155" s="284"/>
      <c r="E155" s="112"/>
    </row>
    <row r="156" spans="1:5" ht="12.75">
      <c r="A156" s="109" t="s">
        <v>178</v>
      </c>
      <c r="B156" s="411">
        <f>IF(ISERROR($B152/$B154),0,$B152/$B154)</f>
        <v>0</v>
      </c>
      <c r="C156" s="292"/>
      <c r="D156" s="292"/>
      <c r="E156" s="112"/>
    </row>
    <row r="157" spans="1:5" ht="12.75">
      <c r="A157" s="294"/>
      <c r="B157" s="295"/>
      <c r="C157" s="296"/>
      <c r="D157" s="295"/>
      <c r="E157" s="294"/>
    </row>
    <row r="158" spans="1:5" ht="12.75">
      <c r="A158" s="294"/>
      <c r="B158" s="295"/>
      <c r="C158" s="296"/>
      <c r="D158" s="295"/>
      <c r="E158" s="112"/>
    </row>
    <row r="159" spans="1:5" ht="12.75">
      <c r="A159" s="294"/>
      <c r="B159" s="295"/>
      <c r="C159" s="296"/>
      <c r="D159" s="295"/>
      <c r="E159" s="112"/>
    </row>
    <row r="160" ht="15.75">
      <c r="A160" s="54" t="s">
        <v>106</v>
      </c>
    </row>
    <row r="161" ht="15.75">
      <c r="A161" s="131"/>
    </row>
    <row r="162" ht="15">
      <c r="A162" s="132"/>
    </row>
    <row r="163" spans="1:7" ht="39" thickBot="1">
      <c r="A163" s="132"/>
      <c r="B163" s="280" t="s">
        <v>103</v>
      </c>
      <c r="C163" s="280" t="s">
        <v>104</v>
      </c>
      <c r="D163" s="280" t="s">
        <v>145</v>
      </c>
      <c r="E163" s="278"/>
      <c r="F163" s="278"/>
      <c r="G163" s="278"/>
    </row>
    <row r="164" spans="1:3" ht="15">
      <c r="A164" s="132"/>
      <c r="B164" s="30"/>
      <c r="C164" s="30"/>
    </row>
    <row r="165" spans="1:5" ht="12.75">
      <c r="A165" s="109" t="s">
        <v>148</v>
      </c>
      <c r="B165" s="288"/>
      <c r="C165" s="288"/>
      <c r="D165" s="406">
        <f>$G29</f>
        <v>2042.3140643633822</v>
      </c>
      <c r="E165" s="112"/>
    </row>
    <row r="166" spans="1:5" ht="12.75">
      <c r="A166" s="112"/>
      <c r="B166" s="281"/>
      <c r="C166" s="281"/>
      <c r="D166" s="282"/>
      <c r="E166" s="112"/>
    </row>
    <row r="167" spans="1:5" ht="12.75">
      <c r="A167" s="109" t="s">
        <v>101</v>
      </c>
      <c r="B167" s="289">
        <v>1</v>
      </c>
      <c r="C167" s="289">
        <v>0</v>
      </c>
      <c r="D167" s="289">
        <f>B167+C167</f>
        <v>1</v>
      </c>
      <c r="E167" s="112"/>
    </row>
    <row r="168" spans="1:5" ht="12.75">
      <c r="A168" s="112"/>
      <c r="B168" s="283"/>
      <c r="C168" s="283"/>
      <c r="D168" s="283"/>
      <c r="E168" s="112"/>
    </row>
    <row r="169" spans="1:5" ht="12.75">
      <c r="A169" s="109" t="s">
        <v>149</v>
      </c>
      <c r="B169" s="401">
        <f>$B167*$D165</f>
        <v>2042.3140643633822</v>
      </c>
      <c r="C169" s="401">
        <f>C167*D165</f>
        <v>0</v>
      </c>
      <c r="D169" s="401">
        <f>SUM(B169:C169)</f>
        <v>2042.3140643633822</v>
      </c>
      <c r="E169" s="112"/>
    </row>
    <row r="170" spans="1:5" ht="12.75">
      <c r="A170" s="112"/>
      <c r="B170" s="284"/>
      <c r="C170" s="284"/>
      <c r="D170" s="284"/>
      <c r="E170" s="112"/>
    </row>
    <row r="171" spans="1:5" ht="12.75">
      <c r="A171" s="109" t="s">
        <v>162</v>
      </c>
      <c r="B171" s="291">
        <f>$B29</f>
        <v>4135</v>
      </c>
      <c r="C171" s="290"/>
      <c r="D171" s="290"/>
      <c r="E171" s="112"/>
    </row>
    <row r="172" spans="1:5" ht="12.75">
      <c r="A172" s="112"/>
      <c r="B172" s="285"/>
      <c r="C172" s="284"/>
      <c r="D172" s="284"/>
      <c r="E172" s="112"/>
    </row>
    <row r="173" spans="1:5" ht="12.75">
      <c r="A173" s="109" t="s">
        <v>178</v>
      </c>
      <c r="B173" s="411">
        <f>IF(ISERROR($B169/$B171),0,$B169/$B171)</f>
        <v>0.49390908448933063</v>
      </c>
      <c r="C173" s="292"/>
      <c r="D173" s="292"/>
      <c r="E173" s="112"/>
    </row>
    <row r="177" ht="15.75">
      <c r="A177" s="54" t="s">
        <v>232</v>
      </c>
    </row>
    <row r="178" ht="15.75">
      <c r="A178" s="131"/>
    </row>
    <row r="179" ht="15">
      <c r="A179" s="132"/>
    </row>
    <row r="180" spans="1:4" ht="39" thickBot="1">
      <c r="A180" s="132"/>
      <c r="B180" s="280" t="s">
        <v>103</v>
      </c>
      <c r="C180" s="280" t="s">
        <v>104</v>
      </c>
      <c r="D180" s="280" t="s">
        <v>145</v>
      </c>
    </row>
    <row r="181" spans="1:3" ht="15">
      <c r="A181" s="132"/>
      <c r="B181" s="30"/>
      <c r="C181" s="30"/>
    </row>
    <row r="182" spans="1:4" ht="12.75">
      <c r="A182" s="109" t="s">
        <v>148</v>
      </c>
      <c r="B182" s="288"/>
      <c r="C182" s="288"/>
      <c r="D182" s="486">
        <f>$G30</f>
        <v>0</v>
      </c>
    </row>
    <row r="183" spans="1:4" ht="12.75">
      <c r="A183" s="112"/>
      <c r="B183" s="281"/>
      <c r="C183" s="281"/>
      <c r="D183" s="282"/>
    </row>
    <row r="184" spans="1:4" ht="12.75">
      <c r="A184" s="109" t="s">
        <v>101</v>
      </c>
      <c r="B184" s="289">
        <v>1</v>
      </c>
      <c r="C184" s="289">
        <v>0</v>
      </c>
      <c r="D184" s="289">
        <f>B184+C184</f>
        <v>1</v>
      </c>
    </row>
    <row r="185" spans="1:4" ht="12.75">
      <c r="A185" s="112"/>
      <c r="B185" s="283"/>
      <c r="C185" s="283"/>
      <c r="D185" s="283"/>
    </row>
    <row r="186" spans="1:4" ht="12.75">
      <c r="A186" s="109" t="s">
        <v>149</v>
      </c>
      <c r="B186" s="401">
        <f>$B184*$D182</f>
        <v>0</v>
      </c>
      <c r="C186" s="401">
        <f>C184*D182</f>
        <v>0</v>
      </c>
      <c r="D186" s="401">
        <f>SUM(B186:C186)</f>
        <v>0</v>
      </c>
    </row>
    <row r="187" spans="1:4" ht="12.75">
      <c r="A187" s="112"/>
      <c r="B187" s="284"/>
      <c r="C187" s="284"/>
      <c r="D187" s="284"/>
    </row>
    <row r="188" spans="1:4" ht="12.75">
      <c r="A188" s="109" t="s">
        <v>99</v>
      </c>
      <c r="B188" s="487">
        <f>$C30</f>
        <v>0</v>
      </c>
      <c r="C188" s="290"/>
      <c r="D188" s="290"/>
    </row>
    <row r="189" spans="1:4" ht="12.75">
      <c r="A189" s="112"/>
      <c r="B189" s="285"/>
      <c r="C189" s="284"/>
      <c r="D189" s="284"/>
    </row>
    <row r="190" spans="1:4" ht="12.75">
      <c r="A190" s="109" t="s">
        <v>177</v>
      </c>
      <c r="B190" s="411">
        <f>IF(ISERROR($B186/$B188),0,$B186/$B188)</f>
        <v>0</v>
      </c>
      <c r="C190" s="292"/>
      <c r="D190" s="292"/>
    </row>
    <row r="191" spans="1:4" ht="12.75">
      <c r="A191" s="112"/>
      <c r="B191" s="286"/>
      <c r="C191" s="287"/>
      <c r="D191" s="287"/>
    </row>
    <row r="192" spans="1:4" ht="15">
      <c r="A192" s="132"/>
      <c r="B192" s="56"/>
      <c r="C192" s="56"/>
      <c r="D192" s="56"/>
    </row>
    <row r="193" spans="2:4" ht="12.75">
      <c r="B193" s="56"/>
      <c r="C193" s="56"/>
      <c r="D193" s="56"/>
    </row>
    <row r="194" ht="15.75">
      <c r="A194" s="54" t="s">
        <v>233</v>
      </c>
    </row>
    <row r="195" ht="15.75">
      <c r="A195" s="131"/>
    </row>
    <row r="196" ht="15">
      <c r="A196" s="132"/>
    </row>
    <row r="197" spans="1:4" ht="39" thickBot="1">
      <c r="A197" s="132"/>
      <c r="B197" s="280" t="s">
        <v>103</v>
      </c>
      <c r="C197" s="280" t="s">
        <v>104</v>
      </c>
      <c r="D197" s="280" t="s">
        <v>145</v>
      </c>
    </row>
    <row r="198" spans="1:3" ht="15">
      <c r="A198" s="132"/>
      <c r="B198" s="30"/>
      <c r="C198" s="30"/>
    </row>
    <row r="199" spans="1:4" ht="12.75">
      <c r="A199" s="109" t="s">
        <v>148</v>
      </c>
      <c r="B199" s="288"/>
      <c r="C199" s="288"/>
      <c r="D199" s="486">
        <f>$G31</f>
        <v>0</v>
      </c>
    </row>
    <row r="200" spans="1:4" ht="12.75">
      <c r="A200" s="112"/>
      <c r="B200" s="281"/>
      <c r="C200" s="281"/>
      <c r="D200" s="282"/>
    </row>
    <row r="201" spans="1:4" ht="12.75">
      <c r="A201" s="109" t="s">
        <v>101</v>
      </c>
      <c r="B201" s="289">
        <v>1</v>
      </c>
      <c r="C201" s="289">
        <v>0</v>
      </c>
      <c r="D201" s="289">
        <f>B201+C201</f>
        <v>1</v>
      </c>
    </row>
    <row r="202" spans="1:4" ht="12.75">
      <c r="A202" s="112"/>
      <c r="B202" s="283"/>
      <c r="C202" s="283"/>
      <c r="D202" s="283"/>
    </row>
    <row r="203" spans="1:4" ht="12.75">
      <c r="A203" s="109" t="s">
        <v>149</v>
      </c>
      <c r="B203" s="401">
        <f>$B201*$D199</f>
        <v>0</v>
      </c>
      <c r="C203" s="401">
        <f>C201*D199</f>
        <v>0</v>
      </c>
      <c r="D203" s="401">
        <f>SUM(B203:C203)</f>
        <v>0</v>
      </c>
    </row>
    <row r="204" spans="1:4" ht="12.75">
      <c r="A204" s="112"/>
      <c r="B204" s="284"/>
      <c r="C204" s="284"/>
      <c r="D204" s="284"/>
    </row>
    <row r="205" spans="1:4" ht="12.75">
      <c r="A205" s="109" t="s">
        <v>99</v>
      </c>
      <c r="B205" s="487">
        <f>$C31</f>
        <v>0</v>
      </c>
      <c r="C205" s="290"/>
      <c r="D205" s="290"/>
    </row>
    <row r="206" spans="1:4" ht="12.75">
      <c r="A206" s="112"/>
      <c r="B206" s="285"/>
      <c r="C206" s="284"/>
      <c r="D206" s="284"/>
    </row>
    <row r="207" spans="1:4" ht="12.75">
      <c r="A207" s="109" t="s">
        <v>177</v>
      </c>
      <c r="B207" s="411">
        <f>IF(ISERROR($B203/$B205),0,$B203/$B205)</f>
        <v>0</v>
      </c>
      <c r="C207" s="292"/>
      <c r="D207" s="292"/>
    </row>
    <row r="208" spans="1:4" ht="12.75">
      <c r="A208" s="112"/>
      <c r="B208" s="286"/>
      <c r="C208" s="287"/>
      <c r="D208" s="287"/>
    </row>
    <row r="209" spans="1:4" ht="15">
      <c r="A209" s="132"/>
      <c r="B209" s="56"/>
      <c r="C209" s="56"/>
      <c r="D209" s="56"/>
    </row>
    <row r="210" spans="2:4" ht="12.75">
      <c r="B210" s="56"/>
      <c r="C210" s="56"/>
      <c r="D210" s="56"/>
    </row>
    <row r="211" ht="15.75">
      <c r="A211" s="54" t="s">
        <v>234</v>
      </c>
    </row>
    <row r="212" ht="15.75">
      <c r="A212" s="131"/>
    </row>
    <row r="213" ht="15">
      <c r="A213" s="132"/>
    </row>
    <row r="214" spans="1:4" ht="39" thickBot="1">
      <c r="A214" s="132"/>
      <c r="B214" s="280" t="s">
        <v>103</v>
      </c>
      <c r="C214" s="280" t="s">
        <v>104</v>
      </c>
      <c r="D214" s="280" t="s">
        <v>145</v>
      </c>
    </row>
    <row r="215" spans="1:3" ht="15">
      <c r="A215" s="132"/>
      <c r="B215" s="30"/>
      <c r="C215" s="30"/>
    </row>
    <row r="216" spans="1:4" ht="12.75">
      <c r="A216" s="109" t="s">
        <v>148</v>
      </c>
      <c r="B216" s="288"/>
      <c r="C216" s="288"/>
      <c r="D216" s="486">
        <f>$G32</f>
        <v>0</v>
      </c>
    </row>
    <row r="217" spans="1:4" ht="12.75">
      <c r="A217" s="112"/>
      <c r="B217" s="281"/>
      <c r="C217" s="281"/>
      <c r="D217" s="282"/>
    </row>
    <row r="218" spans="1:4" ht="12.75">
      <c r="A218" s="109" t="s">
        <v>101</v>
      </c>
      <c r="B218" s="289">
        <v>1</v>
      </c>
      <c r="C218" s="289">
        <v>0</v>
      </c>
      <c r="D218" s="289">
        <f>B218+C218</f>
        <v>1</v>
      </c>
    </row>
    <row r="219" spans="1:4" ht="12.75">
      <c r="A219" s="112"/>
      <c r="B219" s="283"/>
      <c r="C219" s="283"/>
      <c r="D219" s="283"/>
    </row>
    <row r="220" spans="1:4" ht="12.75">
      <c r="A220" s="109" t="s">
        <v>149</v>
      </c>
      <c r="B220" s="401">
        <f>$B218*$D216</f>
        <v>0</v>
      </c>
      <c r="C220" s="401">
        <f>C218*D216</f>
        <v>0</v>
      </c>
      <c r="D220" s="401">
        <f>SUM(B220:C220)</f>
        <v>0</v>
      </c>
    </row>
    <row r="221" spans="1:4" ht="12.75">
      <c r="A221" s="112"/>
      <c r="B221" s="284"/>
      <c r="C221" s="284"/>
      <c r="D221" s="284"/>
    </row>
    <row r="222" spans="1:4" ht="12.75">
      <c r="A222" s="109" t="s">
        <v>162</v>
      </c>
      <c r="B222" s="487">
        <f>$B32</f>
        <v>0</v>
      </c>
      <c r="C222" s="290"/>
      <c r="D222" s="290"/>
    </row>
    <row r="223" spans="1:4" ht="12.75">
      <c r="A223" s="112"/>
      <c r="B223" s="285"/>
      <c r="C223" s="284"/>
      <c r="D223" s="284"/>
    </row>
    <row r="224" spans="1:4" ht="12.75">
      <c r="A224" s="109" t="s">
        <v>178</v>
      </c>
      <c r="B224" s="411">
        <f>IF(ISERROR($B220/$B222),0,$B220/$B222)</f>
        <v>0</v>
      </c>
      <c r="C224" s="292"/>
      <c r="D224" s="292"/>
    </row>
    <row r="228" ht="15.75">
      <c r="A228" s="54" t="s">
        <v>235</v>
      </c>
    </row>
    <row r="229" ht="15.75">
      <c r="A229" s="131"/>
    </row>
    <row r="230" ht="15">
      <c r="A230" s="132"/>
    </row>
    <row r="231" spans="1:4" ht="39" thickBot="1">
      <c r="A231" s="132"/>
      <c r="B231" s="280" t="s">
        <v>103</v>
      </c>
      <c r="C231" s="280" t="s">
        <v>104</v>
      </c>
      <c r="D231" s="280" t="s">
        <v>145</v>
      </c>
    </row>
    <row r="232" spans="1:3" ht="15">
      <c r="A232" s="132"/>
      <c r="B232" s="30"/>
      <c r="C232" s="30"/>
    </row>
    <row r="233" spans="1:4" ht="12.75">
      <c r="A233" s="109" t="s">
        <v>148</v>
      </c>
      <c r="B233" s="288"/>
      <c r="C233" s="288"/>
      <c r="D233" s="486">
        <f>$G33</f>
        <v>0</v>
      </c>
    </row>
    <row r="234" spans="1:4" ht="12.75">
      <c r="A234" s="112"/>
      <c r="B234" s="281"/>
      <c r="C234" s="281"/>
      <c r="D234" s="282"/>
    </row>
    <row r="235" spans="1:4" ht="12.75">
      <c r="A235" s="109" t="s">
        <v>101</v>
      </c>
      <c r="B235" s="289">
        <v>1</v>
      </c>
      <c r="C235" s="289">
        <v>0</v>
      </c>
      <c r="D235" s="289">
        <f>B235+C235</f>
        <v>1</v>
      </c>
    </row>
    <row r="236" spans="1:4" ht="12.75">
      <c r="A236" s="112"/>
      <c r="B236" s="283"/>
      <c r="C236" s="283"/>
      <c r="D236" s="283"/>
    </row>
    <row r="237" spans="1:4" ht="12.75">
      <c r="A237" s="109" t="s">
        <v>149</v>
      </c>
      <c r="B237" s="401">
        <f>$B235*$D233</f>
        <v>0</v>
      </c>
      <c r="C237" s="401">
        <f>C235*D233</f>
        <v>0</v>
      </c>
      <c r="D237" s="401">
        <f>SUM(B237:C237)</f>
        <v>0</v>
      </c>
    </row>
    <row r="238" spans="1:4" ht="12.75">
      <c r="A238" s="112"/>
      <c r="B238" s="284"/>
      <c r="C238" s="284"/>
      <c r="D238" s="284"/>
    </row>
    <row r="239" spans="1:4" ht="12.75">
      <c r="A239" s="109" t="s">
        <v>99</v>
      </c>
      <c r="B239" s="487">
        <f>$C33</f>
        <v>0</v>
      </c>
      <c r="C239" s="290"/>
      <c r="D239" s="290"/>
    </row>
    <row r="240" spans="1:4" ht="12.75">
      <c r="A240" s="112"/>
      <c r="B240" s="285"/>
      <c r="C240" s="284"/>
      <c r="D240" s="284"/>
    </row>
    <row r="241" spans="1:4" ht="12.75">
      <c r="A241" s="109" t="s">
        <v>177</v>
      </c>
      <c r="B241" s="411">
        <f>IF(ISERROR($B237/$B239),0,$B237/$B239)</f>
        <v>0</v>
      </c>
      <c r="C241" s="292"/>
      <c r="D241" s="292"/>
    </row>
  </sheetData>
  <sheetProtection/>
  <mergeCells count="4">
    <mergeCell ref="A14:D14"/>
    <mergeCell ref="C36:F36"/>
    <mergeCell ref="B5:D5"/>
    <mergeCell ref="B7:C7"/>
  </mergeCells>
  <printOptions/>
  <pageMargins left="0.31" right="0.17" top="0.45" bottom="0.5" header="0.28" footer="0.23"/>
  <pageSetup fitToHeight="0" fitToWidth="1" horizontalDpi="600" verticalDpi="600" orientation="portrait" scale="69" r:id="rId3"/>
  <rowBreaks count="2" manualBreakCount="2">
    <brk id="74" max="255" man="1"/>
    <brk id="141" max="255" man="1"/>
  </rowBreaks>
  <legacyDrawing r:id="rId2"/>
</worksheet>
</file>

<file path=xl/worksheets/sheet6.xml><?xml version="1.0" encoding="utf-8"?>
<worksheet xmlns="http://schemas.openxmlformats.org/spreadsheetml/2006/main" xmlns:r="http://schemas.openxmlformats.org/officeDocument/2006/relationships">
  <dimension ref="A1:H120"/>
  <sheetViews>
    <sheetView zoomScale="75" zoomScaleNormal="75" zoomScalePageLayoutView="0" workbookViewId="0" topLeftCell="A55">
      <selection activeCell="E57" sqref="E57"/>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154</v>
      </c>
    </row>
    <row r="2" ht="22.5" customHeight="1" thickBot="1"/>
    <row r="3" spans="1:5" ht="18">
      <c r="A3" s="300" t="str">
        <f>"Name of Utility:      "&amp;'Info Sheet'!B4</f>
        <v>Name of Utility:      Brant County Power</v>
      </c>
      <c r="B3" s="301"/>
      <c r="C3" s="389"/>
      <c r="D3" s="455" t="str">
        <f>'Info Sheet'!$B$21</f>
        <v>2005.V1.0</v>
      </c>
      <c r="E3" s="36"/>
    </row>
    <row r="4" spans="1:5" ht="18">
      <c r="A4" s="302" t="str">
        <f>"License Number:   "&amp;'Info Sheet'!B6</f>
        <v>License Number:   ED 1999-0191</v>
      </c>
      <c r="B4" s="27"/>
      <c r="C4" s="390"/>
      <c r="D4" s="394" t="str">
        <f>'Info Sheet'!B8</f>
        <v>RP-2005-0013</v>
      </c>
      <c r="E4" s="36"/>
    </row>
    <row r="5" spans="1:4" ht="15.75">
      <c r="A5" s="650" t="str">
        <f>"Name of Contact:  "&amp;'Info Sheet'!B12</f>
        <v>Name of Contact:  Grant Brooker</v>
      </c>
      <c r="B5" s="651"/>
      <c r="C5" s="651"/>
      <c r="D5" s="394" t="str">
        <f>'Info Sheet'!B10</f>
        <v>EB-2005-0009</v>
      </c>
    </row>
    <row r="6" spans="1:4" ht="18">
      <c r="A6" s="303" t="str">
        <f>"E- Mail Address:    "&amp;'Info Sheet'!B14</f>
        <v>E- Mail Address:    gbrooker@brantcountypower.com</v>
      </c>
      <c r="B6" s="27"/>
      <c r="C6" s="391"/>
      <c r="D6" s="100"/>
    </row>
    <row r="7" spans="1:4" ht="15.75">
      <c r="A7" s="302" t="str">
        <f>"Phone Number:     "&amp;'Info Sheet'!B16</f>
        <v>Phone Number:     519 442 2215</v>
      </c>
      <c r="B7" s="652" t="str">
        <f>'Info Sheet'!$C$16&amp;" "&amp;'Info Sheet'!$D$16</f>
        <v>Extension: 734</v>
      </c>
      <c r="C7" s="652"/>
      <c r="D7" s="100"/>
    </row>
    <row r="8" spans="1:4" ht="16.5" thickBot="1">
      <c r="A8" s="304" t="str">
        <f>"Date:                      "&amp;('Info Sheet'!B18)</f>
        <v>Date:                      January 17, 2005</v>
      </c>
      <c r="B8" s="305"/>
      <c r="C8" s="392"/>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215</v>
      </c>
      <c r="B14" s="52"/>
      <c r="C14" s="53"/>
      <c r="E14" s="15"/>
      <c r="G14" s="15"/>
    </row>
    <row r="15" spans="2:7" ht="12.75">
      <c r="B15" s="15"/>
      <c r="C15" s="15"/>
      <c r="D15" s="49"/>
      <c r="E15" s="15"/>
      <c r="F15" s="15"/>
      <c r="G15" s="15"/>
    </row>
    <row r="16" spans="1:8" ht="12.75">
      <c r="A16" s="9" t="s">
        <v>1</v>
      </c>
      <c r="B16" s="15">
        <f>IF('3. 2005 Base Rate Schedule'!B14="","",'3. 2005 Base Rate Schedule'!B14+'4. 2003 Data &amp; 2005 PILs'!B54)</f>
        <v>0.013475951062234662</v>
      </c>
      <c r="C16" s="15"/>
      <c r="D16" s="49"/>
      <c r="E16" s="15"/>
      <c r="F16" s="297"/>
      <c r="G16" s="297"/>
      <c r="H16" s="297"/>
    </row>
    <row r="17" spans="2:7" ht="12.75">
      <c r="B17" s="15"/>
      <c r="C17" s="15"/>
      <c r="D17" s="49"/>
      <c r="E17" s="15"/>
      <c r="F17" s="15"/>
      <c r="G17" s="15"/>
    </row>
    <row r="18" spans="1:8" ht="12.75">
      <c r="A18" s="9" t="s">
        <v>18</v>
      </c>
      <c r="B18" s="49">
        <f>IF('3. 2005 Base Rate Schedule'!B16="","",'3. 2005 Base Rate Schedule'!B16)</f>
        <v>10.139451099306044</v>
      </c>
      <c r="C18" s="15"/>
      <c r="D18" s="49"/>
      <c r="E18" s="15"/>
      <c r="F18" s="297"/>
      <c r="G18" s="134"/>
      <c r="H18" s="297"/>
    </row>
    <row r="19" spans="2:7" ht="12.75">
      <c r="B19" s="15">
        <f>IF('3. 2005 Base Rate Schedule'!B17="","",'3. 2005 Base Rate Schedule'!B17+'4. 2003 Data &amp; 2005 PILs'!B57)</f>
      </c>
      <c r="C19" s="15"/>
      <c r="D19" s="49"/>
      <c r="E19" s="15"/>
      <c r="F19" s="15"/>
      <c r="G19" s="15"/>
    </row>
    <row r="20" spans="2:7" ht="12.75">
      <c r="B20" s="15"/>
      <c r="C20" s="15"/>
      <c r="D20" s="15"/>
      <c r="E20" s="15"/>
      <c r="F20" s="15"/>
      <c r="G20" s="15"/>
    </row>
    <row r="21" spans="1:7" ht="18">
      <c r="A21" s="663" t="s">
        <v>2</v>
      </c>
      <c r="B21" s="663"/>
      <c r="C21" s="53"/>
      <c r="D21" s="15"/>
      <c r="E21" s="15"/>
      <c r="F21" s="15"/>
      <c r="G21" s="15"/>
    </row>
    <row r="22" spans="2:7" ht="12.75">
      <c r="B22" s="15">
        <f>IF('3. 2005 Base Rate Schedule'!B20="","",'3. 2005 Base Rate Schedule'!B20+'4. 2003 Data &amp; 2005 PILs'!B60)</f>
      </c>
      <c r="C22" s="15"/>
      <c r="D22" s="15"/>
      <c r="E22" s="15"/>
      <c r="F22" s="15"/>
      <c r="G22" s="15"/>
    </row>
    <row r="23" spans="1:7" ht="12.75">
      <c r="A23" s="9" t="s">
        <v>1</v>
      </c>
      <c r="B23" s="15">
        <f>IF('3. 2005 Base Rate Schedule'!B21="","",'3. 2005 Base Rate Schedule'!B21+'4. 2003 Data &amp; 2005 PILs'!B54)</f>
      </c>
      <c r="C23" s="15"/>
      <c r="D23" s="15"/>
      <c r="E23" s="15"/>
      <c r="F23" s="15"/>
      <c r="G23" s="15"/>
    </row>
    <row r="24" spans="2:7" ht="12.75">
      <c r="B24" s="15"/>
      <c r="C24" s="15"/>
      <c r="D24" s="15"/>
      <c r="E24" s="15"/>
      <c r="F24" s="15"/>
      <c r="G24" s="15"/>
    </row>
    <row r="25" spans="1:7" ht="12.75">
      <c r="A25" s="9" t="s">
        <v>18</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490" t="s">
        <v>220</v>
      </c>
      <c r="B28" s="490"/>
      <c r="C28" s="53"/>
      <c r="D28" s="49"/>
      <c r="E28" s="15"/>
      <c r="F28" s="15"/>
      <c r="G28" s="15"/>
    </row>
    <row r="29" spans="2:7" ht="12.75">
      <c r="B29" s="15"/>
      <c r="C29" s="15"/>
      <c r="D29" s="49"/>
      <c r="E29" s="15"/>
      <c r="F29" s="15"/>
      <c r="G29" s="15"/>
    </row>
    <row r="30" spans="1:8" ht="12.75">
      <c r="A30" s="9" t="s">
        <v>1</v>
      </c>
      <c r="B30" s="15">
        <f>IF('3. 2005 Base Rate Schedule'!B28="","",'3. 2005 Base Rate Schedule'!B28+'4. 2003 Data &amp; 2005 PILs'!B71)</f>
        <v>0.0137471633170268</v>
      </c>
      <c r="C30" s="15"/>
      <c r="D30" s="49"/>
      <c r="E30" s="15"/>
      <c r="F30" s="15"/>
      <c r="G30" s="298"/>
      <c r="H30" s="297"/>
    </row>
    <row r="31" spans="2:7" ht="12.75">
      <c r="B31" s="15"/>
      <c r="C31" s="15"/>
      <c r="D31" s="49"/>
      <c r="E31" s="15"/>
      <c r="F31" s="15"/>
      <c r="G31" s="298"/>
    </row>
    <row r="32" spans="1:8" ht="12.75">
      <c r="A32" s="9" t="s">
        <v>18</v>
      </c>
      <c r="B32" s="49">
        <f>IF('3. 2005 Base Rate Schedule'!B30="","",'3. 2005 Base Rate Schedule'!B30)</f>
        <v>12.185831699634123</v>
      </c>
      <c r="C32" s="15"/>
      <c r="D32" s="49"/>
      <c r="E32" s="15"/>
      <c r="F32" s="15"/>
      <c r="G32" s="298"/>
      <c r="H32" s="297"/>
    </row>
    <row r="33" spans="2:7" ht="12.75">
      <c r="B33" s="15">
        <f>IF('3. 2005 Base Rate Schedule'!B31="","",'3. 2005 Base Rate Schedule'!B31+'4. 2003 Data &amp; 2005 PILs'!B71)</f>
      </c>
      <c r="C33" s="15"/>
      <c r="D33" s="49"/>
      <c r="E33" s="15"/>
      <c r="F33" s="15"/>
      <c r="G33" s="15"/>
    </row>
    <row r="34" spans="2:7" ht="12.75">
      <c r="B34" s="15">
        <f>IF('3. 2005 Base Rate Schedule'!B32="","",'3. 2005 Base Rate Schedule'!B32+'4. 2003 Data &amp; 2005 PILs'!B72)</f>
      </c>
      <c r="C34" s="15"/>
      <c r="D34" s="49"/>
      <c r="E34" s="15"/>
      <c r="F34" s="15"/>
      <c r="G34" s="15"/>
    </row>
    <row r="35" spans="1:7" ht="18">
      <c r="A35" s="490" t="s">
        <v>221</v>
      </c>
      <c r="B35" s="490"/>
      <c r="C35" s="490"/>
      <c r="D35" s="49"/>
      <c r="E35" s="15"/>
      <c r="F35" s="15"/>
      <c r="G35" s="15"/>
    </row>
    <row r="36" spans="2:7" ht="12.75">
      <c r="B36" s="15">
        <f>IF('3. 2005 Base Rate Schedule'!B34="","",'3. 2005 Base Rate Schedule'!B34+'4. 2003 Data &amp; 2005 PILs'!B74)</f>
      </c>
      <c r="C36" s="15"/>
      <c r="D36" s="49"/>
      <c r="E36" s="15"/>
      <c r="F36" s="15"/>
      <c r="G36" s="15"/>
    </row>
    <row r="37" spans="1:7" ht="12.75">
      <c r="A37" s="9" t="s">
        <v>3</v>
      </c>
      <c r="B37" s="15">
        <f>IF('3. 2005 Base Rate Schedule'!B35="","",'4. 2003 Data &amp; 2005 PILs'!B88+'3. 2005 Base Rate Schedule'!B35)</f>
        <v>3.897651972639695</v>
      </c>
      <c r="C37" s="15"/>
      <c r="D37" s="49"/>
      <c r="E37" s="15"/>
      <c r="F37" s="15"/>
      <c r="G37" s="15"/>
    </row>
    <row r="38" spans="2:7" ht="12.75">
      <c r="B38" s="15"/>
      <c r="C38" s="15"/>
      <c r="D38" s="49"/>
      <c r="E38" s="15"/>
      <c r="F38" s="15"/>
      <c r="G38" s="15"/>
    </row>
    <row r="39" spans="1:7" ht="12.75">
      <c r="A39" s="9" t="s">
        <v>18</v>
      </c>
      <c r="B39" s="49">
        <f>IF('3. 2005 Base Rate Schedule'!B37="","",'3. 2005 Base Rate Schedule'!B37)</f>
        <v>21.7006919519267</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4</v>
      </c>
      <c r="B42" s="52"/>
      <c r="C42" s="53"/>
      <c r="D42" s="49"/>
      <c r="E42" s="15"/>
      <c r="F42" s="15"/>
      <c r="G42" s="15"/>
    </row>
    <row r="43" spans="1:7" ht="18">
      <c r="A43" s="8"/>
      <c r="B43" s="15"/>
      <c r="C43" s="15"/>
      <c r="D43" s="49"/>
      <c r="E43" s="15"/>
      <c r="F43" s="15"/>
      <c r="G43" s="15"/>
    </row>
    <row r="44" spans="1:7" ht="12.75">
      <c r="A44" s="9" t="s">
        <v>3</v>
      </c>
      <c r="B44" s="15">
        <f>IF('3. 2005 Base Rate Schedule'!B42="","",'4. 2003 Data &amp; 2005 PILs'!B105+'3. 2005 Base Rate Schedule'!B42)</f>
      </c>
      <c r="C44" s="15"/>
      <c r="D44" s="49"/>
      <c r="E44" s="15"/>
      <c r="F44" s="15"/>
      <c r="G44" s="15"/>
    </row>
    <row r="45" spans="2:7" ht="12.75">
      <c r="B45" s="15"/>
      <c r="C45" s="15"/>
      <c r="D45" s="49"/>
      <c r="E45" s="15"/>
      <c r="F45" s="15"/>
      <c r="G45" s="15"/>
    </row>
    <row r="46" spans="1:7" ht="12.75">
      <c r="A46" s="9" t="s">
        <v>18</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299" t="s">
        <v>213</v>
      </c>
      <c r="B49" s="15"/>
      <c r="C49" s="15"/>
      <c r="D49" s="49"/>
      <c r="E49" s="15"/>
      <c r="F49" s="15"/>
      <c r="G49" s="15"/>
    </row>
    <row r="50" spans="2:7" ht="12.75">
      <c r="B50" s="15"/>
      <c r="C50" s="15"/>
      <c r="D50" s="49"/>
      <c r="E50" s="15"/>
      <c r="F50" s="15"/>
      <c r="G50" s="15"/>
    </row>
    <row r="51" spans="1:7" ht="12.75">
      <c r="A51" s="9" t="s">
        <v>3</v>
      </c>
      <c r="B51" s="15">
        <f>IF('3. 2005 Base Rate Schedule'!B49="","",'4. 2003 Data &amp; 2005 PILs'!B122+'3. 2005 Base Rate Schedule'!B49)</f>
        <v>0.9630041498474807</v>
      </c>
      <c r="C51" s="15"/>
      <c r="D51" s="49"/>
      <c r="E51" s="15"/>
      <c r="F51" s="15"/>
      <c r="G51" s="15"/>
    </row>
    <row r="52" spans="2:7" ht="12.75">
      <c r="B52" s="15"/>
      <c r="C52" s="15"/>
      <c r="D52" s="49"/>
      <c r="E52" s="15"/>
      <c r="F52" s="15"/>
      <c r="G52" s="15"/>
    </row>
    <row r="53" spans="1:7" ht="12.75">
      <c r="A53" s="9" t="s">
        <v>18</v>
      </c>
      <c r="B53" s="49">
        <f>IF('3. 2005 Base Rate Schedule'!B51="","",'3. 2005 Base Rate Schedule'!B51)</f>
        <v>37.96940217025832</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0</v>
      </c>
      <c r="B56" s="15"/>
      <c r="C56" s="15"/>
      <c r="D56" s="49"/>
      <c r="E56" s="15"/>
      <c r="F56" s="15"/>
      <c r="G56" s="15"/>
    </row>
    <row r="57" spans="2:7" ht="12.75">
      <c r="B57" s="15"/>
      <c r="C57" s="15"/>
      <c r="D57" s="49"/>
      <c r="E57" s="15"/>
      <c r="F57" s="15"/>
      <c r="G57" s="15"/>
    </row>
    <row r="58" spans="1:7" ht="12.75">
      <c r="A58" s="9" t="s">
        <v>3</v>
      </c>
      <c r="B58" s="15">
        <f>IF('3. 2005 Base Rate Schedule'!B56="","",'4. 2003 Data &amp; 2005 PILs'!B139+'3. 2005 Base Rate Schedule'!B56)</f>
        <v>0.536752294606375</v>
      </c>
      <c r="C58" s="15"/>
      <c r="D58" s="49"/>
      <c r="E58" s="15"/>
      <c r="F58" s="15"/>
      <c r="G58" s="15"/>
    </row>
    <row r="59" spans="2:7" ht="12.75">
      <c r="B59" s="15"/>
      <c r="C59" s="15"/>
      <c r="D59" s="49"/>
      <c r="E59" s="15"/>
      <c r="F59" s="15"/>
      <c r="G59" s="15"/>
    </row>
    <row r="60" spans="1:7" ht="12.75">
      <c r="A60" s="9" t="s">
        <v>18</v>
      </c>
      <c r="B60" s="49">
        <f>IF('3. 2005 Base Rate Schedule'!B58="","",'3. 2005 Base Rate Schedule'!B58)</f>
        <v>179.8940168853936</v>
      </c>
      <c r="C60" s="15"/>
      <c r="D60" s="49"/>
      <c r="E60" s="15"/>
      <c r="F60" s="15"/>
      <c r="G60" s="15"/>
    </row>
    <row r="61" spans="2:7" ht="12.75">
      <c r="B61" s="15"/>
      <c r="C61" s="15"/>
      <c r="D61" s="49"/>
      <c r="E61" s="15"/>
      <c r="F61" s="15"/>
      <c r="G61" s="15"/>
    </row>
    <row r="62" spans="3:7" ht="12.75">
      <c r="C62" s="15"/>
      <c r="E62" s="15"/>
      <c r="F62" s="15"/>
      <c r="G62" s="15"/>
    </row>
    <row r="63" spans="1:7" ht="18">
      <c r="A63" s="55" t="s">
        <v>5</v>
      </c>
      <c r="B63" s="15"/>
      <c r="C63" s="15"/>
      <c r="D63" s="49"/>
      <c r="E63" s="15"/>
      <c r="F63" s="15"/>
      <c r="G63" s="15"/>
    </row>
    <row r="64" spans="2:7" ht="12.75">
      <c r="B64" s="15"/>
      <c r="C64" s="15"/>
      <c r="D64" s="49"/>
      <c r="E64" s="15"/>
      <c r="F64" s="15"/>
      <c r="G64" s="15"/>
    </row>
    <row r="65" spans="1:7" ht="12.75">
      <c r="A65" s="9" t="s">
        <v>3</v>
      </c>
      <c r="B65" s="15">
        <f>IF('3. 2005 Base Rate Schedule'!B63="","",'4. 2003 Data &amp; 2005 PILs'!B156+'3. 2005 Base Rate Schedule'!B63)</f>
        <v>5.275840000167736</v>
      </c>
      <c r="C65" s="15"/>
      <c r="D65" s="49"/>
      <c r="E65" s="15"/>
      <c r="F65" s="15"/>
      <c r="G65" s="15"/>
    </row>
    <row r="66" spans="2:7" ht="12.75">
      <c r="B66" s="15"/>
      <c r="C66" s="15"/>
      <c r="D66" s="49"/>
      <c r="E66" s="15"/>
      <c r="F66" s="15"/>
      <c r="G66" s="15"/>
    </row>
    <row r="67" spans="1:7" ht="12.75">
      <c r="A67" s="9" t="s">
        <v>19</v>
      </c>
      <c r="B67" s="49">
        <f>IF('3. 2005 Base Rate Schedule'!B65="","",'3. 2005 Base Rate Schedule'!B65)</f>
        <v>1.6063870698855058</v>
      </c>
      <c r="C67" s="15"/>
      <c r="D67" s="49"/>
      <c r="E67" s="15"/>
      <c r="F67" s="15"/>
      <c r="G67" s="15"/>
    </row>
    <row r="68" spans="2:7" ht="12.75">
      <c r="B68" s="15"/>
      <c r="C68" s="15"/>
      <c r="D68" s="49"/>
      <c r="E68" s="15"/>
      <c r="F68" s="15"/>
      <c r="G68" s="15"/>
    </row>
    <row r="69" spans="1:7" ht="12.75">
      <c r="A69" s="12" t="s">
        <v>6</v>
      </c>
      <c r="B69" s="15"/>
      <c r="C69" s="15"/>
      <c r="D69" s="49"/>
      <c r="E69" s="15"/>
      <c r="F69" s="15"/>
      <c r="G69" s="15"/>
    </row>
    <row r="70" spans="2:7" ht="12.75">
      <c r="B70" s="15"/>
      <c r="C70" s="15"/>
      <c r="D70" s="49"/>
      <c r="E70" s="15"/>
      <c r="F70" s="15"/>
      <c r="G70" s="15"/>
    </row>
    <row r="71" spans="1:7" ht="18">
      <c r="A71" s="55" t="s">
        <v>7</v>
      </c>
      <c r="B71" s="15"/>
      <c r="C71" s="15"/>
      <c r="D71" s="49"/>
      <c r="E71" s="15"/>
      <c r="F71" s="15"/>
      <c r="G71" s="15"/>
    </row>
    <row r="72" spans="2:7" ht="12.75">
      <c r="B72" s="15"/>
      <c r="C72" s="15"/>
      <c r="D72" s="49"/>
      <c r="E72" s="15"/>
      <c r="F72" s="15"/>
      <c r="G72" s="15"/>
    </row>
    <row r="73" spans="1:7" ht="12.75">
      <c r="A73" s="9" t="s">
        <v>3</v>
      </c>
      <c r="B73" s="15">
        <f>IF('3. 2005 Base Rate Schedule'!B71="","",'4. 2003 Data &amp; 2005 PILs'!B156+'3. 2005 Base Rate Schedule'!B71)</f>
      </c>
      <c r="C73" s="15"/>
      <c r="D73" s="49"/>
      <c r="E73" s="15"/>
      <c r="F73" s="15"/>
      <c r="G73" s="15"/>
    </row>
    <row r="74" spans="2:7" ht="12.75">
      <c r="B74" s="15"/>
      <c r="C74" s="15"/>
      <c r="D74" s="49"/>
      <c r="E74" s="15"/>
      <c r="F74" s="15"/>
      <c r="G74" s="15"/>
    </row>
    <row r="75" spans="1:7" ht="12.75">
      <c r="A75" s="9" t="s">
        <v>19</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8</v>
      </c>
      <c r="B78" s="15"/>
      <c r="C78" s="15"/>
      <c r="D78" s="49"/>
      <c r="E78" s="15"/>
      <c r="F78" s="15"/>
      <c r="G78" s="15"/>
    </row>
    <row r="79" spans="2:7" ht="12.75">
      <c r="B79" s="15"/>
      <c r="C79" s="15"/>
      <c r="D79" s="49"/>
      <c r="E79" s="15"/>
      <c r="F79" s="15"/>
      <c r="G79" s="15"/>
    </row>
    <row r="80" spans="1:7" ht="12.75">
      <c r="A80" s="9" t="s">
        <v>3</v>
      </c>
      <c r="B80" s="15">
        <f>IF('3. 2005 Base Rate Schedule'!B78="","",'4. 2003 Data &amp; 2005 PILs'!B173+'3. 2005 Base Rate Schedule'!B78)</f>
        <v>3.0896201652096416</v>
      </c>
      <c r="C80" s="15"/>
      <c r="D80" s="49"/>
      <c r="E80" s="15"/>
      <c r="F80" s="15"/>
      <c r="G80" s="15"/>
    </row>
    <row r="81" spans="2:7" ht="12.75">
      <c r="B81" s="15"/>
      <c r="C81" s="15"/>
      <c r="D81" s="49"/>
      <c r="E81" s="15"/>
      <c r="F81" s="15"/>
      <c r="G81" s="15"/>
    </row>
    <row r="82" spans="1:7" ht="12.75">
      <c r="A82" s="9" t="s">
        <v>19</v>
      </c>
      <c r="B82" s="49">
        <f>IF('3. 2005 Base Rate Schedule'!B80="","",'3. 2005 Base Rate Schedule'!B80)</f>
        <v>0.6047071450819254</v>
      </c>
      <c r="C82" s="15"/>
      <c r="D82" s="49"/>
      <c r="E82" s="15"/>
      <c r="F82" s="15"/>
      <c r="G82" s="15"/>
    </row>
    <row r="83" spans="2:7" ht="12.75">
      <c r="B83" s="15"/>
      <c r="C83" s="15"/>
      <c r="D83" s="49"/>
      <c r="E83" s="15"/>
      <c r="F83" s="15"/>
      <c r="G83" s="15"/>
    </row>
    <row r="84" spans="1:7" ht="12.75">
      <c r="A84" s="12" t="s">
        <v>6</v>
      </c>
      <c r="B84" s="15"/>
      <c r="C84" s="15"/>
      <c r="D84" s="49"/>
      <c r="E84" s="15"/>
      <c r="F84" s="15"/>
      <c r="G84" s="15"/>
    </row>
    <row r="85" spans="2:7" ht="12.75">
      <c r="B85" s="15"/>
      <c r="C85" s="15"/>
      <c r="D85" s="49"/>
      <c r="E85" s="15"/>
      <c r="F85" s="15"/>
      <c r="G85" s="15"/>
    </row>
    <row r="86" spans="1:7" ht="18">
      <c r="A86" s="55" t="s">
        <v>9</v>
      </c>
      <c r="B86" s="15"/>
      <c r="C86" s="15"/>
      <c r="D86" s="49"/>
      <c r="E86" s="15"/>
      <c r="F86" s="15"/>
      <c r="G86" s="15"/>
    </row>
    <row r="87" spans="2:7" ht="12.75">
      <c r="B87" s="15"/>
      <c r="C87" s="15"/>
      <c r="D87" s="49"/>
      <c r="E87" s="15"/>
      <c r="F87" s="15"/>
      <c r="G87" s="15"/>
    </row>
    <row r="88" spans="1:7" ht="12.75">
      <c r="A88" s="9" t="s">
        <v>3</v>
      </c>
      <c r="B88" s="492">
        <f>IF('3. 2005 Base Rate Schedule'!B86="","",'4. 2003 Data &amp; 2005 PILs'!B173+'3. 2005 Base Rate Schedule'!B86)</f>
      </c>
      <c r="C88" s="15"/>
      <c r="D88" s="49"/>
      <c r="E88" s="15"/>
      <c r="F88" s="15"/>
      <c r="G88" s="15"/>
    </row>
    <row r="89" spans="2:7" ht="12.75">
      <c r="B89" s="15"/>
      <c r="C89" s="15"/>
      <c r="D89" s="49"/>
      <c r="E89" s="15"/>
      <c r="F89" s="15"/>
      <c r="G89" s="15"/>
    </row>
    <row r="90" spans="1:7" ht="12.75">
      <c r="A90" s="9" t="s">
        <v>19</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1:7" ht="18">
      <c r="A93" s="490" t="s">
        <v>216</v>
      </c>
      <c r="B93" s="52"/>
      <c r="C93" s="53"/>
      <c r="D93" s="49"/>
      <c r="E93" s="15"/>
      <c r="F93" s="15"/>
      <c r="G93" s="15"/>
    </row>
    <row r="94" spans="2:7" ht="12.75">
      <c r="B94" s="15"/>
      <c r="C94" s="15"/>
      <c r="E94" s="15"/>
      <c r="F94" s="15"/>
      <c r="G94" s="15"/>
    </row>
    <row r="95" spans="1:7" ht="12.75">
      <c r="A95" s="9" t="s">
        <v>1</v>
      </c>
      <c r="B95" s="494">
        <f>IF('3. 2005 Base Rate Schedule'!B93="","",'3. 2005 Base Rate Schedule'!B93+'4. 2003 Data &amp; 2005 PILs'!B190)</f>
      </c>
      <c r="C95" s="15"/>
      <c r="D95" s="49"/>
      <c r="E95" s="15"/>
      <c r="F95" s="15"/>
      <c r="G95" s="15"/>
    </row>
    <row r="96" spans="2:3" ht="12.75">
      <c r="B96" s="15"/>
      <c r="C96" s="15"/>
    </row>
    <row r="97" spans="1:3" ht="12.75">
      <c r="A97" s="9" t="s">
        <v>18</v>
      </c>
      <c r="B97" s="495">
        <f>IF('3. 2005 Base Rate Schedule'!B95="","",'3. 2005 Base Rate Schedule'!B95)</f>
      </c>
      <c r="C97" s="15"/>
    </row>
    <row r="98" spans="2:3" ht="12.75">
      <c r="B98" s="15">
        <f>IF('3. 2005 Base Rate Schedule'!B96="","",'3. 2005 Base Rate Schedule'!B96+'4. 2003 Data &amp; 2005 PILs'!B136)</f>
      </c>
      <c r="C98" s="15"/>
    </row>
    <row r="99" spans="2:3" ht="12.75">
      <c r="B99" s="15"/>
      <c r="C99" s="15"/>
    </row>
    <row r="100" spans="1:3" ht="18">
      <c r="A100" s="490" t="s">
        <v>217</v>
      </c>
      <c r="B100" s="490"/>
      <c r="C100" s="53"/>
    </row>
    <row r="101" spans="2:3" ht="12.75">
      <c r="B101" s="15"/>
      <c r="C101" s="15"/>
    </row>
    <row r="102" spans="1:3" ht="12.75">
      <c r="A102" s="9" t="s">
        <v>1</v>
      </c>
      <c r="B102" s="494">
        <f>IF('3. 2005 Base Rate Schedule'!B100="","",'3. 2005 Base Rate Schedule'!B100+'4. 2003 Data &amp; 2005 PILs'!B207)</f>
      </c>
      <c r="C102" s="15"/>
    </row>
    <row r="103" spans="2:3" ht="12.75">
      <c r="B103" s="15"/>
      <c r="C103" s="15"/>
    </row>
    <row r="104" spans="1:3" ht="12.75">
      <c r="A104" s="9" t="s">
        <v>18</v>
      </c>
      <c r="B104" s="495">
        <f>IF('3. 2005 Base Rate Schedule'!B102="","",'3. 2005 Base Rate Schedule'!B102)</f>
      </c>
      <c r="C104" s="15"/>
    </row>
    <row r="105" spans="2:3" ht="12.75">
      <c r="B105" s="15">
        <f>IF('3. 2005 Base Rate Schedule'!B103="","",'3. 2005 Base Rate Schedule'!B103+'4. 2003 Data &amp; 2005 PILs'!B143)</f>
      </c>
      <c r="C105" s="15"/>
    </row>
    <row r="106" spans="2:3" ht="12.75">
      <c r="B106" s="15">
        <f>IF('3. 2005 Base Rate Schedule'!B104="","",'3. 2005 Base Rate Schedule'!B104+'4. 2003 Data &amp; 2005 PILs'!B144)</f>
      </c>
      <c r="C106" s="15"/>
    </row>
    <row r="107" spans="1:3" ht="18">
      <c r="A107" s="490" t="s">
        <v>218</v>
      </c>
      <c r="B107" s="490"/>
      <c r="C107" s="490"/>
    </row>
    <row r="108" spans="2:3" ht="12.75">
      <c r="B108" s="15">
        <f>IF('3. 2005 Base Rate Schedule'!B106="","",'3. 2005 Base Rate Schedule'!B106+'4. 2003 Data &amp; 2005 PILs'!B146)</f>
      </c>
      <c r="C108" s="15"/>
    </row>
    <row r="109" spans="1:3" ht="12.75">
      <c r="A109" s="9" t="s">
        <v>3</v>
      </c>
      <c r="B109" s="494">
        <f>IF('3. 2005 Base Rate Schedule'!B107="","",'4. 2003 Data &amp; 2005 PILs'!B224+'3. 2005 Base Rate Schedule'!B107)</f>
      </c>
      <c r="C109" s="15"/>
    </row>
    <row r="110" spans="2:3" ht="12.75">
      <c r="B110" s="15"/>
      <c r="C110" s="15"/>
    </row>
    <row r="111" spans="1:3" ht="12.75">
      <c r="A111" s="9" t="s">
        <v>18</v>
      </c>
      <c r="B111" s="495">
        <f>IF('3. 2005 Base Rate Schedule'!B109="","",'3. 2005 Base Rate Schedule'!B109)</f>
      </c>
      <c r="C111" s="15"/>
    </row>
    <row r="112" ht="12.75">
      <c r="B112" s="15"/>
    </row>
    <row r="114" spans="1:2" ht="18">
      <c r="A114" s="490" t="s">
        <v>219</v>
      </c>
      <c r="B114" s="490"/>
    </row>
    <row r="115" ht="12.75">
      <c r="B115" s="15">
        <f>IF('3. 2005 Base Rate Schedule'!B113="","",'3. 2005 Base Rate Schedule'!B113+'4. 2003 Data &amp; 2005 PILs'!B153)</f>
      </c>
    </row>
    <row r="116" spans="1:2" ht="12.75">
      <c r="A116" s="9" t="s">
        <v>1</v>
      </c>
      <c r="B116" s="494">
        <f>IF('3. 2005 Base Rate Schedule'!B114="","",'3. 2005 Base Rate Schedule'!B114+'4. 2003 Data &amp; 2005 PILs'!B241)</f>
      </c>
    </row>
    <row r="117" ht="12.75">
      <c r="B117" s="15"/>
    </row>
    <row r="118" spans="1:2" ht="12.75">
      <c r="A118" s="9" t="s">
        <v>18</v>
      </c>
      <c r="B118" s="495">
        <f>IF('3. 2005 Base Rate Schedule'!B116="","",'3. 2005 Base Rate Schedule'!B116)</f>
      </c>
    </row>
    <row r="119" ht="12.75">
      <c r="B119" s="15"/>
    </row>
    <row r="120" ht="12.75">
      <c r="B120" s="15"/>
    </row>
  </sheetData>
  <sheetProtection/>
  <mergeCells count="3">
    <mergeCell ref="A5:C5"/>
    <mergeCell ref="A21:B21"/>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K206"/>
  <sheetViews>
    <sheetView zoomScale="75" zoomScaleNormal="75" zoomScalePageLayoutView="0" workbookViewId="0" topLeftCell="A1">
      <pane ySplit="1" topLeftCell="BM47" activePane="bottomLeft" state="frozen"/>
      <selection pane="topLeft" activeCell="H27" sqref="H27"/>
      <selection pane="bottomLeft" activeCell="F76" sqref="F76"/>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8.8515625" style="9" customWidth="1"/>
    <col min="7" max="7" width="20.00390625" style="9" customWidth="1"/>
    <col min="8" max="16384" width="9.140625" style="9" customWidth="1"/>
  </cols>
  <sheetData>
    <row r="1" spans="1:4" ht="18">
      <c r="A1" s="37" t="s">
        <v>150</v>
      </c>
      <c r="B1" s="35"/>
      <c r="C1" s="35"/>
      <c r="D1" s="10"/>
    </row>
    <row r="2" ht="13.5" thickBot="1"/>
    <row r="3" spans="1:3" ht="15.75">
      <c r="A3" s="300" t="str">
        <f>"Name of Utility:      "&amp;'Info Sheet'!B4</f>
        <v>Name of Utility:      Brant County Power</v>
      </c>
      <c r="B3" s="456"/>
      <c r="C3" s="455" t="str">
        <f>'Info Sheet'!$B$21</f>
        <v>2005.V1.0</v>
      </c>
    </row>
    <row r="4" spans="1:3" ht="15.75">
      <c r="A4" s="302" t="str">
        <f>"License Number:   "&amp;'Info Sheet'!B6</f>
        <v>License Number:   ED 1999-0191</v>
      </c>
      <c r="B4" s="458"/>
      <c r="C4" s="394" t="str">
        <f>'Info Sheet'!B8</f>
        <v>RP-2005-0013</v>
      </c>
    </row>
    <row r="5" spans="1:3" ht="18" customHeight="1">
      <c r="A5" s="302" t="str">
        <f>"Name of Contact:  "&amp;'Info Sheet'!B12</f>
        <v>Name of Contact:  Grant Brooker</v>
      </c>
      <c r="B5" s="465"/>
      <c r="C5" s="394" t="str">
        <f>'Info Sheet'!B10</f>
        <v>EB-2005-0009</v>
      </c>
    </row>
    <row r="6" spans="1:3" ht="15.75">
      <c r="A6" s="303" t="str">
        <f>"E- Mail Address:    "&amp;'Info Sheet'!B14</f>
        <v>E- Mail Address:    gbrooker@brantcountypower.com</v>
      </c>
      <c r="B6" s="458"/>
      <c r="C6" s="463"/>
    </row>
    <row r="7" spans="1:4" ht="20.25">
      <c r="A7" s="302" t="str">
        <f>"Phone Number:     "&amp;'Info Sheet'!B16</f>
        <v>Phone Number:     519 442 2215</v>
      </c>
      <c r="B7" s="652" t="str">
        <f>'Info Sheet'!$C$16&amp;" "&amp;'Info Sheet'!$D$16</f>
        <v>Extension: 734</v>
      </c>
      <c r="C7" s="641"/>
      <c r="D7" s="13"/>
    </row>
    <row r="8" spans="1:4" ht="21" thickBot="1">
      <c r="A8" s="304" t="str">
        <f>"Date:                      "&amp;('Info Sheet'!B18)</f>
        <v>Date:                      January 17, 2005</v>
      </c>
      <c r="B8" s="460"/>
      <c r="C8" s="466"/>
      <c r="D8" s="13"/>
    </row>
    <row r="9" spans="2:4" ht="12" customHeight="1">
      <c r="B9" s="29"/>
      <c r="C9" s="27"/>
      <c r="D9" s="13"/>
    </row>
    <row r="10" spans="1:4" ht="64.5" customHeight="1">
      <c r="A10" s="640" t="s">
        <v>211</v>
      </c>
      <c r="B10" s="640"/>
      <c r="C10" s="640"/>
      <c r="D10" s="640"/>
    </row>
    <row r="11" spans="1:4" ht="19.5" customHeight="1">
      <c r="A11" s="38"/>
      <c r="B11" s="39"/>
      <c r="C11" s="40"/>
      <c r="D11" s="642" t="s">
        <v>159</v>
      </c>
    </row>
    <row r="12" spans="1:4" ht="15" customHeight="1">
      <c r="A12" s="639" t="s">
        <v>32</v>
      </c>
      <c r="B12" s="642" t="s">
        <v>58</v>
      </c>
      <c r="C12" s="40" t="s">
        <v>164</v>
      </c>
      <c r="D12" s="642"/>
    </row>
    <row r="13" spans="1:4" ht="15" customHeight="1">
      <c r="A13" s="633"/>
      <c r="B13" s="638"/>
      <c r="C13" s="41"/>
      <c r="D13" s="638"/>
    </row>
    <row r="14" spans="1:7" ht="18.75" customHeight="1">
      <c r="A14" s="42"/>
      <c r="C14" s="43"/>
      <c r="E14" s="15"/>
      <c r="F14" s="535" t="s">
        <v>266</v>
      </c>
      <c r="G14" s="536" t="s">
        <v>267</v>
      </c>
    </row>
    <row r="15" spans="1:5" ht="7.5" customHeight="1" thickBot="1">
      <c r="A15" s="11"/>
      <c r="B15" s="17"/>
      <c r="C15" s="17"/>
      <c r="D15" s="44"/>
      <c r="E15" s="15"/>
    </row>
    <row r="16" spans="1:7" ht="15">
      <c r="A16" s="323" t="s">
        <v>33</v>
      </c>
      <c r="B16" s="324">
        <v>1580</v>
      </c>
      <c r="C16" s="325"/>
      <c r="D16" s="532">
        <f>F16+G16</f>
        <v>480786.56</v>
      </c>
      <c r="E16" s="15"/>
      <c r="F16" s="529">
        <v>480786.56</v>
      </c>
      <c r="G16" s="531"/>
    </row>
    <row r="17" spans="1:7" ht="15">
      <c r="A17" s="326" t="s">
        <v>37</v>
      </c>
      <c r="B17" s="58">
        <v>1582</v>
      </c>
      <c r="C17" s="59"/>
      <c r="D17" s="532">
        <f>F17+G17</f>
        <v>62213.02</v>
      </c>
      <c r="E17" s="15"/>
      <c r="F17" s="530">
        <v>62213.02</v>
      </c>
      <c r="G17" s="531"/>
    </row>
    <row r="18" spans="1:7" ht="15">
      <c r="A18" s="326" t="s">
        <v>34</v>
      </c>
      <c r="B18" s="58">
        <v>1584</v>
      </c>
      <c r="C18" s="59"/>
      <c r="D18" s="532">
        <f>F18+G18</f>
        <v>-74387.07607486603</v>
      </c>
      <c r="E18" s="15"/>
      <c r="F18" s="530">
        <v>-23606.39</v>
      </c>
      <c r="G18" s="531">
        <v>-50780.68607486603</v>
      </c>
    </row>
    <row r="19" spans="1:7" ht="15">
      <c r="A19" s="326" t="s">
        <v>35</v>
      </c>
      <c r="B19" s="58">
        <v>1586</v>
      </c>
      <c r="C19" s="59"/>
      <c r="D19" s="532">
        <f>F19+G19</f>
        <v>223868.94710484165</v>
      </c>
      <c r="E19" s="15"/>
      <c r="F19" s="530">
        <v>-49608.83</v>
      </c>
      <c r="G19" s="531">
        <v>273477.77710484166</v>
      </c>
    </row>
    <row r="20" spans="1:7" ht="15">
      <c r="A20" s="326" t="s">
        <v>36</v>
      </c>
      <c r="B20" s="58">
        <v>1588</v>
      </c>
      <c r="C20" s="59"/>
      <c r="D20" s="532">
        <f>F20+G20</f>
        <v>154515.1</v>
      </c>
      <c r="E20" s="15"/>
      <c r="F20" s="530">
        <v>154515.1</v>
      </c>
      <c r="G20" s="531"/>
    </row>
    <row r="21" spans="1:7" ht="15">
      <c r="A21" s="328" t="s">
        <v>122</v>
      </c>
      <c r="B21" s="329"/>
      <c r="C21" s="330"/>
      <c r="D21" s="331">
        <f>SUM(D16:D20)</f>
        <v>846996.5510299756</v>
      </c>
      <c r="E21" s="331"/>
      <c r="F21" s="331">
        <f>SUM(F16:F20)</f>
        <v>624299.46</v>
      </c>
      <c r="G21" s="331">
        <f>SUM(G16:G20)</f>
        <v>222697.09102997562</v>
      </c>
    </row>
    <row r="22" spans="1:5" ht="15">
      <c r="A22" s="101"/>
      <c r="B22" s="321"/>
      <c r="C22" s="21"/>
      <c r="D22" s="87"/>
      <c r="E22" s="15"/>
    </row>
    <row r="23" spans="1:5" ht="15">
      <c r="A23" s="667" t="s">
        <v>199</v>
      </c>
      <c r="B23" s="657"/>
      <c r="C23" s="657"/>
      <c r="D23" s="327">
        <v>879401.8975059633</v>
      </c>
      <c r="E23" s="15"/>
    </row>
    <row r="24" spans="1:5" ht="15">
      <c r="A24" s="101"/>
      <c r="B24" s="321"/>
      <c r="C24" s="21"/>
      <c r="D24" s="87"/>
      <c r="E24" s="15"/>
    </row>
    <row r="25" spans="1:6" ht="15.75" thickBot="1">
      <c r="A25" s="332" t="s">
        <v>124</v>
      </c>
      <c r="B25" s="333"/>
      <c r="C25" s="334"/>
      <c r="D25" s="335">
        <f>D21-D23</f>
        <v>-32405.346475987695</v>
      </c>
      <c r="E25" s="15"/>
      <c r="F25" s="590">
        <f>D25/D44</f>
        <v>-0.014641007507723463</v>
      </c>
    </row>
    <row r="26" ht="13.5" thickBot="1"/>
    <row r="27" spans="1:7" ht="15">
      <c r="A27" s="323" t="s">
        <v>38</v>
      </c>
      <c r="B27" s="324">
        <v>1508</v>
      </c>
      <c r="C27" s="325"/>
      <c r="D27" s="532">
        <f aca="true" t="shared" si="0" ref="D27:D37">F27+G27</f>
        <v>0</v>
      </c>
      <c r="E27" s="15"/>
      <c r="F27" s="531">
        <v>0</v>
      </c>
      <c r="G27" s="531"/>
    </row>
    <row r="28" spans="1:7" ht="15">
      <c r="A28" s="336" t="s">
        <v>39</v>
      </c>
      <c r="B28" s="60">
        <v>1518</v>
      </c>
      <c r="C28" s="61"/>
      <c r="D28" s="532">
        <f t="shared" si="0"/>
        <v>10873.08</v>
      </c>
      <c r="E28" s="15"/>
      <c r="F28" s="531">
        <v>10873.08</v>
      </c>
      <c r="G28" s="531"/>
    </row>
    <row r="29" spans="1:7" ht="15">
      <c r="A29" s="336" t="s">
        <v>40</v>
      </c>
      <c r="B29" s="60">
        <v>1548</v>
      </c>
      <c r="C29" s="62"/>
      <c r="D29" s="532">
        <f t="shared" si="0"/>
        <v>18.47</v>
      </c>
      <c r="E29" s="15"/>
      <c r="F29" s="531">
        <v>18.47</v>
      </c>
      <c r="G29" s="531"/>
    </row>
    <row r="30" spans="1:7" ht="15">
      <c r="A30" s="336" t="s">
        <v>41</v>
      </c>
      <c r="B30" s="60">
        <v>1525</v>
      </c>
      <c r="C30" s="61"/>
      <c r="D30" s="532">
        <f t="shared" si="0"/>
        <v>59130.86</v>
      </c>
      <c r="E30" s="15"/>
      <c r="F30" s="531">
        <v>59130.86</v>
      </c>
      <c r="G30" s="531"/>
    </row>
    <row r="31" spans="1:7" ht="15">
      <c r="A31" s="336" t="s">
        <v>42</v>
      </c>
      <c r="B31" s="60">
        <v>1562</v>
      </c>
      <c r="C31" s="61"/>
      <c r="D31" s="532">
        <f t="shared" si="0"/>
        <v>400947.57</v>
      </c>
      <c r="E31" s="15"/>
      <c r="F31" s="531">
        <v>400947.57</v>
      </c>
      <c r="G31" s="531"/>
    </row>
    <row r="32" spans="1:7" ht="15">
      <c r="A32" s="337" t="s">
        <v>55</v>
      </c>
      <c r="B32" s="60">
        <v>1563</v>
      </c>
      <c r="C32" s="61"/>
      <c r="D32" s="532">
        <f t="shared" si="0"/>
        <v>0</v>
      </c>
      <c r="E32" s="15"/>
      <c r="F32" s="531">
        <v>0</v>
      </c>
      <c r="G32" s="531"/>
    </row>
    <row r="33" spans="1:7" ht="15">
      <c r="A33" s="336" t="s">
        <v>43</v>
      </c>
      <c r="B33" s="60">
        <v>1570</v>
      </c>
      <c r="C33" s="61"/>
      <c r="D33" s="532">
        <f t="shared" si="0"/>
        <v>1568765.6583956587</v>
      </c>
      <c r="E33" s="15"/>
      <c r="F33" s="531">
        <v>1568711.07</v>
      </c>
      <c r="G33" s="531">
        <v>54.58839565858096</v>
      </c>
    </row>
    <row r="34" spans="1:7" ht="15">
      <c r="A34" s="336" t="s">
        <v>52</v>
      </c>
      <c r="B34" s="60">
        <v>1571</v>
      </c>
      <c r="C34" s="61"/>
      <c r="D34" s="532">
        <f t="shared" si="0"/>
        <v>205997.34</v>
      </c>
      <c r="E34" s="15"/>
      <c r="F34" s="531">
        <v>205997.34</v>
      </c>
      <c r="G34" s="531"/>
    </row>
    <row r="35" spans="1:7" ht="15">
      <c r="A35" s="336" t="s">
        <v>44</v>
      </c>
      <c r="B35" s="60">
        <v>1572</v>
      </c>
      <c r="C35" s="61"/>
      <c r="D35" s="532">
        <f t="shared" si="0"/>
        <v>0</v>
      </c>
      <c r="E35" s="15"/>
      <c r="F35" s="531">
        <v>0</v>
      </c>
      <c r="G35" s="531"/>
    </row>
    <row r="36" spans="1:7" ht="15">
      <c r="A36" s="336" t="s">
        <v>45</v>
      </c>
      <c r="B36" s="60">
        <v>1574</v>
      </c>
      <c r="C36" s="63"/>
      <c r="D36" s="532">
        <f t="shared" si="0"/>
        <v>0</v>
      </c>
      <c r="E36" s="15"/>
      <c r="F36" s="531">
        <v>0</v>
      </c>
      <c r="G36" s="531"/>
    </row>
    <row r="37" spans="1:7" ht="15">
      <c r="A37" s="336" t="s">
        <v>46</v>
      </c>
      <c r="B37" s="60">
        <v>2425</v>
      </c>
      <c r="C37" s="63"/>
      <c r="D37" s="532">
        <f t="shared" si="0"/>
        <v>0</v>
      </c>
      <c r="E37" s="15"/>
      <c r="F37" s="531">
        <v>0</v>
      </c>
      <c r="G37" s="531"/>
    </row>
    <row r="38" spans="1:7" ht="15">
      <c r="A38" s="328" t="s">
        <v>123</v>
      </c>
      <c r="B38" s="329"/>
      <c r="C38" s="330"/>
      <c r="D38" s="331">
        <f>SUM(D27:D37)</f>
        <v>2245732.9783956585</v>
      </c>
      <c r="E38" s="331"/>
      <c r="F38" s="331">
        <f>SUM(F27:F37)</f>
        <v>2245678.39</v>
      </c>
      <c r="G38" s="331">
        <f>SUM(G27:G37)</f>
        <v>54.58839565858096</v>
      </c>
    </row>
    <row r="39" spans="1:5" ht="15">
      <c r="A39" s="92"/>
      <c r="B39" s="321"/>
      <c r="C39" s="70"/>
      <c r="D39" s="338"/>
      <c r="E39" s="15"/>
    </row>
    <row r="40" spans="1:11" ht="15">
      <c r="A40" s="667" t="s">
        <v>200</v>
      </c>
      <c r="B40" s="657"/>
      <c r="C40" s="657"/>
      <c r="D40" s="327">
        <v>0</v>
      </c>
      <c r="E40" s="15"/>
      <c r="G40" s="533">
        <f>G21+G38</f>
        <v>222751.6794256342</v>
      </c>
      <c r="H40" s="534" t="s">
        <v>265</v>
      </c>
      <c r="I40" s="534"/>
      <c r="J40" s="534"/>
      <c r="K40" s="534"/>
    </row>
    <row r="41" spans="1:5" ht="15">
      <c r="A41" s="101"/>
      <c r="B41" s="321"/>
      <c r="C41" s="21"/>
      <c r="D41" s="87"/>
      <c r="E41" s="15"/>
    </row>
    <row r="42" spans="1:5" ht="15.75" thickBot="1">
      <c r="A42" s="332" t="s">
        <v>125</v>
      </c>
      <c r="B42" s="333"/>
      <c r="C42" s="334"/>
      <c r="D42" s="335">
        <f>D38-D40</f>
        <v>2245732.9783956585</v>
      </c>
      <c r="E42" s="15"/>
    </row>
    <row r="43" spans="1:5" ht="15.75" thickBot="1">
      <c r="A43" s="256"/>
      <c r="B43" s="321"/>
      <c r="C43" s="21"/>
      <c r="D43" s="322"/>
      <c r="E43" s="15"/>
    </row>
    <row r="44" spans="1:5" ht="15.75" thickBot="1">
      <c r="A44" s="64" t="s">
        <v>117</v>
      </c>
      <c r="B44" s="65"/>
      <c r="C44" s="77"/>
      <c r="D44" s="66">
        <f>D25+D42</f>
        <v>2213327.631919671</v>
      </c>
      <c r="E44" s="15"/>
    </row>
    <row r="45" spans="1:5" ht="15" thickTop="1">
      <c r="A45" s="11"/>
      <c r="B45" s="46"/>
      <c r="C45" s="78"/>
      <c r="D45" s="44"/>
      <c r="E45" s="15"/>
    </row>
    <row r="46" spans="1:5" ht="15" thickBot="1">
      <c r="A46" s="342"/>
      <c r="B46" s="343"/>
      <c r="C46" s="344"/>
      <c r="D46" s="345"/>
      <c r="E46" s="15"/>
    </row>
    <row r="47" spans="1:6" ht="16.5" thickBot="1" thickTop="1">
      <c r="A47" s="339" t="s">
        <v>118</v>
      </c>
      <c r="B47" s="340"/>
      <c r="C47" s="341"/>
      <c r="D47" s="589">
        <f>D44*1/3</f>
        <v>737775.8773065569</v>
      </c>
      <c r="E47" s="15"/>
      <c r="F47" s="49"/>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664" t="str">
        <f>IF(D47&gt;D25,"---------------------------------------- Please go to Section 2 ----------------------------------------",IF(D47&lt;D25,"---------------------------------------- Please go to Section 1 ----------------------------------------",""))</f>
        <v>---------------------------------------- Please go to Section 2 ----------------------------------------</v>
      </c>
      <c r="B51" s="664"/>
      <c r="C51" s="664"/>
      <c r="D51" s="664"/>
      <c r="E51" s="15"/>
      <c r="F51" s="18"/>
    </row>
    <row r="52" spans="1:6" ht="18">
      <c r="A52" s="67"/>
      <c r="E52" s="15"/>
      <c r="F52" s="18"/>
    </row>
    <row r="53" spans="1:6" ht="13.5" thickBot="1">
      <c r="A53" s="31"/>
      <c r="B53" s="31"/>
      <c r="E53" s="15"/>
      <c r="F53" s="18"/>
    </row>
    <row r="54" spans="1:5" ht="15">
      <c r="A54" s="82" t="s">
        <v>126</v>
      </c>
      <c r="B54" s="97"/>
      <c r="C54" s="84"/>
      <c r="D54" s="85"/>
      <c r="E54" s="15"/>
    </row>
    <row r="55" spans="1:5" ht="15">
      <c r="A55" s="98"/>
      <c r="B55" s="31"/>
      <c r="C55" s="20"/>
      <c r="D55" s="87"/>
      <c r="E55" s="15"/>
    </row>
    <row r="56" spans="1:5" ht="12.75">
      <c r="A56" s="86"/>
      <c r="B56" s="50"/>
      <c r="C56" s="20"/>
      <c r="D56" s="89"/>
      <c r="E56" s="15"/>
    </row>
    <row r="57" spans="1:5" ht="31.5" customHeight="1">
      <c r="A57" s="665" t="s">
        <v>128</v>
      </c>
      <c r="B57" s="666"/>
      <c r="C57" s="73" t="s">
        <v>53</v>
      </c>
      <c r="D57" s="102" t="str">
        <f>IF(D47&lt;D25,D25,"N/A")</f>
        <v>N/A</v>
      </c>
      <c r="E57" s="15"/>
    </row>
    <row r="58" spans="1:6" ht="15">
      <c r="A58" s="88"/>
      <c r="B58" s="21"/>
      <c r="C58" s="21"/>
      <c r="D58" s="87"/>
      <c r="E58" s="15"/>
      <c r="F58" s="22"/>
    </row>
    <row r="59" spans="1:6" ht="15">
      <c r="A59" s="667" t="s">
        <v>118</v>
      </c>
      <c r="B59" s="657"/>
      <c r="C59" s="73" t="s">
        <v>54</v>
      </c>
      <c r="D59" s="102" t="str">
        <f>IF(D47&lt;D25,D47,"N/A")</f>
        <v>N/A</v>
      </c>
      <c r="E59" s="15"/>
      <c r="F59" s="21"/>
    </row>
    <row r="60" spans="1:6" ht="15" thickBot="1">
      <c r="A60" s="92"/>
      <c r="B60" s="21"/>
      <c r="C60" s="21"/>
      <c r="D60" s="99"/>
      <c r="E60" s="15"/>
      <c r="F60" s="11"/>
    </row>
    <row r="61" spans="1:6" ht="15.75" thickBot="1">
      <c r="A61" s="88" t="s">
        <v>132</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127</v>
      </c>
      <c r="B67" s="83"/>
      <c r="C67" s="84"/>
      <c r="D67" s="85"/>
      <c r="E67" s="15"/>
    </row>
    <row r="68" spans="1:5" ht="14.25">
      <c r="A68" s="86"/>
      <c r="B68" s="20"/>
      <c r="C68" s="20"/>
      <c r="D68" s="87"/>
      <c r="E68" s="15"/>
    </row>
    <row r="69" spans="1:5" ht="15">
      <c r="A69" s="88"/>
      <c r="B69" s="50"/>
      <c r="C69" s="20"/>
      <c r="D69" s="89"/>
      <c r="E69" s="15"/>
    </row>
    <row r="70" spans="1:5" ht="15">
      <c r="A70" s="665" t="s">
        <v>129</v>
      </c>
      <c r="B70" s="666"/>
      <c r="C70" s="73"/>
      <c r="D70" s="102">
        <f>IF(D47&gt;D25,D47,"N/A")</f>
        <v>737775.8773065569</v>
      </c>
      <c r="E70" s="15"/>
    </row>
    <row r="71" spans="1:5" ht="15">
      <c r="A71" s="88"/>
      <c r="B71" s="21"/>
      <c r="C71" s="74"/>
      <c r="D71" s="90"/>
      <c r="E71" s="15"/>
    </row>
    <row r="72" spans="1:5" ht="15">
      <c r="A72" s="667" t="s">
        <v>128</v>
      </c>
      <c r="B72" s="657"/>
      <c r="C72" s="73"/>
      <c r="D72" s="103">
        <f>IF(D47&gt;D25,D25,"N/A")</f>
        <v>-32405.346475987695</v>
      </c>
      <c r="E72" s="15"/>
    </row>
    <row r="73" spans="1:6" ht="15">
      <c r="A73" s="88"/>
      <c r="B73" s="21"/>
      <c r="C73" s="74"/>
      <c r="D73" s="91"/>
      <c r="E73" s="15"/>
      <c r="F73" s="21"/>
    </row>
    <row r="74" spans="1:6" ht="15">
      <c r="A74" s="667" t="s">
        <v>131</v>
      </c>
      <c r="B74" s="657"/>
      <c r="C74" s="75"/>
      <c r="D74" s="103">
        <f>IF(D47&gt;D25,D72,"N/A")</f>
        <v>-32405.346475987695</v>
      </c>
      <c r="E74" s="15"/>
      <c r="F74" s="11"/>
    </row>
    <row r="75" spans="1:5" ht="14.25">
      <c r="A75" s="92"/>
      <c r="B75" s="21"/>
      <c r="C75" s="74"/>
      <c r="D75" s="93"/>
      <c r="E75" s="15"/>
    </row>
    <row r="76" spans="1:7" ht="15">
      <c r="A76" s="667" t="s">
        <v>130</v>
      </c>
      <c r="B76" s="657"/>
      <c r="C76" s="76"/>
      <c r="D76" s="103">
        <f>IF(D47&gt;D25,D70-D74,"N/A")</f>
        <v>770181.2237825446</v>
      </c>
      <c r="E76" s="15"/>
      <c r="F76" s="539">
        <f>D72+D76</f>
        <v>737775.8773065569</v>
      </c>
      <c r="G76" s="539"/>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56</v>
      </c>
      <c r="B81" s="52"/>
      <c r="C81" s="53"/>
      <c r="D81" s="24"/>
      <c r="E81" s="15"/>
    </row>
    <row r="82" spans="2:5" ht="12.75">
      <c r="B82" s="15"/>
      <c r="C82" s="15"/>
      <c r="D82" s="16"/>
      <c r="E82" s="15"/>
    </row>
    <row r="83" spans="1:5" ht="24.75" customHeight="1">
      <c r="A83" s="668" t="s">
        <v>65</v>
      </c>
      <c r="B83" s="668"/>
      <c r="C83" s="19"/>
      <c r="D83" s="80"/>
      <c r="E83" s="15"/>
    </row>
    <row r="84" spans="1:5" ht="21" customHeight="1">
      <c r="A84" s="669"/>
      <c r="B84" s="669"/>
      <c r="C84" s="23"/>
      <c r="D84" s="51"/>
      <c r="E84" s="15"/>
    </row>
    <row r="85" spans="2:5" ht="12.75">
      <c r="B85" s="49"/>
      <c r="C85" s="15"/>
      <c r="D85" s="49"/>
      <c r="E85" s="15"/>
    </row>
    <row r="86" spans="2:5" ht="12.75">
      <c r="B86" s="15"/>
      <c r="C86" s="15"/>
      <c r="D86" s="49"/>
      <c r="E86" s="15"/>
    </row>
    <row r="87" spans="1:5" ht="23.25" customHeight="1">
      <c r="A87" s="668" t="s">
        <v>66</v>
      </c>
      <c r="B87" s="668"/>
      <c r="C87" s="19"/>
      <c r="D87" s="80"/>
      <c r="E87" s="15"/>
    </row>
    <row r="88" spans="1:5" ht="24.75" customHeight="1">
      <c r="A88" s="669"/>
      <c r="B88" s="669"/>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16">
    <mergeCell ref="A10:D10"/>
    <mergeCell ref="B7:C7"/>
    <mergeCell ref="A23:C23"/>
    <mergeCell ref="A40:C40"/>
    <mergeCell ref="D11:D13"/>
    <mergeCell ref="B12:B13"/>
    <mergeCell ref="A12:A13"/>
    <mergeCell ref="A83:B84"/>
    <mergeCell ref="A87:B88"/>
    <mergeCell ref="A72:B72"/>
    <mergeCell ref="A74:B74"/>
    <mergeCell ref="A76:B76"/>
    <mergeCell ref="A51:D51"/>
    <mergeCell ref="A57:B57"/>
    <mergeCell ref="A70:B70"/>
    <mergeCell ref="A59:B59"/>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4"/>
  <rowBreaks count="1" manualBreakCount="1">
    <brk id="47" max="3" man="1"/>
  </rowBreaks>
  <drawing r:id="rId3"/>
  <legacyDrawing r:id="rId2"/>
</worksheet>
</file>

<file path=xl/worksheets/sheet8.xml><?xml version="1.0" encoding="utf-8"?>
<worksheet xmlns="http://schemas.openxmlformats.org/spreadsheetml/2006/main" xmlns:r="http://schemas.openxmlformats.org/officeDocument/2006/relationships">
  <dimension ref="A1:H241"/>
  <sheetViews>
    <sheetView zoomScale="75" zoomScaleNormal="75" zoomScalePageLayoutView="0" workbookViewId="0" topLeftCell="A4">
      <selection activeCell="A27" sqref="A27:IV27"/>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179</v>
      </c>
    </row>
    <row r="2" ht="18.75" thickBot="1">
      <c r="A2" s="116"/>
    </row>
    <row r="3" spans="1:7" ht="18">
      <c r="A3" s="300" t="str">
        <f>"Name of Utility:      "&amp;'Info Sheet'!B4</f>
        <v>Name of Utility:      Brant County Power</v>
      </c>
      <c r="B3" s="456"/>
      <c r="C3" s="467"/>
      <c r="D3" s="455" t="str">
        <f>'Info Sheet'!$B$21</f>
        <v>2005.V1.0</v>
      </c>
      <c r="E3" s="36"/>
      <c r="F3" s="116"/>
      <c r="G3" s="117"/>
    </row>
    <row r="4" spans="1:7" ht="18">
      <c r="A4" s="302" t="str">
        <f>"License Number:   "&amp;'Info Sheet'!B6</f>
        <v>License Number:   ED 1999-0191</v>
      </c>
      <c r="B4" s="458"/>
      <c r="C4" s="388"/>
      <c r="D4" s="394" t="str">
        <f>'Info Sheet'!B8</f>
        <v>RP-2005-0013</v>
      </c>
      <c r="E4" s="36"/>
      <c r="F4" s="116"/>
      <c r="G4" s="117"/>
    </row>
    <row r="5" spans="1:4" ht="15.75">
      <c r="A5" s="302" t="str">
        <f>"Name of Contact:  "&amp;'Info Sheet'!B12</f>
        <v>Name of Contact:  Grant Brooker</v>
      </c>
      <c r="B5" s="465"/>
      <c r="C5" s="465"/>
      <c r="D5" s="394" t="str">
        <f>'Info Sheet'!B10</f>
        <v>EB-2005-0009</v>
      </c>
    </row>
    <row r="6" spans="1:4" ht="15.75">
      <c r="A6" s="303" t="str">
        <f>"E- Mail Address:    "&amp;'Info Sheet'!B14</f>
        <v>E- Mail Address:    gbrooker@brantcountypower.com</v>
      </c>
      <c r="B6" s="458"/>
      <c r="C6" s="28"/>
      <c r="D6" s="463"/>
    </row>
    <row r="7" spans="1:4" ht="15.75">
      <c r="A7" s="302" t="str">
        <f>"Phone Number:     "&amp;'Info Sheet'!B16</f>
        <v>Phone Number:     519 442 2215</v>
      </c>
      <c r="B7" s="652" t="str">
        <f>'Info Sheet'!$C$16&amp;" "&amp;'Info Sheet'!$D$16</f>
        <v>Extension: 734</v>
      </c>
      <c r="C7" s="652"/>
      <c r="D7" s="463"/>
    </row>
    <row r="8" spans="1:4" ht="16.5" thickBot="1">
      <c r="A8" s="304" t="str">
        <f>"Date:                      "&amp;('Info Sheet'!B18)</f>
        <v>Date:                      January 17, 2005</v>
      </c>
      <c r="B8" s="460"/>
      <c r="C8" s="461"/>
      <c r="D8" s="464"/>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657" t="s">
        <v>114</v>
      </c>
      <c r="B14" s="657"/>
      <c r="C14" s="657"/>
      <c r="D14" s="657"/>
      <c r="E14" s="34"/>
      <c r="F14" s="139"/>
      <c r="G14" s="382">
        <f>IF('6. Dec. 31, 2003 Reg. Assets'!D59="N/A",'6. Dec. 31, 2003 Reg. Assets'!D74,'6. Dec. 31, 2003 Reg. Assets'!D59)</f>
        <v>-32405.346475987695</v>
      </c>
    </row>
    <row r="15" spans="1:7" ht="14.25">
      <c r="A15" s="141"/>
      <c r="B15" s="142"/>
      <c r="C15" s="143"/>
      <c r="D15" s="144"/>
      <c r="E15" s="144"/>
      <c r="F15" s="105"/>
      <c r="G15" s="105"/>
    </row>
    <row r="16" spans="1:7" ht="14.25">
      <c r="A16" s="141"/>
      <c r="B16" s="142"/>
      <c r="C16" s="143"/>
      <c r="D16" s="144"/>
      <c r="E16" s="144"/>
      <c r="F16" s="105"/>
      <c r="G16" s="119"/>
    </row>
    <row r="17" spans="1:7" ht="15">
      <c r="A17" s="383" t="s">
        <v>180</v>
      </c>
      <c r="B17" s="138"/>
      <c r="C17" s="138"/>
      <c r="D17" s="138"/>
      <c r="E17" s="138"/>
      <c r="F17" s="138"/>
      <c r="G17" s="138"/>
    </row>
    <row r="18" spans="2:7" ht="12.75">
      <c r="B18" s="138"/>
      <c r="C18" s="138"/>
      <c r="D18" s="138"/>
      <c r="E18" s="138"/>
      <c r="F18" s="138"/>
      <c r="G18" s="138"/>
    </row>
    <row r="19" ht="13.5" thickBot="1"/>
    <row r="20" spans="1:8" ht="37.5" thickBot="1">
      <c r="A20" s="151" t="s">
        <v>174</v>
      </c>
      <c r="B20" s="152" t="s">
        <v>10</v>
      </c>
      <c r="C20" s="152" t="s">
        <v>11</v>
      </c>
      <c r="D20" s="152" t="s">
        <v>20</v>
      </c>
      <c r="E20" s="152" t="s">
        <v>12</v>
      </c>
      <c r="F20" s="152" t="s">
        <v>134</v>
      </c>
      <c r="G20" s="153" t="s">
        <v>135</v>
      </c>
      <c r="H20" s="121"/>
    </row>
    <row r="21" spans="1:7" ht="12.75">
      <c r="A21" s="86"/>
      <c r="B21" s="31"/>
      <c r="C21" s="122"/>
      <c r="D21" s="122"/>
      <c r="E21" s="31"/>
      <c r="F21" s="31"/>
      <c r="G21" s="100"/>
    </row>
    <row r="22" spans="1:8" ht="12.75">
      <c r="A22" s="148" t="s">
        <v>222</v>
      </c>
      <c r="B22" s="124" t="str">
        <f>'4. 2003 Data &amp; 2005 PILs'!B22</f>
        <v>-</v>
      </c>
      <c r="C22" s="124">
        <f>'4. 2003 Data &amp; 2005 PILs'!C22</f>
        <v>86727772</v>
      </c>
      <c r="D22" s="124">
        <f>'4. 2003 Data &amp; 2005 PILs'!D22</f>
        <v>7259</v>
      </c>
      <c r="E22" s="378">
        <f>'4. 2003 Data &amp; 2005 PILs'!E22</f>
        <v>1884225</v>
      </c>
      <c r="F22" s="145">
        <f>IF(ISERROR(C22/C$35),"",C22/C$35)</f>
        <v>0.3798996747361115</v>
      </c>
      <c r="G22" s="415">
        <f>IF(ISERROR($G$36*F22),0,$G$36*F22)</f>
        <v>-12310.780585938723</v>
      </c>
      <c r="H22" s="125"/>
    </row>
    <row r="23" spans="1:8" ht="12.75">
      <c r="A23" s="148" t="s">
        <v>223</v>
      </c>
      <c r="B23" s="124" t="str">
        <f>'4. 2003 Data &amp; 2005 PILs'!B23</f>
        <v>-</v>
      </c>
      <c r="C23" s="124">
        <f>'4. 2003 Data &amp; 2005 PILs'!C23</f>
        <v>34235816</v>
      </c>
      <c r="D23" s="124">
        <f>'4. 2003 Data &amp; 2005 PILs'!D23</f>
        <v>1316</v>
      </c>
      <c r="E23" s="378">
        <f>'4. 2003 Data &amp; 2005 PILs'!E23</f>
        <v>662208</v>
      </c>
      <c r="F23" s="145">
        <f aca="true" t="shared" si="0" ref="F23:F28">IF(ISERROR(C23/C$35),"",C23/C$35)</f>
        <v>0.1499655192655631</v>
      </c>
      <c r="G23" s="415">
        <f aca="true" t="shared" si="1" ref="G23:G33">IF(ISERROR($G$36*F23),0,$G$36*F23)</f>
        <v>-4859.68461125198</v>
      </c>
      <c r="H23" s="125"/>
    </row>
    <row r="24" spans="1:8" ht="12.75">
      <c r="A24" s="148" t="s">
        <v>224</v>
      </c>
      <c r="B24" s="124">
        <f>'4. 2003 Data &amp; 2005 PILs'!B24</f>
        <v>313433.7</v>
      </c>
      <c r="C24" s="124">
        <f>'4. 2003 Data &amp; 2005 PILs'!C24</f>
        <v>103213998</v>
      </c>
      <c r="D24" s="124">
        <f>'4. 2003 Data &amp; 2005 PILs'!D24</f>
        <v>165</v>
      </c>
      <c r="E24" s="378">
        <f>'4. 2003 Data &amp; 2005 PILs'!E24</f>
        <v>1204817</v>
      </c>
      <c r="F24" s="145">
        <f t="shared" si="0"/>
        <v>0.45211543389369746</v>
      </c>
      <c r="G24" s="415">
        <f t="shared" si="1"/>
        <v>-14650.957282466778</v>
      </c>
      <c r="H24" s="125"/>
    </row>
    <row r="25" spans="1:8" ht="12.75">
      <c r="A25" s="148" t="s">
        <v>71</v>
      </c>
      <c r="B25" s="124">
        <f>'4. 2003 Data &amp; 2005 PILs'!B25</f>
        <v>0</v>
      </c>
      <c r="C25" s="124">
        <f>'4. 2003 Data &amp; 2005 PILs'!C25</f>
        <v>0</v>
      </c>
      <c r="D25" s="124">
        <f>'4. 2003 Data &amp; 2005 PILs'!D25</f>
        <v>0</v>
      </c>
      <c r="E25" s="378">
        <f>'4. 2003 Data &amp; 2005 PILs'!E25</f>
        <v>0</v>
      </c>
      <c r="F25" s="145">
        <f t="shared" si="0"/>
        <v>0</v>
      </c>
      <c r="G25" s="415">
        <f t="shared" si="1"/>
        <v>0</v>
      </c>
      <c r="H25" s="126"/>
    </row>
    <row r="26" spans="1:8" ht="12.75">
      <c r="A26" s="148" t="s">
        <v>152</v>
      </c>
      <c r="B26" s="124">
        <f>'4. 2003 Data &amp; 2005 PILs'!B26</f>
        <v>4708.7</v>
      </c>
      <c r="C26" s="124">
        <f>'4. 2003 Data &amp; 2005 PILs'!C26</f>
        <v>2202432</v>
      </c>
      <c r="D26" s="124">
        <f>'4. 2003 Data &amp; 2005 PILs'!D26</f>
        <v>1</v>
      </c>
      <c r="E26" s="378">
        <f>'4. 2003 Data &amp; 2005 PILs'!E26</f>
        <v>0</v>
      </c>
      <c r="F26" s="145">
        <f t="shared" si="0"/>
        <v>0.009647465640284217</v>
      </c>
      <c r="G26" s="415">
        <f t="shared" si="1"/>
        <v>-312.62946668859655</v>
      </c>
      <c r="H26" s="126"/>
    </row>
    <row r="27" spans="1:8" ht="12.75">
      <c r="A27" s="148" t="s">
        <v>72</v>
      </c>
      <c r="B27" s="124">
        <f>'4. 2003 Data &amp; 2005 PILs'!B27</f>
        <v>188772.4</v>
      </c>
      <c r="C27" s="124">
        <f>'4. 2003 Data &amp; 2005 PILs'!C27</f>
        <v>0</v>
      </c>
      <c r="D27" s="124">
        <f>'4. 2003 Data &amp; 2005 PILs'!D27</f>
        <v>1</v>
      </c>
      <c r="E27" s="378">
        <f>'4. 2003 Data &amp; 2005 PILs'!E27</f>
        <v>12940</v>
      </c>
      <c r="F27" s="145">
        <f t="shared" si="0"/>
        <v>0</v>
      </c>
      <c r="G27" s="415">
        <f t="shared" si="1"/>
        <v>0</v>
      </c>
      <c r="H27" s="126"/>
    </row>
    <row r="28" spans="1:8" ht="12.75">
      <c r="A28" s="148" t="s">
        <v>73</v>
      </c>
      <c r="B28" s="124">
        <f>'4. 2003 Data &amp; 2005 PILs'!B28</f>
        <v>0</v>
      </c>
      <c r="C28" s="124">
        <f>'4. 2003 Data &amp; 2005 PILs'!C28</f>
        <v>245383</v>
      </c>
      <c r="D28" s="124">
        <f>'4. 2003 Data &amp; 2005 PILs'!D28</f>
        <v>250</v>
      </c>
      <c r="E28" s="378">
        <f>'4. 2003 Data &amp; 2005 PILs'!E28</f>
        <v>9097</v>
      </c>
      <c r="F28" s="145">
        <f t="shared" si="0"/>
        <v>0.001074868173550812</v>
      </c>
      <c r="G28" s="415">
        <f t="shared" si="1"/>
        <v>-34.831475579926135</v>
      </c>
      <c r="H28" s="125"/>
    </row>
    <row r="29" spans="1:8" ht="12.75">
      <c r="A29" s="148" t="s">
        <v>74</v>
      </c>
      <c r="B29" s="124">
        <f>'4. 2003 Data &amp; 2005 PILs'!B29</f>
        <v>4135</v>
      </c>
      <c r="C29" s="124">
        <f>'4. 2003 Data &amp; 2005 PILs'!C29</f>
        <v>1665850</v>
      </c>
      <c r="D29" s="124">
        <f>'4. 2003 Data &amp; 2005 PILs'!D29</f>
        <v>2</v>
      </c>
      <c r="E29" s="378">
        <f>'4. 2003 Data &amp; 2005 PILs'!E29</f>
        <v>38499</v>
      </c>
      <c r="F29" s="145">
        <f>IF(ISERROR(C29/C$35),"",C29/C$35)</f>
        <v>0.007297038290792843</v>
      </c>
      <c r="G29" s="415">
        <f t="shared" si="1"/>
        <v>-236.46305406169114</v>
      </c>
      <c r="H29" s="127"/>
    </row>
    <row r="30" spans="1:8" ht="12.75">
      <c r="A30" s="148" t="s">
        <v>225</v>
      </c>
      <c r="B30" s="124">
        <f>'4. 2003 Data &amp; 2005 PILs'!B30</f>
        <v>0</v>
      </c>
      <c r="C30" s="124">
        <f>'4. 2003 Data &amp; 2005 PILs'!C30</f>
        <v>0</v>
      </c>
      <c r="D30" s="124">
        <f>'4. 2003 Data &amp; 2005 PILs'!D30</f>
        <v>0</v>
      </c>
      <c r="E30" s="378">
        <f>'4. 2003 Data &amp; 2005 PILs'!E30</f>
        <v>0</v>
      </c>
      <c r="F30" s="145">
        <f>IF(ISERROR(C30/C$35),"",C30/C$35)</f>
        <v>0</v>
      </c>
      <c r="G30" s="415">
        <f t="shared" si="1"/>
        <v>0</v>
      </c>
      <c r="H30" s="127"/>
    </row>
    <row r="31" spans="1:8" ht="12.75">
      <c r="A31" s="148" t="s">
        <v>226</v>
      </c>
      <c r="B31" s="124">
        <f>'4. 2003 Data &amp; 2005 PILs'!B31</f>
        <v>0</v>
      </c>
      <c r="C31" s="124">
        <f>'4. 2003 Data &amp; 2005 PILs'!C31</f>
        <v>0</v>
      </c>
      <c r="D31" s="124">
        <f>'4. 2003 Data &amp; 2005 PILs'!D31</f>
        <v>0</v>
      </c>
      <c r="E31" s="378">
        <f>'4. 2003 Data &amp; 2005 PILs'!E31</f>
        <v>0</v>
      </c>
      <c r="F31" s="145">
        <f>IF(ISERROR(C31/C$35),"",C31/C$35)</f>
        <v>0</v>
      </c>
      <c r="G31" s="415">
        <f t="shared" si="1"/>
        <v>0</v>
      </c>
      <c r="H31" s="127"/>
    </row>
    <row r="32" spans="1:8" ht="12.75">
      <c r="A32" s="148" t="s">
        <v>227</v>
      </c>
      <c r="B32" s="124">
        <f>'4. 2003 Data &amp; 2005 PILs'!B32</f>
        <v>0</v>
      </c>
      <c r="C32" s="124">
        <f>'4. 2003 Data &amp; 2005 PILs'!C32</f>
        <v>0</v>
      </c>
      <c r="D32" s="124">
        <f>'4. 2003 Data &amp; 2005 PILs'!D32</f>
        <v>0</v>
      </c>
      <c r="E32" s="378">
        <f>'4. 2003 Data &amp; 2005 PILs'!E32</f>
        <v>0</v>
      </c>
      <c r="F32" s="145">
        <f>IF(ISERROR(C32/C$35),"",C32/C$35)</f>
        <v>0</v>
      </c>
      <c r="G32" s="415">
        <f t="shared" si="1"/>
        <v>0</v>
      </c>
      <c r="H32" s="127"/>
    </row>
    <row r="33" spans="1:8" ht="12.75">
      <c r="A33" s="148" t="s">
        <v>228</v>
      </c>
      <c r="B33" s="361">
        <f>'4. 2003 Data &amp; 2005 PILs'!B33</f>
        <v>0</v>
      </c>
      <c r="C33" s="361">
        <f>'4. 2003 Data &amp; 2005 PILs'!C33</f>
        <v>0</v>
      </c>
      <c r="D33" s="361">
        <f>'4. 2003 Data &amp; 2005 PILs'!D33</f>
        <v>0</v>
      </c>
      <c r="E33" s="379">
        <f>'4. 2003 Data &amp; 2005 PILs'!E33</f>
        <v>0</v>
      </c>
      <c r="F33" s="146">
        <f>IF(ISERROR(C33/C$35),"",C33/C$35)</f>
        <v>0</v>
      </c>
      <c r="G33" s="416">
        <f t="shared" si="1"/>
        <v>0</v>
      </c>
      <c r="H33" s="127"/>
    </row>
    <row r="34" spans="1:8" ht="12.75">
      <c r="A34" s="148"/>
      <c r="B34" s="119"/>
      <c r="C34" s="128"/>
      <c r="D34" s="129"/>
      <c r="E34" s="119"/>
      <c r="F34" s="147"/>
      <c r="G34" s="415"/>
      <c r="H34" s="105"/>
    </row>
    <row r="35" spans="1:8" ht="12.75">
      <c r="A35" s="148" t="s">
        <v>13</v>
      </c>
      <c r="B35" s="31"/>
      <c r="C35" s="154">
        <f>SUM(C22:C33)</f>
        <v>228291251</v>
      </c>
      <c r="D35" s="154">
        <f>SUM(D22:D33)</f>
        <v>8994</v>
      </c>
      <c r="E35" s="155">
        <f>SUM(E22:E33)</f>
        <v>3811786</v>
      </c>
      <c r="F35" s="514">
        <f>SUM(F22:F33)</f>
        <v>1</v>
      </c>
      <c r="G35" s="408">
        <f>SUM(G22:G33)</f>
        <v>-32405.34647598769</v>
      </c>
      <c r="H35" s="105"/>
    </row>
    <row r="36" spans="1:8" ht="12.75">
      <c r="A36" s="86"/>
      <c r="B36" s="31"/>
      <c r="C36" s="659" t="s">
        <v>208</v>
      </c>
      <c r="D36" s="659"/>
      <c r="E36" s="659"/>
      <c r="F36" s="660"/>
      <c r="G36" s="417">
        <f>G14</f>
        <v>-32405.346475987695</v>
      </c>
      <c r="H36" s="130"/>
    </row>
    <row r="37" spans="1:7" ht="13.5" thickBot="1">
      <c r="A37" s="94"/>
      <c r="B37" s="149"/>
      <c r="C37" s="149"/>
      <c r="D37" s="149"/>
      <c r="E37" s="149"/>
      <c r="F37" s="149"/>
      <c r="G37" s="150"/>
    </row>
    <row r="39" ht="15.75">
      <c r="A39" s="164" t="s">
        <v>181</v>
      </c>
    </row>
    <row r="40" ht="15.75">
      <c r="A40" s="54"/>
    </row>
    <row r="41" ht="15.75">
      <c r="A41" s="54" t="s">
        <v>229</v>
      </c>
    </row>
    <row r="42" ht="10.5" customHeight="1">
      <c r="A42" s="131"/>
    </row>
    <row r="43" ht="9" customHeight="1">
      <c r="A43" s="132"/>
    </row>
    <row r="44" spans="1:7" ht="39" thickBot="1">
      <c r="A44" s="132"/>
      <c r="B44" s="280" t="s">
        <v>103</v>
      </c>
      <c r="C44" s="280" t="s">
        <v>104</v>
      </c>
      <c r="D44" s="280" t="s">
        <v>138</v>
      </c>
      <c r="E44" s="278"/>
      <c r="F44" s="278"/>
      <c r="G44" s="278"/>
    </row>
    <row r="45" spans="1:3" ht="15">
      <c r="A45" s="132"/>
      <c r="B45" s="30"/>
      <c r="C45" s="30"/>
    </row>
    <row r="46" spans="1:5" ht="12.75">
      <c r="A46" s="109" t="s">
        <v>136</v>
      </c>
      <c r="B46" s="288"/>
      <c r="C46" s="288"/>
      <c r="D46" s="406">
        <f>$G22</f>
        <v>-12310.780585938723</v>
      </c>
      <c r="E46" s="112"/>
    </row>
    <row r="47" spans="1:5" ht="7.5" customHeight="1">
      <c r="A47" s="112"/>
      <c r="B47" s="281"/>
      <c r="C47" s="281"/>
      <c r="D47" s="282"/>
      <c r="E47" s="112"/>
    </row>
    <row r="48" spans="1:5" ht="12.75">
      <c r="A48" s="109" t="s">
        <v>101</v>
      </c>
      <c r="B48" s="289">
        <v>1</v>
      </c>
      <c r="C48" s="289">
        <v>0</v>
      </c>
      <c r="D48" s="289">
        <f>B48+C48</f>
        <v>1</v>
      </c>
      <c r="E48" s="112"/>
    </row>
    <row r="49" spans="1:5" ht="7.5" customHeight="1">
      <c r="A49" s="112"/>
      <c r="B49" s="283"/>
      <c r="C49" s="283"/>
      <c r="D49" s="283"/>
      <c r="E49" s="112"/>
    </row>
    <row r="50" spans="1:5" ht="13.5" customHeight="1">
      <c r="A50" s="109" t="s">
        <v>137</v>
      </c>
      <c r="B50" s="401">
        <f>$B48*$D46</f>
        <v>-12310.780585938723</v>
      </c>
      <c r="C50" s="401">
        <f>C48*D46</f>
        <v>0</v>
      </c>
      <c r="D50" s="401">
        <f>SUM(B50:C50)</f>
        <v>-12310.780585938723</v>
      </c>
      <c r="E50" s="112"/>
    </row>
    <row r="51" spans="1:5" ht="7.5" customHeight="1">
      <c r="A51" s="112"/>
      <c r="B51" s="284"/>
      <c r="C51" s="284"/>
      <c r="D51" s="284"/>
      <c r="E51" s="112"/>
    </row>
    <row r="52" spans="1:5" ht="13.5" customHeight="1">
      <c r="A52" s="109" t="s">
        <v>99</v>
      </c>
      <c r="B52" s="487">
        <f>$C22</f>
        <v>86727772</v>
      </c>
      <c r="C52" s="290"/>
      <c r="D52" s="290"/>
      <c r="E52" s="112"/>
    </row>
    <row r="53" spans="1:5" ht="7.5" customHeight="1">
      <c r="A53" s="112"/>
      <c r="B53" s="285"/>
      <c r="C53" s="284"/>
      <c r="D53" s="284"/>
      <c r="E53" s="112"/>
    </row>
    <row r="54" spans="1:5" ht="13.5" customHeight="1">
      <c r="A54" s="109" t="s">
        <v>182</v>
      </c>
      <c r="B54" s="411">
        <f>IF(ISERROR($B50/$B52),0,$B50/$B52)</f>
        <v>-0.00014194738665647636</v>
      </c>
      <c r="C54" s="292"/>
      <c r="D54" s="292"/>
      <c r="E54" s="112"/>
    </row>
    <row r="55" spans="1:5" ht="12.75">
      <c r="A55" s="112"/>
      <c r="B55" s="286"/>
      <c r="C55" s="287"/>
      <c r="D55" s="287"/>
      <c r="E55" s="112"/>
    </row>
    <row r="56" spans="1:4" ht="15">
      <c r="A56" s="132"/>
      <c r="B56" s="56"/>
      <c r="C56" s="56"/>
      <c r="D56" s="56"/>
    </row>
    <row r="57" spans="2:4" ht="12.75">
      <c r="B57" s="56"/>
      <c r="C57" s="56"/>
      <c r="D57" s="56"/>
    </row>
    <row r="58" ht="15.75">
      <c r="A58" s="54" t="s">
        <v>230</v>
      </c>
    </row>
    <row r="59" ht="10.5" customHeight="1">
      <c r="A59" s="131"/>
    </row>
    <row r="60" ht="9" customHeight="1">
      <c r="A60" s="132"/>
    </row>
    <row r="61" spans="1:7" ht="39" thickBot="1">
      <c r="A61" s="132"/>
      <c r="B61" s="280" t="s">
        <v>103</v>
      </c>
      <c r="C61" s="280" t="s">
        <v>104</v>
      </c>
      <c r="D61" s="280" t="s">
        <v>138</v>
      </c>
      <c r="E61" s="278"/>
      <c r="F61" s="278"/>
      <c r="G61" s="278"/>
    </row>
    <row r="62" spans="1:3" ht="15">
      <c r="A62" s="132"/>
      <c r="B62" s="30"/>
      <c r="C62" s="30"/>
    </row>
    <row r="63" spans="1:5" ht="12.75">
      <c r="A63" s="109" t="s">
        <v>136</v>
      </c>
      <c r="B63" s="288"/>
      <c r="C63" s="288"/>
      <c r="D63" s="406">
        <f>$G23</f>
        <v>-4859.68461125198</v>
      </c>
      <c r="E63" s="112"/>
    </row>
    <row r="64" spans="1:5" ht="7.5" customHeight="1">
      <c r="A64" s="112"/>
      <c r="B64" s="281"/>
      <c r="C64" s="281"/>
      <c r="D64" s="282"/>
      <c r="E64" s="112"/>
    </row>
    <row r="65" spans="1:5" ht="12.75">
      <c r="A65" s="109" t="s">
        <v>101</v>
      </c>
      <c r="B65" s="289">
        <v>1</v>
      </c>
      <c r="C65" s="289">
        <v>0</v>
      </c>
      <c r="D65" s="289">
        <f>B65+C65</f>
        <v>1</v>
      </c>
      <c r="E65" s="112"/>
    </row>
    <row r="66" spans="1:5" ht="7.5" customHeight="1">
      <c r="A66" s="112"/>
      <c r="B66" s="283"/>
      <c r="C66" s="283"/>
      <c r="D66" s="283"/>
      <c r="E66" s="112"/>
    </row>
    <row r="67" spans="1:5" ht="13.5" customHeight="1">
      <c r="A67" s="109" t="s">
        <v>137</v>
      </c>
      <c r="B67" s="401">
        <f>$B65*$D63</f>
        <v>-4859.68461125198</v>
      </c>
      <c r="C67" s="401">
        <f>C65*D63</f>
        <v>0</v>
      </c>
      <c r="D67" s="401">
        <f>SUM(B67:C67)</f>
        <v>-4859.68461125198</v>
      </c>
      <c r="E67" s="112"/>
    </row>
    <row r="68" spans="1:5" ht="7.5" customHeight="1">
      <c r="A68" s="112"/>
      <c r="B68" s="284"/>
      <c r="C68" s="284"/>
      <c r="D68" s="284"/>
      <c r="E68" s="112"/>
    </row>
    <row r="69" spans="1:5" ht="13.5" customHeight="1">
      <c r="A69" s="109" t="s">
        <v>99</v>
      </c>
      <c r="B69" s="291">
        <f>$C23</f>
        <v>34235816</v>
      </c>
      <c r="C69" s="290"/>
      <c r="D69" s="290"/>
      <c r="E69" s="112"/>
    </row>
    <row r="70" spans="1:5" ht="7.5" customHeight="1">
      <c r="A70" s="112"/>
      <c r="B70" s="285"/>
      <c r="C70" s="284"/>
      <c r="D70" s="284"/>
      <c r="E70" s="112"/>
    </row>
    <row r="71" spans="1:5" ht="13.5" customHeight="1">
      <c r="A71" s="109" t="s">
        <v>182</v>
      </c>
      <c r="B71" s="411">
        <f>IF(ISERROR($B67/$B69),0,$B67/$B69)</f>
        <v>-0.00014194738665647636</v>
      </c>
      <c r="C71" s="292"/>
      <c r="D71" s="292"/>
      <c r="E71" s="112"/>
    </row>
    <row r="72" spans="1:5" ht="12.75">
      <c r="A72" s="112"/>
      <c r="B72" s="286"/>
      <c r="C72" s="287"/>
      <c r="D72" s="287"/>
      <c r="E72" s="112"/>
    </row>
    <row r="73" spans="1:4" ht="15">
      <c r="A73" s="132"/>
      <c r="B73" s="56"/>
      <c r="C73" s="56"/>
      <c r="D73" s="56"/>
    </row>
    <row r="74" spans="2:4" ht="12.75">
      <c r="B74" s="56"/>
      <c r="C74" s="56"/>
      <c r="D74" s="56"/>
    </row>
    <row r="75" ht="15.75">
      <c r="A75" s="54" t="s">
        <v>231</v>
      </c>
    </row>
    <row r="76" ht="10.5" customHeight="1">
      <c r="A76" s="131"/>
    </row>
    <row r="77" ht="9" customHeight="1">
      <c r="A77" s="132"/>
    </row>
    <row r="78" spans="1:7" ht="39" thickBot="1">
      <c r="A78" s="132"/>
      <c r="B78" s="280" t="s">
        <v>103</v>
      </c>
      <c r="C78" s="280" t="s">
        <v>104</v>
      </c>
      <c r="D78" s="280" t="s">
        <v>138</v>
      </c>
      <c r="E78" s="278"/>
      <c r="F78" s="278"/>
      <c r="G78" s="278"/>
    </row>
    <row r="79" spans="1:3" ht="15">
      <c r="A79" s="132"/>
      <c r="B79" s="30"/>
      <c r="C79" s="30"/>
    </row>
    <row r="80" spans="1:5" ht="12.75">
      <c r="A80" s="109" t="s">
        <v>136</v>
      </c>
      <c r="B80" s="288"/>
      <c r="C80" s="288"/>
      <c r="D80" s="406">
        <f>$G24</f>
        <v>-14650.957282466778</v>
      </c>
      <c r="E80" s="112"/>
    </row>
    <row r="81" spans="1:5" ht="7.5" customHeight="1">
      <c r="A81" s="112"/>
      <c r="B81" s="281"/>
      <c r="C81" s="281"/>
      <c r="D81" s="282"/>
      <c r="E81" s="112"/>
    </row>
    <row r="82" spans="1:5" ht="12.75">
      <c r="A82" s="109" t="s">
        <v>101</v>
      </c>
      <c r="B82" s="289">
        <v>1</v>
      </c>
      <c r="C82" s="289">
        <v>0</v>
      </c>
      <c r="D82" s="289">
        <f>B82+C82</f>
        <v>1</v>
      </c>
      <c r="E82" s="112"/>
    </row>
    <row r="83" spans="1:5" ht="7.5" customHeight="1">
      <c r="A83" s="112"/>
      <c r="B83" s="283"/>
      <c r="C83" s="283"/>
      <c r="D83" s="283"/>
      <c r="E83" s="112"/>
    </row>
    <row r="84" spans="1:5" ht="13.5" customHeight="1">
      <c r="A84" s="109" t="s">
        <v>137</v>
      </c>
      <c r="B84" s="401">
        <f>$B82*$D80</f>
        <v>-14650.957282466778</v>
      </c>
      <c r="C84" s="401">
        <f>C82*D80</f>
        <v>0</v>
      </c>
      <c r="D84" s="401">
        <f>SUM(B84:C84)</f>
        <v>-14650.957282466778</v>
      </c>
      <c r="E84" s="112"/>
    </row>
    <row r="85" spans="1:5" ht="7.5" customHeight="1">
      <c r="A85" s="112"/>
      <c r="B85" s="284"/>
      <c r="C85" s="284"/>
      <c r="D85" s="284"/>
      <c r="E85" s="112"/>
    </row>
    <row r="86" spans="1:5" ht="13.5" customHeight="1">
      <c r="A86" s="109" t="s">
        <v>162</v>
      </c>
      <c r="B86" s="291">
        <f>$B24</f>
        <v>313433.7</v>
      </c>
      <c r="C86" s="290"/>
      <c r="D86" s="290"/>
      <c r="E86" s="112"/>
    </row>
    <row r="87" spans="1:5" ht="7.5" customHeight="1">
      <c r="A87" s="112"/>
      <c r="B87" s="285"/>
      <c r="C87" s="284"/>
      <c r="D87" s="284"/>
      <c r="E87" s="112"/>
    </row>
    <row r="88" spans="1:5" ht="13.5" customHeight="1">
      <c r="A88" s="109" t="s">
        <v>178</v>
      </c>
      <c r="B88" s="411">
        <f>IF(ISERROR($B84/$B86),0,$B84/$B86)</f>
        <v>-0.04674340149915844</v>
      </c>
      <c r="C88" s="292"/>
      <c r="D88" s="292"/>
      <c r="E88" s="112"/>
    </row>
    <row r="89" spans="1:5" s="31" customFormat="1" ht="12.75">
      <c r="A89" s="294"/>
      <c r="B89" s="295"/>
      <c r="C89" s="296"/>
      <c r="D89" s="295"/>
      <c r="E89" s="294"/>
    </row>
    <row r="90" spans="1:5" ht="12.75">
      <c r="A90" s="294"/>
      <c r="B90" s="295"/>
      <c r="C90" s="296"/>
      <c r="D90" s="295"/>
      <c r="E90" s="112"/>
    </row>
    <row r="91" spans="1:5" ht="12.75">
      <c r="A91" s="294"/>
      <c r="B91" s="295"/>
      <c r="C91" s="296"/>
      <c r="D91" s="295"/>
      <c r="E91" s="112"/>
    </row>
    <row r="92" ht="15.75">
      <c r="A92" s="54" t="s">
        <v>204</v>
      </c>
    </row>
    <row r="93" ht="10.5" customHeight="1">
      <c r="A93" s="131"/>
    </row>
    <row r="94" ht="9" customHeight="1">
      <c r="A94" s="132"/>
    </row>
    <row r="95" spans="1:7" ht="39" thickBot="1">
      <c r="A95" s="132"/>
      <c r="B95" s="280" t="s">
        <v>103</v>
      </c>
      <c r="C95" s="280" t="s">
        <v>104</v>
      </c>
      <c r="D95" s="280" t="s">
        <v>138</v>
      </c>
      <c r="E95" s="278"/>
      <c r="F95" s="278"/>
      <c r="G95" s="278"/>
    </row>
    <row r="96" spans="1:3" ht="15">
      <c r="A96" s="132"/>
      <c r="B96" s="30"/>
      <c r="C96" s="30"/>
    </row>
    <row r="97" spans="1:5" ht="12.75">
      <c r="A97" s="109" t="s">
        <v>136</v>
      </c>
      <c r="B97" s="288"/>
      <c r="C97" s="288"/>
      <c r="D97" s="406">
        <f>$G25</f>
        <v>0</v>
      </c>
      <c r="E97" s="112"/>
    </row>
    <row r="98" spans="1:5" ht="7.5" customHeight="1">
      <c r="A98" s="112"/>
      <c r="B98" s="281"/>
      <c r="C98" s="281"/>
      <c r="D98" s="282"/>
      <c r="E98" s="112"/>
    </row>
    <row r="99" spans="1:5" ht="12.75">
      <c r="A99" s="109" t="s">
        <v>101</v>
      </c>
      <c r="B99" s="289">
        <v>1</v>
      </c>
      <c r="C99" s="289">
        <v>0</v>
      </c>
      <c r="D99" s="289">
        <f>B99+C99</f>
        <v>1</v>
      </c>
      <c r="E99" s="112"/>
    </row>
    <row r="100" spans="1:5" ht="7.5" customHeight="1">
      <c r="A100" s="112"/>
      <c r="B100" s="283"/>
      <c r="C100" s="283"/>
      <c r="D100" s="283"/>
      <c r="E100" s="112"/>
    </row>
    <row r="101" spans="1:5" ht="13.5" customHeight="1">
      <c r="A101" s="109" t="s">
        <v>137</v>
      </c>
      <c r="B101" s="401">
        <f>$B99*$D97</f>
        <v>0</v>
      </c>
      <c r="C101" s="401">
        <f>C99*D97</f>
        <v>0</v>
      </c>
      <c r="D101" s="401">
        <f>SUM(B101:C101)</f>
        <v>0</v>
      </c>
      <c r="E101" s="112"/>
    </row>
    <row r="102" spans="1:5" ht="7.5" customHeight="1">
      <c r="A102" s="112"/>
      <c r="B102" s="284"/>
      <c r="C102" s="284"/>
      <c r="D102" s="284"/>
      <c r="E102" s="112"/>
    </row>
    <row r="103" spans="1:5" ht="13.5" customHeight="1">
      <c r="A103" s="109" t="s">
        <v>162</v>
      </c>
      <c r="B103" s="291">
        <f>$B25</f>
        <v>0</v>
      </c>
      <c r="C103" s="290"/>
      <c r="D103" s="290"/>
      <c r="E103" s="112"/>
    </row>
    <row r="104" spans="1:5" ht="7.5" customHeight="1">
      <c r="A104" s="112"/>
      <c r="B104" s="285"/>
      <c r="C104" s="284"/>
      <c r="D104" s="284"/>
      <c r="E104" s="112"/>
    </row>
    <row r="105" spans="1:5" ht="13.5" customHeight="1">
      <c r="A105" s="109" t="s">
        <v>178</v>
      </c>
      <c r="B105" s="411">
        <f>IF(ISERROR($B101/$B103),0,$B101/$B103)</f>
        <v>0</v>
      </c>
      <c r="C105" s="292"/>
      <c r="D105" s="292"/>
      <c r="E105" s="112"/>
    </row>
    <row r="106" spans="1:5" s="31" customFormat="1" ht="12.75">
      <c r="A106" s="294"/>
      <c r="B106" s="295"/>
      <c r="C106" s="296"/>
      <c r="D106" s="295"/>
      <c r="E106" s="294"/>
    </row>
    <row r="107" spans="1:5" ht="12.75">
      <c r="A107" s="294"/>
      <c r="B107" s="295"/>
      <c r="C107" s="296"/>
      <c r="D107" s="295"/>
      <c r="E107" s="112"/>
    </row>
    <row r="108" spans="1:5" ht="12.75">
      <c r="A108" s="294"/>
      <c r="B108" s="295"/>
      <c r="C108" s="296"/>
      <c r="D108" s="295"/>
      <c r="E108" s="112"/>
    </row>
    <row r="109" ht="15.75">
      <c r="A109" s="54" t="s">
        <v>14</v>
      </c>
    </row>
    <row r="110" ht="10.5" customHeight="1">
      <c r="A110" s="131"/>
    </row>
    <row r="111" ht="9" customHeight="1">
      <c r="A111" s="132"/>
    </row>
    <row r="112" spans="1:7" ht="39" thickBot="1">
      <c r="A112" s="132"/>
      <c r="B112" s="280" t="s">
        <v>103</v>
      </c>
      <c r="C112" s="280" t="s">
        <v>104</v>
      </c>
      <c r="D112" s="280" t="s">
        <v>138</v>
      </c>
      <c r="E112" s="278"/>
      <c r="F112" s="278"/>
      <c r="G112" s="278"/>
    </row>
    <row r="113" spans="1:3" ht="15">
      <c r="A113" s="132"/>
      <c r="B113" s="30"/>
      <c r="C113" s="30"/>
    </row>
    <row r="114" spans="1:5" ht="12.75">
      <c r="A114" s="109" t="s">
        <v>136</v>
      </c>
      <c r="B114" s="288"/>
      <c r="C114" s="288"/>
      <c r="D114" s="406">
        <f>$G26</f>
        <v>-312.62946668859655</v>
      </c>
      <c r="E114" s="112"/>
    </row>
    <row r="115" spans="1:5" ht="7.5" customHeight="1">
      <c r="A115" s="112"/>
      <c r="B115" s="281"/>
      <c r="C115" s="281"/>
      <c r="D115" s="282"/>
      <c r="E115" s="112"/>
    </row>
    <row r="116" spans="1:5" ht="12.75">
      <c r="A116" s="109" t="s">
        <v>101</v>
      </c>
      <c r="B116" s="289">
        <v>1</v>
      </c>
      <c r="C116" s="289">
        <v>0</v>
      </c>
      <c r="D116" s="289">
        <f>B116+C116</f>
        <v>1</v>
      </c>
      <c r="E116" s="112"/>
    </row>
    <row r="117" spans="1:5" ht="7.5" customHeight="1">
      <c r="A117" s="112"/>
      <c r="B117" s="283"/>
      <c r="C117" s="283"/>
      <c r="D117" s="283"/>
      <c r="E117" s="112"/>
    </row>
    <row r="118" spans="1:5" ht="13.5" customHeight="1">
      <c r="A118" s="109" t="s">
        <v>137</v>
      </c>
      <c r="B118" s="401">
        <f>$B116*$D114</f>
        <v>-312.62946668859655</v>
      </c>
      <c r="C118" s="401">
        <f>C116*D114</f>
        <v>0</v>
      </c>
      <c r="D118" s="401">
        <f>SUM(B118:C118)</f>
        <v>-312.62946668859655</v>
      </c>
      <c r="E118" s="112"/>
    </row>
    <row r="119" spans="1:5" ht="7.5" customHeight="1">
      <c r="A119" s="112"/>
      <c r="B119" s="284"/>
      <c r="C119" s="284"/>
      <c r="D119" s="284"/>
      <c r="E119" s="112"/>
    </row>
    <row r="120" spans="1:5" ht="13.5" customHeight="1">
      <c r="A120" s="109" t="s">
        <v>162</v>
      </c>
      <c r="B120" s="291">
        <f>$B26</f>
        <v>4708.7</v>
      </c>
      <c r="C120" s="290"/>
      <c r="D120" s="290"/>
      <c r="E120" s="112"/>
    </row>
    <row r="121" spans="1:5" ht="7.5" customHeight="1">
      <c r="A121" s="112"/>
      <c r="B121" s="285"/>
      <c r="C121" s="284"/>
      <c r="D121" s="284"/>
      <c r="E121" s="112"/>
    </row>
    <row r="122" spans="1:5" ht="13.5" customHeight="1">
      <c r="A122" s="109" t="s">
        <v>178</v>
      </c>
      <c r="B122" s="411">
        <f>IF(ISERROR($B118/$B120),0,$B118/$B120)</f>
        <v>-0.06639400825888177</v>
      </c>
      <c r="C122" s="292"/>
      <c r="D122" s="292"/>
      <c r="E122" s="112"/>
    </row>
    <row r="123" spans="1:5" ht="12.75">
      <c r="A123" s="112"/>
      <c r="B123" s="286"/>
      <c r="C123" s="287"/>
      <c r="D123" s="287"/>
      <c r="E123" s="112"/>
    </row>
    <row r="124" spans="1:4" ht="15">
      <c r="A124" s="132"/>
      <c r="B124" s="56"/>
      <c r="C124" s="56"/>
      <c r="D124" s="56"/>
    </row>
    <row r="125" spans="2:4" ht="12.75">
      <c r="B125" s="56"/>
      <c r="C125" s="56"/>
      <c r="D125" s="56"/>
    </row>
    <row r="126" ht="15.75">
      <c r="A126" s="54" t="s">
        <v>15</v>
      </c>
    </row>
    <row r="127" ht="10.5" customHeight="1">
      <c r="A127" s="131"/>
    </row>
    <row r="128" ht="9" customHeight="1">
      <c r="A128" s="132"/>
    </row>
    <row r="129" spans="1:7" ht="39" thickBot="1">
      <c r="A129" s="132"/>
      <c r="B129" s="280" t="s">
        <v>103</v>
      </c>
      <c r="C129" s="280" t="s">
        <v>104</v>
      </c>
      <c r="D129" s="280" t="s">
        <v>138</v>
      </c>
      <c r="E129" s="278"/>
      <c r="F129" s="278"/>
      <c r="G129" s="278"/>
    </row>
    <row r="130" spans="1:3" ht="15">
      <c r="A130" s="132"/>
      <c r="B130" s="30"/>
      <c r="C130" s="30"/>
    </row>
    <row r="131" spans="1:5" ht="12.75">
      <c r="A131" s="109" t="s">
        <v>136</v>
      </c>
      <c r="B131" s="288"/>
      <c r="C131" s="288"/>
      <c r="D131" s="406">
        <f>$G27</f>
        <v>0</v>
      </c>
      <c r="E131" s="112"/>
    </row>
    <row r="132" spans="1:5" ht="7.5" customHeight="1">
      <c r="A132" s="112"/>
      <c r="B132" s="281"/>
      <c r="C132" s="281"/>
      <c r="D132" s="282"/>
      <c r="E132" s="112"/>
    </row>
    <row r="133" spans="1:5" ht="12.75">
      <c r="A133" s="109" t="s">
        <v>101</v>
      </c>
      <c r="B133" s="289">
        <v>1</v>
      </c>
      <c r="C133" s="289">
        <v>0</v>
      </c>
      <c r="D133" s="289">
        <f>B133+C133</f>
        <v>1</v>
      </c>
      <c r="E133" s="112"/>
    </row>
    <row r="134" spans="1:5" ht="7.5" customHeight="1">
      <c r="A134" s="112"/>
      <c r="B134" s="283"/>
      <c r="C134" s="283"/>
      <c r="D134" s="283"/>
      <c r="E134" s="112"/>
    </row>
    <row r="135" spans="1:5" ht="13.5" customHeight="1">
      <c r="A135" s="109" t="s">
        <v>137</v>
      </c>
      <c r="B135" s="401">
        <f>$B133*$D131</f>
        <v>0</v>
      </c>
      <c r="C135" s="401">
        <f>C133*D131</f>
        <v>0</v>
      </c>
      <c r="D135" s="401">
        <f>SUM(B135:C135)</f>
        <v>0</v>
      </c>
      <c r="E135" s="112"/>
    </row>
    <row r="136" spans="1:5" ht="7.5" customHeight="1">
      <c r="A136" s="112"/>
      <c r="B136" s="284"/>
      <c r="C136" s="284"/>
      <c r="D136" s="284"/>
      <c r="E136" s="112"/>
    </row>
    <row r="137" spans="1:5" ht="13.5" customHeight="1">
      <c r="A137" s="109" t="s">
        <v>162</v>
      </c>
      <c r="B137" s="291">
        <f>$B27</f>
        <v>188772.4</v>
      </c>
      <c r="C137" s="290"/>
      <c r="D137" s="290"/>
      <c r="E137" s="112"/>
    </row>
    <row r="138" spans="1:5" ht="7.5" customHeight="1">
      <c r="A138" s="112"/>
      <c r="B138" s="285"/>
      <c r="C138" s="284"/>
      <c r="D138" s="284"/>
      <c r="E138" s="112"/>
    </row>
    <row r="139" spans="1:5" ht="13.5" customHeight="1">
      <c r="A139" s="109" t="s">
        <v>178</v>
      </c>
      <c r="B139" s="411">
        <f>IF(ISERROR($B135/$B137),0,$B135/$B137)</f>
        <v>0</v>
      </c>
      <c r="C139" s="292"/>
      <c r="D139" s="292"/>
      <c r="E139" s="112"/>
    </row>
    <row r="140" spans="2:4" ht="12.75">
      <c r="B140" s="56"/>
      <c r="C140" s="56"/>
      <c r="D140" s="56"/>
    </row>
    <row r="141" spans="1:5" ht="12.75">
      <c r="A141" s="294"/>
      <c r="B141" s="295"/>
      <c r="C141" s="296"/>
      <c r="D141" s="295"/>
      <c r="E141" s="112"/>
    </row>
    <row r="142" spans="1:5" ht="12.75">
      <c r="A142" s="294"/>
      <c r="B142" s="295"/>
      <c r="C142" s="296"/>
      <c r="D142" s="295"/>
      <c r="E142" s="112"/>
    </row>
    <row r="143" ht="15.75">
      <c r="A143" s="54" t="s">
        <v>16</v>
      </c>
    </row>
    <row r="144" ht="10.5" customHeight="1">
      <c r="A144" s="131"/>
    </row>
    <row r="145" ht="9" customHeight="1">
      <c r="A145" s="132"/>
    </row>
    <row r="146" spans="1:7" ht="39" thickBot="1">
      <c r="A146" s="132"/>
      <c r="B146" s="280" t="s">
        <v>103</v>
      </c>
      <c r="C146" s="280" t="s">
        <v>104</v>
      </c>
      <c r="D146" s="280" t="s">
        <v>138</v>
      </c>
      <c r="E146" s="278"/>
      <c r="F146" s="278"/>
      <c r="G146" s="278"/>
    </row>
    <row r="147" spans="1:3" ht="15">
      <c r="A147" s="132"/>
      <c r="B147" s="30"/>
      <c r="C147" s="30"/>
    </row>
    <row r="148" spans="1:5" ht="12.75">
      <c r="A148" s="109" t="s">
        <v>136</v>
      </c>
      <c r="B148" s="288"/>
      <c r="C148" s="288"/>
      <c r="D148" s="406">
        <f>$G28</f>
        <v>-34.831475579926135</v>
      </c>
      <c r="E148" s="112"/>
    </row>
    <row r="149" spans="1:5" ht="7.5" customHeight="1">
      <c r="A149" s="112"/>
      <c r="B149" s="281"/>
      <c r="C149" s="281"/>
      <c r="D149" s="282"/>
      <c r="E149" s="112"/>
    </row>
    <row r="150" spans="1:5" ht="12.75">
      <c r="A150" s="109" t="s">
        <v>101</v>
      </c>
      <c r="B150" s="289">
        <v>1</v>
      </c>
      <c r="C150" s="289">
        <v>0</v>
      </c>
      <c r="D150" s="289">
        <f>B150+C150</f>
        <v>1</v>
      </c>
      <c r="E150" s="112"/>
    </row>
    <row r="151" spans="1:5" ht="7.5" customHeight="1">
      <c r="A151" s="112"/>
      <c r="B151" s="283"/>
      <c r="C151" s="283"/>
      <c r="D151" s="283"/>
      <c r="E151" s="112"/>
    </row>
    <row r="152" spans="1:5" ht="13.5" customHeight="1">
      <c r="A152" s="109" t="s">
        <v>137</v>
      </c>
      <c r="B152" s="401">
        <f>$B150*$D148</f>
        <v>-34.831475579926135</v>
      </c>
      <c r="C152" s="401">
        <f>C150*D148</f>
        <v>0</v>
      </c>
      <c r="D152" s="401">
        <f>SUM(B152:C152)</f>
        <v>-34.831475579926135</v>
      </c>
      <c r="E152" s="112"/>
    </row>
    <row r="153" spans="1:5" ht="7.5" customHeight="1">
      <c r="A153" s="112"/>
      <c r="B153" s="284"/>
      <c r="C153" s="284"/>
      <c r="D153" s="284"/>
      <c r="E153" s="112"/>
    </row>
    <row r="154" spans="1:5" ht="13.5" customHeight="1">
      <c r="A154" s="109" t="s">
        <v>162</v>
      </c>
      <c r="B154" s="291">
        <f>$B28</f>
        <v>0</v>
      </c>
      <c r="C154" s="290"/>
      <c r="D154" s="290"/>
      <c r="E154" s="112"/>
    </row>
    <row r="155" spans="1:5" ht="7.5" customHeight="1">
      <c r="A155" s="112"/>
      <c r="B155" s="285"/>
      <c r="C155" s="284"/>
      <c r="D155" s="284"/>
      <c r="E155" s="112"/>
    </row>
    <row r="156" spans="1:5" ht="13.5" customHeight="1">
      <c r="A156" s="109" t="s">
        <v>178</v>
      </c>
      <c r="B156" s="411">
        <f>IF(ISERROR($B152/$B154),0,$B152/$B154)</f>
        <v>0</v>
      </c>
      <c r="C156" s="292"/>
      <c r="D156" s="292"/>
      <c r="E156" s="112"/>
    </row>
    <row r="157" spans="1:5" ht="12.75">
      <c r="A157" s="294"/>
      <c r="B157" s="295"/>
      <c r="C157" s="296"/>
      <c r="D157" s="295"/>
      <c r="E157" s="294"/>
    </row>
    <row r="158" spans="1:5" ht="12.75">
      <c r="A158" s="294"/>
      <c r="B158" s="295"/>
      <c r="C158" s="296"/>
      <c r="D158" s="295"/>
      <c r="E158" s="112"/>
    </row>
    <row r="159" spans="1:5" ht="12.75">
      <c r="A159" s="294"/>
      <c r="B159" s="295"/>
      <c r="C159" s="296"/>
      <c r="D159" s="295"/>
      <c r="E159" s="112"/>
    </row>
    <row r="160" ht="15.75">
      <c r="A160" s="54" t="s">
        <v>106</v>
      </c>
    </row>
    <row r="161" ht="10.5" customHeight="1">
      <c r="A161" s="131"/>
    </row>
    <row r="162" ht="9" customHeight="1">
      <c r="A162" s="132"/>
    </row>
    <row r="163" spans="1:7" ht="39" thickBot="1">
      <c r="A163" s="132"/>
      <c r="B163" s="280" t="s">
        <v>103</v>
      </c>
      <c r="C163" s="280" t="s">
        <v>104</v>
      </c>
      <c r="D163" s="280" t="s">
        <v>138</v>
      </c>
      <c r="E163" s="278"/>
      <c r="F163" s="278"/>
      <c r="G163" s="278"/>
    </row>
    <row r="164" spans="1:3" ht="15">
      <c r="A164" s="132"/>
      <c r="B164" s="30"/>
      <c r="C164" s="30"/>
    </row>
    <row r="165" spans="1:5" ht="12.75">
      <c r="A165" s="109" t="s">
        <v>136</v>
      </c>
      <c r="B165" s="288"/>
      <c r="C165" s="288"/>
      <c r="D165" s="406">
        <f>$G29</f>
        <v>-236.46305406169114</v>
      </c>
      <c r="E165" s="112"/>
    </row>
    <row r="166" spans="1:5" ht="7.5" customHeight="1">
      <c r="A166" s="112"/>
      <c r="B166" s="281"/>
      <c r="C166" s="281"/>
      <c r="D166" s="282"/>
      <c r="E166" s="112"/>
    </row>
    <row r="167" spans="1:5" ht="12.75">
      <c r="A167" s="109" t="s">
        <v>101</v>
      </c>
      <c r="B167" s="289">
        <v>1</v>
      </c>
      <c r="C167" s="289">
        <v>0</v>
      </c>
      <c r="D167" s="289">
        <f>B167+C167</f>
        <v>1</v>
      </c>
      <c r="E167" s="112"/>
    </row>
    <row r="168" spans="1:5" ht="7.5" customHeight="1">
      <c r="A168" s="112"/>
      <c r="B168" s="283"/>
      <c r="C168" s="283"/>
      <c r="D168" s="283"/>
      <c r="E168" s="112"/>
    </row>
    <row r="169" spans="1:5" ht="13.5" customHeight="1">
      <c r="A169" s="109" t="s">
        <v>137</v>
      </c>
      <c r="B169" s="401">
        <f>$B167*$D165</f>
        <v>-236.46305406169114</v>
      </c>
      <c r="C169" s="401">
        <f>C167*D165</f>
        <v>0</v>
      </c>
      <c r="D169" s="401">
        <f>SUM(B169:C169)</f>
        <v>-236.46305406169114</v>
      </c>
      <c r="E169" s="112"/>
    </row>
    <row r="170" spans="1:5" ht="7.5" customHeight="1">
      <c r="A170" s="112"/>
      <c r="B170" s="284"/>
      <c r="C170" s="284"/>
      <c r="D170" s="284"/>
      <c r="E170" s="112"/>
    </row>
    <row r="171" spans="1:5" ht="13.5" customHeight="1">
      <c r="A171" s="109" t="s">
        <v>162</v>
      </c>
      <c r="B171" s="291">
        <f>$B29</f>
        <v>4135</v>
      </c>
      <c r="C171" s="290"/>
      <c r="D171" s="290"/>
      <c r="E171" s="112"/>
    </row>
    <row r="172" spans="1:5" ht="7.5" customHeight="1">
      <c r="A172" s="112"/>
      <c r="B172" s="285"/>
      <c r="C172" s="284"/>
      <c r="D172" s="284"/>
      <c r="E172" s="112"/>
    </row>
    <row r="173" spans="1:5" ht="13.5" customHeight="1">
      <c r="A173" s="109" t="s">
        <v>178</v>
      </c>
      <c r="B173" s="411">
        <f>IF(ISERROR($B169/$B171),0,$B169/$B171)</f>
        <v>-0.05718574463402446</v>
      </c>
      <c r="C173" s="292"/>
      <c r="D173" s="292"/>
      <c r="E173" s="112"/>
    </row>
    <row r="177" ht="15.75">
      <c r="A177" s="54" t="s">
        <v>232</v>
      </c>
    </row>
    <row r="178" ht="15.75">
      <c r="A178" s="131"/>
    </row>
    <row r="179" ht="15">
      <c r="A179" s="132"/>
    </row>
    <row r="180" spans="1:4" ht="39" thickBot="1">
      <c r="A180" s="132"/>
      <c r="B180" s="280" t="s">
        <v>103</v>
      </c>
      <c r="C180" s="280" t="s">
        <v>104</v>
      </c>
      <c r="D180" s="280" t="s">
        <v>138</v>
      </c>
    </row>
    <row r="181" spans="1:3" ht="15">
      <c r="A181" s="132"/>
      <c r="B181" s="30"/>
      <c r="C181" s="30"/>
    </row>
    <row r="182" spans="1:4" ht="12.75">
      <c r="A182" s="109" t="s">
        <v>136</v>
      </c>
      <c r="B182" s="288"/>
      <c r="C182" s="288"/>
      <c r="D182" s="486">
        <f>$G30</f>
        <v>0</v>
      </c>
    </row>
    <row r="183" spans="1:4" ht="12.75">
      <c r="A183" s="112"/>
      <c r="B183" s="281"/>
      <c r="C183" s="281"/>
      <c r="D183" s="282"/>
    </row>
    <row r="184" spans="1:4" ht="12.75">
      <c r="A184" s="109" t="s">
        <v>101</v>
      </c>
      <c r="B184" s="289">
        <v>1</v>
      </c>
      <c r="C184" s="289">
        <v>0</v>
      </c>
      <c r="D184" s="289">
        <f>B184+C184</f>
        <v>1</v>
      </c>
    </row>
    <row r="185" spans="1:4" ht="12.75">
      <c r="A185" s="112"/>
      <c r="B185" s="283"/>
      <c r="C185" s="283"/>
      <c r="D185" s="283"/>
    </row>
    <row r="186" spans="1:4" ht="12.75">
      <c r="A186" s="109" t="s">
        <v>137</v>
      </c>
      <c r="B186" s="401">
        <f>$B184*$D182</f>
        <v>0</v>
      </c>
      <c r="C186" s="401">
        <f>C184*D182</f>
        <v>0</v>
      </c>
      <c r="D186" s="401">
        <f>SUM(B186:C186)</f>
        <v>0</v>
      </c>
    </row>
    <row r="187" spans="1:4" ht="12.75">
      <c r="A187" s="112"/>
      <c r="B187" s="284"/>
      <c r="C187" s="284"/>
      <c r="D187" s="284"/>
    </row>
    <row r="188" spans="1:4" ht="12.75">
      <c r="A188" s="109" t="s">
        <v>99</v>
      </c>
      <c r="B188" s="487">
        <f>$C30</f>
        <v>0</v>
      </c>
      <c r="C188" s="290"/>
      <c r="D188" s="290"/>
    </row>
    <row r="189" spans="1:4" ht="12.75">
      <c r="A189" s="112"/>
      <c r="B189" s="285"/>
      <c r="C189" s="284"/>
      <c r="D189" s="284"/>
    </row>
    <row r="190" spans="1:4" ht="12.75">
      <c r="A190" s="109" t="s">
        <v>182</v>
      </c>
      <c r="B190" s="411">
        <f>IF(ISERROR($B186/$B188),0,$B186/$B188)</f>
        <v>0</v>
      </c>
      <c r="C190" s="292"/>
      <c r="D190" s="292"/>
    </row>
    <row r="191" spans="1:4" ht="12.75">
      <c r="A191" s="112"/>
      <c r="B191" s="286"/>
      <c r="C191" s="287"/>
      <c r="D191" s="287"/>
    </row>
    <row r="192" spans="1:4" ht="15">
      <c r="A192" s="132"/>
      <c r="B192" s="56"/>
      <c r="C192" s="56"/>
      <c r="D192" s="56"/>
    </row>
    <row r="193" spans="2:4" ht="12.75">
      <c r="B193" s="56"/>
      <c r="C193" s="56"/>
      <c r="D193" s="56"/>
    </row>
    <row r="194" ht="15.75">
      <c r="A194" s="54" t="s">
        <v>233</v>
      </c>
    </row>
    <row r="195" ht="15.75">
      <c r="A195" s="131"/>
    </row>
    <row r="196" ht="15">
      <c r="A196" s="132"/>
    </row>
    <row r="197" spans="1:4" ht="39" thickBot="1">
      <c r="A197" s="132"/>
      <c r="B197" s="280" t="s">
        <v>103</v>
      </c>
      <c r="C197" s="280" t="s">
        <v>104</v>
      </c>
      <c r="D197" s="280" t="s">
        <v>138</v>
      </c>
    </row>
    <row r="198" spans="1:3" ht="15">
      <c r="A198" s="132"/>
      <c r="B198" s="30"/>
      <c r="C198" s="30"/>
    </row>
    <row r="199" spans="1:4" ht="12.75">
      <c r="A199" s="109" t="s">
        <v>136</v>
      </c>
      <c r="B199" s="288"/>
      <c r="C199" s="288"/>
      <c r="D199" s="486">
        <f>$G31</f>
        <v>0</v>
      </c>
    </row>
    <row r="200" spans="1:4" ht="12.75">
      <c r="A200" s="112"/>
      <c r="B200" s="281"/>
      <c r="C200" s="281"/>
      <c r="D200" s="282"/>
    </row>
    <row r="201" spans="1:4" ht="12.75">
      <c r="A201" s="109" t="s">
        <v>101</v>
      </c>
      <c r="B201" s="289">
        <v>1</v>
      </c>
      <c r="C201" s="289">
        <v>0</v>
      </c>
      <c r="D201" s="289">
        <f>B201+C201</f>
        <v>1</v>
      </c>
    </row>
    <row r="202" spans="1:4" ht="12.75">
      <c r="A202" s="112"/>
      <c r="B202" s="283"/>
      <c r="C202" s="283"/>
      <c r="D202" s="283"/>
    </row>
    <row r="203" spans="1:4" ht="12.75">
      <c r="A203" s="109" t="s">
        <v>137</v>
      </c>
      <c r="B203" s="401">
        <f>$B201*$D199</f>
        <v>0</v>
      </c>
      <c r="C203" s="401">
        <f>C201*D199</f>
        <v>0</v>
      </c>
      <c r="D203" s="401">
        <f>SUM(B203:C203)</f>
        <v>0</v>
      </c>
    </row>
    <row r="204" spans="1:4" ht="12.75">
      <c r="A204" s="112"/>
      <c r="B204" s="284"/>
      <c r="C204" s="284"/>
      <c r="D204" s="284"/>
    </row>
    <row r="205" spans="1:4" ht="12.75">
      <c r="A205" s="109" t="s">
        <v>99</v>
      </c>
      <c r="B205" s="487">
        <f>$C31</f>
        <v>0</v>
      </c>
      <c r="C205" s="290"/>
      <c r="D205" s="290"/>
    </row>
    <row r="206" spans="1:4" ht="12.75">
      <c r="A206" s="112"/>
      <c r="B206" s="285"/>
      <c r="C206" s="284"/>
      <c r="D206" s="284"/>
    </row>
    <row r="207" spans="1:4" ht="12.75">
      <c r="A207" s="109" t="s">
        <v>182</v>
      </c>
      <c r="B207" s="411">
        <f>IF(ISERROR($B203/$B205),0,$B203/$B205)</f>
        <v>0</v>
      </c>
      <c r="C207" s="292"/>
      <c r="D207" s="292"/>
    </row>
    <row r="208" spans="1:4" ht="12.75">
      <c r="A208" s="112"/>
      <c r="B208" s="286"/>
      <c r="C208" s="287"/>
      <c r="D208" s="287"/>
    </row>
    <row r="209" spans="1:4" ht="15">
      <c r="A209" s="132"/>
      <c r="B209" s="56"/>
      <c r="C209" s="56"/>
      <c r="D209" s="56"/>
    </row>
    <row r="210" spans="2:4" ht="12.75">
      <c r="B210" s="56"/>
      <c r="C210" s="56"/>
      <c r="D210" s="56"/>
    </row>
    <row r="211" ht="15.75">
      <c r="A211" s="54" t="s">
        <v>234</v>
      </c>
    </row>
    <row r="212" ht="15.75">
      <c r="A212" s="131"/>
    </row>
    <row r="213" ht="15">
      <c r="A213" s="132"/>
    </row>
    <row r="214" spans="1:4" ht="39" thickBot="1">
      <c r="A214" s="132"/>
      <c r="B214" s="280" t="s">
        <v>103</v>
      </c>
      <c r="C214" s="280" t="s">
        <v>104</v>
      </c>
      <c r="D214" s="280" t="s">
        <v>138</v>
      </c>
    </row>
    <row r="215" spans="1:3" ht="15">
      <c r="A215" s="132"/>
      <c r="B215" s="30"/>
      <c r="C215" s="30"/>
    </row>
    <row r="216" spans="1:4" ht="12.75">
      <c r="A216" s="109" t="s">
        <v>136</v>
      </c>
      <c r="B216" s="288"/>
      <c r="C216" s="288"/>
      <c r="D216" s="486">
        <f>$G32</f>
        <v>0</v>
      </c>
    </row>
    <row r="217" spans="1:4" ht="12.75">
      <c r="A217" s="112"/>
      <c r="B217" s="281"/>
      <c r="C217" s="281"/>
      <c r="D217" s="282"/>
    </row>
    <row r="218" spans="1:4" ht="12.75">
      <c r="A218" s="109" t="s">
        <v>101</v>
      </c>
      <c r="B218" s="289">
        <v>1</v>
      </c>
      <c r="C218" s="289">
        <v>0</v>
      </c>
      <c r="D218" s="289">
        <f>B218+C218</f>
        <v>1</v>
      </c>
    </row>
    <row r="219" spans="1:4" ht="12.75">
      <c r="A219" s="112"/>
      <c r="B219" s="283"/>
      <c r="C219" s="283"/>
      <c r="D219" s="283"/>
    </row>
    <row r="220" spans="1:4" ht="12.75">
      <c r="A220" s="109" t="s">
        <v>137</v>
      </c>
      <c r="B220" s="401">
        <f>$B218*$D216</f>
        <v>0</v>
      </c>
      <c r="C220" s="401">
        <f>C218*D216</f>
        <v>0</v>
      </c>
      <c r="D220" s="401">
        <f>SUM(B220:C220)</f>
        <v>0</v>
      </c>
    </row>
    <row r="221" spans="1:4" ht="12.75">
      <c r="A221" s="112"/>
      <c r="B221" s="284"/>
      <c r="C221" s="284"/>
      <c r="D221" s="284"/>
    </row>
    <row r="222" spans="1:4" ht="12.75">
      <c r="A222" s="109" t="s">
        <v>162</v>
      </c>
      <c r="B222" s="487">
        <f>$B32</f>
        <v>0</v>
      </c>
      <c r="C222" s="290"/>
      <c r="D222" s="290"/>
    </row>
    <row r="223" spans="1:4" ht="12.75">
      <c r="A223" s="112"/>
      <c r="B223" s="285"/>
      <c r="C223" s="284"/>
      <c r="D223" s="284"/>
    </row>
    <row r="224" spans="1:4" ht="12.75">
      <c r="A224" s="109" t="s">
        <v>178</v>
      </c>
      <c r="B224" s="411">
        <f>IF(ISERROR($B220/$B222),0,$B220/$B222)</f>
        <v>0</v>
      </c>
      <c r="C224" s="292"/>
      <c r="D224" s="292"/>
    </row>
    <row r="225" spans="1:4" ht="12.75">
      <c r="A225" s="294"/>
      <c r="B225" s="295"/>
      <c r="C225" s="296"/>
      <c r="D225" s="295"/>
    </row>
    <row r="226" spans="1:4" ht="12.75">
      <c r="A226" s="294"/>
      <c r="B226" s="295"/>
      <c r="C226" s="296"/>
      <c r="D226" s="295"/>
    </row>
    <row r="228" ht="15.75">
      <c r="A228" s="54" t="s">
        <v>235</v>
      </c>
    </row>
    <row r="229" ht="15.75">
      <c r="A229" s="131"/>
    </row>
    <row r="230" ht="15">
      <c r="A230" s="132"/>
    </row>
    <row r="231" spans="1:4" ht="39" thickBot="1">
      <c r="A231" s="132"/>
      <c r="B231" s="280" t="s">
        <v>103</v>
      </c>
      <c r="C231" s="280" t="s">
        <v>104</v>
      </c>
      <c r="D231" s="280" t="s">
        <v>138</v>
      </c>
    </row>
    <row r="232" spans="1:3" ht="15">
      <c r="A232" s="132"/>
      <c r="B232" s="30"/>
      <c r="C232" s="30"/>
    </row>
    <row r="233" spans="1:4" ht="12.75">
      <c r="A233" s="109" t="s">
        <v>136</v>
      </c>
      <c r="B233" s="288"/>
      <c r="C233" s="288"/>
      <c r="D233" s="486">
        <f>$G33</f>
        <v>0</v>
      </c>
    </row>
    <row r="234" spans="1:4" ht="12.75">
      <c r="A234" s="112"/>
      <c r="B234" s="281"/>
      <c r="C234" s="281"/>
      <c r="D234" s="282"/>
    </row>
    <row r="235" spans="1:4" ht="12.75">
      <c r="A235" s="109" t="s">
        <v>101</v>
      </c>
      <c r="B235" s="289">
        <v>1</v>
      </c>
      <c r="C235" s="289">
        <v>0</v>
      </c>
      <c r="D235" s="289">
        <f>B235+C235</f>
        <v>1</v>
      </c>
    </row>
    <row r="236" spans="1:4" ht="12.75">
      <c r="A236" s="112"/>
      <c r="B236" s="283"/>
      <c r="C236" s="283"/>
      <c r="D236" s="283"/>
    </row>
    <row r="237" spans="1:4" ht="12.75">
      <c r="A237" s="109" t="s">
        <v>137</v>
      </c>
      <c r="B237" s="401">
        <f>$B235*$D233</f>
        <v>0</v>
      </c>
      <c r="C237" s="401">
        <f>C235*D233</f>
        <v>0</v>
      </c>
      <c r="D237" s="401">
        <f>SUM(B237:C237)</f>
        <v>0</v>
      </c>
    </row>
    <row r="238" spans="1:4" ht="12.75">
      <c r="A238" s="112"/>
      <c r="B238" s="284"/>
      <c r="C238" s="284"/>
      <c r="D238" s="284"/>
    </row>
    <row r="239" spans="1:4" ht="12.75">
      <c r="A239" s="109" t="s">
        <v>99</v>
      </c>
      <c r="B239" s="487">
        <f>$C33</f>
        <v>0</v>
      </c>
      <c r="C239" s="290"/>
      <c r="D239" s="290"/>
    </row>
    <row r="240" spans="1:4" ht="12.75">
      <c r="A240" s="112"/>
      <c r="B240" s="285"/>
      <c r="C240" s="284"/>
      <c r="D240" s="284"/>
    </row>
    <row r="241" spans="1:4" ht="12.75">
      <c r="A241" s="109" t="s">
        <v>182</v>
      </c>
      <c r="B241" s="411">
        <f>IF(ISERROR($B237/$B239),0,$B237/$B239)</f>
        <v>0</v>
      </c>
      <c r="C241" s="292"/>
      <c r="D241" s="292"/>
    </row>
  </sheetData>
  <sheetProtection/>
  <mergeCells count="3">
    <mergeCell ref="A14:D14"/>
    <mergeCell ref="C36:F36"/>
    <mergeCell ref="B7:C7"/>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4" max="255" man="1"/>
    <brk id="142"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241"/>
  <sheetViews>
    <sheetView zoomScale="75" zoomScaleNormal="75" zoomScalePageLayoutView="0" workbookViewId="0" topLeftCell="A4">
      <selection activeCell="B139" sqref="B139"/>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183</v>
      </c>
    </row>
    <row r="2" ht="18.75" thickBot="1">
      <c r="A2" s="116"/>
    </row>
    <row r="3" spans="1:7" ht="18">
      <c r="A3" s="300" t="str">
        <f>"Name of Utility:      "&amp;'Info Sheet'!B4</f>
        <v>Name of Utility:      Brant County Power</v>
      </c>
      <c r="B3" s="301"/>
      <c r="C3" s="389"/>
      <c r="D3" s="455" t="str">
        <f>'Info Sheet'!$B$21</f>
        <v>2005.V1.0</v>
      </c>
      <c r="E3" s="36"/>
      <c r="F3" s="116"/>
      <c r="G3" s="117"/>
    </row>
    <row r="4" spans="1:7" ht="18">
      <c r="A4" s="302" t="str">
        <f>"License Number:   "&amp;'Info Sheet'!B6</f>
        <v>License Number:   ED 1999-0191</v>
      </c>
      <c r="B4" s="27"/>
      <c r="C4" s="390"/>
      <c r="D4" s="394" t="str">
        <f>'Info Sheet'!B8</f>
        <v>RP-2005-0013</v>
      </c>
      <c r="E4" s="36"/>
      <c r="F4" s="116"/>
      <c r="G4" s="117"/>
    </row>
    <row r="5" spans="1:4" ht="15.75">
      <c r="A5" s="302" t="str">
        <f>"Name of Contact:  "&amp;'Info Sheet'!B12</f>
        <v>Name of Contact:  Grant Brooker</v>
      </c>
      <c r="B5" s="387"/>
      <c r="C5" s="387"/>
      <c r="D5" s="394" t="str">
        <f>'Info Sheet'!B10</f>
        <v>EB-2005-0009</v>
      </c>
    </row>
    <row r="6" spans="1:4" ht="18">
      <c r="A6" s="303" t="str">
        <f>"E- Mail Address:    "&amp;'Info Sheet'!B14</f>
        <v>E- Mail Address:    gbrooker@brantcountypower.com</v>
      </c>
      <c r="B6" s="27"/>
      <c r="C6" s="391"/>
      <c r="D6" s="100"/>
    </row>
    <row r="7" spans="1:4" ht="15.75">
      <c r="A7" s="302" t="str">
        <f>"Phone Number:     "&amp;'Info Sheet'!B16</f>
        <v>Phone Number:     519 442 2215</v>
      </c>
      <c r="B7" s="652" t="str">
        <f>'Info Sheet'!$C$16&amp;" "&amp;'Info Sheet'!$D$16</f>
        <v>Extension: 734</v>
      </c>
      <c r="C7" s="652"/>
      <c r="D7" s="100"/>
    </row>
    <row r="8" spans="1:4" ht="16.5" thickBot="1">
      <c r="A8" s="304" t="str">
        <f>"Date:                      "&amp;('Info Sheet'!B18)</f>
        <v>Date:                      January 17, 2005</v>
      </c>
      <c r="B8" s="305"/>
      <c r="C8" s="392"/>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657" t="s">
        <v>133</v>
      </c>
      <c r="B14" s="657"/>
      <c r="C14" s="657"/>
      <c r="D14" s="657"/>
      <c r="E14" s="34"/>
      <c r="F14" s="261"/>
      <c r="G14" s="382">
        <f>IF('6. Dec. 31, 2003 Reg. Assets'!D59="N/A",'6. Dec. 31, 2003 Reg. Assets'!D76,0)</f>
        <v>770181.2237825446</v>
      </c>
    </row>
    <row r="15" spans="1:7" ht="14.25">
      <c r="A15" s="141"/>
      <c r="B15" s="142"/>
      <c r="C15" s="143"/>
      <c r="D15" s="144"/>
      <c r="E15" s="144"/>
      <c r="F15" s="56"/>
      <c r="G15" s="56"/>
    </row>
    <row r="16" ht="12.75">
      <c r="C16" s="120"/>
    </row>
    <row r="17" spans="1:7" ht="15">
      <c r="A17" s="383" t="s">
        <v>184</v>
      </c>
      <c r="B17" s="138"/>
      <c r="C17" s="138"/>
      <c r="D17" s="138"/>
      <c r="E17" s="138"/>
      <c r="F17" s="138"/>
      <c r="G17" s="138"/>
    </row>
    <row r="18" spans="2:7" ht="12.75">
      <c r="B18" s="138"/>
      <c r="C18" s="138"/>
      <c r="D18" s="138"/>
      <c r="E18" s="138"/>
      <c r="F18" s="138"/>
      <c r="G18" s="138"/>
    </row>
    <row r="19" ht="13.5" thickBot="1"/>
    <row r="20" spans="1:8" ht="39" thickBot="1">
      <c r="A20" s="151" t="s">
        <v>174</v>
      </c>
      <c r="B20" s="152" t="s">
        <v>10</v>
      </c>
      <c r="C20" s="152" t="s">
        <v>11</v>
      </c>
      <c r="D20" s="152" t="s">
        <v>20</v>
      </c>
      <c r="E20" s="152" t="s">
        <v>12</v>
      </c>
      <c r="F20" s="152" t="s">
        <v>96</v>
      </c>
      <c r="G20" s="153" t="s">
        <v>70</v>
      </c>
      <c r="H20" s="121"/>
    </row>
    <row r="21" spans="1:7" ht="12.75">
      <c r="A21" s="86"/>
      <c r="B21" s="31"/>
      <c r="C21" s="122"/>
      <c r="D21" s="122"/>
      <c r="E21" s="31"/>
      <c r="F21" s="31"/>
      <c r="G21" s="100"/>
    </row>
    <row r="22" spans="1:8" ht="12.75">
      <c r="A22" s="148" t="s">
        <v>222</v>
      </c>
      <c r="B22" s="308" t="str">
        <f>'4. 2003 Data &amp; 2005 PILs'!B22</f>
        <v>-</v>
      </c>
      <c r="C22" s="308">
        <f>'4. 2003 Data &amp; 2005 PILs'!C22</f>
        <v>86727772</v>
      </c>
      <c r="D22" s="308">
        <f>'4. 2003 Data &amp; 2005 PILs'!D22</f>
        <v>7259</v>
      </c>
      <c r="E22" s="422">
        <f>'4. 2003 Data &amp; 2005 PILs'!E22</f>
        <v>1884225</v>
      </c>
      <c r="F22" s="264">
        <f>IF(ISERROR(E22/E$35),"",E22/E$35)</f>
        <v>0.49431552558302067</v>
      </c>
      <c r="G22" s="418">
        <f>IF(ISERROR($G$36*F22),0,$G$36*F22)</f>
        <v>380712.5364282426</v>
      </c>
      <c r="H22" s="266"/>
    </row>
    <row r="23" spans="1:8" ht="12.75">
      <c r="A23" s="148" t="s">
        <v>223</v>
      </c>
      <c r="B23" s="308" t="str">
        <f>'4. 2003 Data &amp; 2005 PILs'!B23</f>
        <v>-</v>
      </c>
      <c r="C23" s="308">
        <f>'4. 2003 Data &amp; 2005 PILs'!C23</f>
        <v>34235816</v>
      </c>
      <c r="D23" s="308">
        <f>'4. 2003 Data &amp; 2005 PILs'!D23</f>
        <v>1316</v>
      </c>
      <c r="E23" s="422">
        <f>'4. 2003 Data &amp; 2005 PILs'!E23</f>
        <v>662208</v>
      </c>
      <c r="F23" s="264">
        <f aca="true" t="shared" si="0" ref="F23:F33">IF(ISERROR(E23/E$35),"",E23/E$35)</f>
        <v>0.17372643689860867</v>
      </c>
      <c r="G23" s="418">
        <f aca="true" t="shared" si="1" ref="G23:G33">IF(ISERROR($G$36*F23),0,$G$36*F23)</f>
        <v>133800.83977395145</v>
      </c>
      <c r="H23" s="266"/>
    </row>
    <row r="24" spans="1:8" ht="12.75">
      <c r="A24" s="148" t="s">
        <v>224</v>
      </c>
      <c r="B24" s="308">
        <f>'4. 2003 Data &amp; 2005 PILs'!B24</f>
        <v>313433.7</v>
      </c>
      <c r="C24" s="308">
        <f>'4. 2003 Data &amp; 2005 PILs'!C24</f>
        <v>103213998</v>
      </c>
      <c r="D24" s="308">
        <f>'4. 2003 Data &amp; 2005 PILs'!D24</f>
        <v>165</v>
      </c>
      <c r="E24" s="422">
        <f>'4. 2003 Data &amp; 2005 PILs'!E24</f>
        <v>1204817</v>
      </c>
      <c r="F24" s="264">
        <f t="shared" si="0"/>
        <v>0.31607676821311587</v>
      </c>
      <c r="G24" s="418">
        <f t="shared" si="1"/>
        <v>243436.39215160927</v>
      </c>
      <c r="H24" s="266"/>
    </row>
    <row r="25" spans="1:8" ht="12.75">
      <c r="A25" s="148" t="s">
        <v>71</v>
      </c>
      <c r="B25" s="308">
        <f>'4. 2003 Data &amp; 2005 PILs'!B25</f>
        <v>0</v>
      </c>
      <c r="C25" s="308">
        <f>'4. 2003 Data &amp; 2005 PILs'!C25</f>
        <v>0</v>
      </c>
      <c r="D25" s="308">
        <f>'4. 2003 Data &amp; 2005 PILs'!D25</f>
        <v>0</v>
      </c>
      <c r="E25" s="422">
        <f>'4. 2003 Data &amp; 2005 PILs'!E25</f>
        <v>0</v>
      </c>
      <c r="F25" s="264">
        <f t="shared" si="0"/>
        <v>0</v>
      </c>
      <c r="G25" s="418">
        <f t="shared" si="1"/>
        <v>0</v>
      </c>
      <c r="H25" s="268"/>
    </row>
    <row r="26" spans="1:8" ht="12.75">
      <c r="A26" s="148" t="s">
        <v>152</v>
      </c>
      <c r="B26" s="308">
        <f>'4. 2003 Data &amp; 2005 PILs'!B26</f>
        <v>4708.7</v>
      </c>
      <c r="C26" s="308">
        <f>'4. 2003 Data &amp; 2005 PILs'!C26</f>
        <v>2202432</v>
      </c>
      <c r="D26" s="308">
        <f>'4. 2003 Data &amp; 2005 PILs'!D26</f>
        <v>1</v>
      </c>
      <c r="E26" s="422">
        <f>'4. 2003 Data &amp; 2005 PILs'!E26</f>
        <v>0</v>
      </c>
      <c r="F26" s="264">
        <f t="shared" si="0"/>
        <v>0</v>
      </c>
      <c r="G26" s="418">
        <f t="shared" si="1"/>
        <v>0</v>
      </c>
      <c r="H26" s="268"/>
    </row>
    <row r="27" spans="1:8" ht="12.75">
      <c r="A27" s="148" t="s">
        <v>72</v>
      </c>
      <c r="B27" s="308">
        <f>'4. 2003 Data &amp; 2005 PILs'!B27</f>
        <v>188772.4</v>
      </c>
      <c r="C27" s="308">
        <f>'4. 2003 Data &amp; 2005 PILs'!C27</f>
        <v>0</v>
      </c>
      <c r="D27" s="308">
        <f>'4. 2003 Data &amp; 2005 PILs'!D27</f>
        <v>1</v>
      </c>
      <c r="E27" s="422">
        <f>'4. 2003 Data &amp; 2005 PILs'!E27</f>
        <v>12940</v>
      </c>
      <c r="F27" s="264">
        <f t="shared" si="0"/>
        <v>0.0033947341220099975</v>
      </c>
      <c r="G27" s="418">
        <f t="shared" si="1"/>
        <v>2614.560480506022</v>
      </c>
      <c r="H27" s="268"/>
    </row>
    <row r="28" spans="1:8" ht="12.75">
      <c r="A28" s="148" t="s">
        <v>73</v>
      </c>
      <c r="B28" s="308">
        <f>'4. 2003 Data &amp; 2005 PILs'!B28</f>
        <v>0</v>
      </c>
      <c r="C28" s="308">
        <f>'4. 2003 Data &amp; 2005 PILs'!C28</f>
        <v>245383</v>
      </c>
      <c r="D28" s="308">
        <f>'4. 2003 Data &amp; 2005 PILs'!D28</f>
        <v>250</v>
      </c>
      <c r="E28" s="422">
        <f>'4. 2003 Data &amp; 2005 PILs'!E28</f>
        <v>9097</v>
      </c>
      <c r="F28" s="264">
        <f t="shared" si="0"/>
        <v>0.0023865453097314487</v>
      </c>
      <c r="G28" s="418">
        <f t="shared" si="1"/>
        <v>1838.0723872614592</v>
      </c>
      <c r="H28" s="266"/>
    </row>
    <row r="29" spans="1:8" ht="12.75">
      <c r="A29" s="148" t="s">
        <v>74</v>
      </c>
      <c r="B29" s="308">
        <f>'4. 2003 Data &amp; 2005 PILs'!B29</f>
        <v>4135</v>
      </c>
      <c r="C29" s="308">
        <f>'4. 2003 Data &amp; 2005 PILs'!C29</f>
        <v>1665850</v>
      </c>
      <c r="D29" s="308">
        <f>'4. 2003 Data &amp; 2005 PILs'!D29</f>
        <v>2</v>
      </c>
      <c r="E29" s="422">
        <f>'4. 2003 Data &amp; 2005 PILs'!E29</f>
        <v>38499</v>
      </c>
      <c r="F29" s="264">
        <f t="shared" si="0"/>
        <v>0.01009998987351336</v>
      </c>
      <c r="G29" s="418">
        <f t="shared" si="1"/>
        <v>7778.822560973828</v>
      </c>
      <c r="H29" s="269"/>
    </row>
    <row r="30" spans="1:8" ht="12.75">
      <c r="A30" s="148" t="s">
        <v>225</v>
      </c>
      <c r="B30" s="308">
        <f>'4. 2003 Data &amp; 2005 PILs'!B30</f>
        <v>0</v>
      </c>
      <c r="C30" s="308">
        <f>'4. 2003 Data &amp; 2005 PILs'!C30</f>
        <v>0</v>
      </c>
      <c r="D30" s="308">
        <f>'4. 2003 Data &amp; 2005 PILs'!D30</f>
        <v>0</v>
      </c>
      <c r="E30" s="422">
        <f>'4. 2003 Data &amp; 2005 PILs'!E30</f>
        <v>0</v>
      </c>
      <c r="F30" s="264">
        <f t="shared" si="0"/>
        <v>0</v>
      </c>
      <c r="G30" s="418">
        <f t="shared" si="1"/>
        <v>0</v>
      </c>
      <c r="H30" s="269"/>
    </row>
    <row r="31" spans="1:8" ht="12.75">
      <c r="A31" s="148" t="s">
        <v>226</v>
      </c>
      <c r="B31" s="308">
        <f>'4. 2003 Data &amp; 2005 PILs'!B31</f>
        <v>0</v>
      </c>
      <c r="C31" s="308">
        <f>'4. 2003 Data &amp; 2005 PILs'!C31</f>
        <v>0</v>
      </c>
      <c r="D31" s="308">
        <f>'4. 2003 Data &amp; 2005 PILs'!D31</f>
        <v>0</v>
      </c>
      <c r="E31" s="422">
        <f>'4. 2003 Data &amp; 2005 PILs'!E31</f>
        <v>0</v>
      </c>
      <c r="F31" s="264">
        <f t="shared" si="0"/>
        <v>0</v>
      </c>
      <c r="G31" s="418">
        <f t="shared" si="1"/>
        <v>0</v>
      </c>
      <c r="H31" s="269"/>
    </row>
    <row r="32" spans="1:8" ht="12.75">
      <c r="A32" s="148" t="s">
        <v>227</v>
      </c>
      <c r="B32" s="308">
        <f>'4. 2003 Data &amp; 2005 PILs'!B32</f>
        <v>0</v>
      </c>
      <c r="C32" s="308">
        <f>'4. 2003 Data &amp; 2005 PILs'!C32</f>
        <v>0</v>
      </c>
      <c r="D32" s="308">
        <f>'4. 2003 Data &amp; 2005 PILs'!D32</f>
        <v>0</v>
      </c>
      <c r="E32" s="422">
        <f>'4. 2003 Data &amp; 2005 PILs'!E32</f>
        <v>0</v>
      </c>
      <c r="F32" s="264">
        <f t="shared" si="0"/>
        <v>0</v>
      </c>
      <c r="G32" s="418">
        <f t="shared" si="1"/>
        <v>0</v>
      </c>
      <c r="H32" s="269"/>
    </row>
    <row r="33" spans="1:8" ht="12.75">
      <c r="A33" s="148" t="s">
        <v>228</v>
      </c>
      <c r="B33" s="360">
        <f>'4. 2003 Data &amp; 2005 PILs'!B33</f>
        <v>0</v>
      </c>
      <c r="C33" s="360">
        <f>'4. 2003 Data &amp; 2005 PILs'!C33</f>
        <v>0</v>
      </c>
      <c r="D33" s="360">
        <f>'4. 2003 Data &amp; 2005 PILs'!D33</f>
        <v>0</v>
      </c>
      <c r="E33" s="423">
        <f>'4. 2003 Data &amp; 2005 PILs'!E33</f>
        <v>0</v>
      </c>
      <c r="F33" s="272">
        <f t="shared" si="0"/>
        <v>0</v>
      </c>
      <c r="G33" s="419">
        <f t="shared" si="1"/>
        <v>0</v>
      </c>
      <c r="H33" s="269"/>
    </row>
    <row r="34" spans="1:8" ht="12.75">
      <c r="A34" s="148"/>
      <c r="B34" s="262"/>
      <c r="C34" s="273"/>
      <c r="D34" s="274"/>
      <c r="E34" s="424"/>
      <c r="F34" s="275"/>
      <c r="G34" s="418"/>
      <c r="H34" s="56"/>
    </row>
    <row r="35" spans="1:8" ht="12.75">
      <c r="A35" s="148" t="s">
        <v>13</v>
      </c>
      <c r="B35" s="31"/>
      <c r="C35" s="154">
        <f>SUM(C22:C33)</f>
        <v>228291251</v>
      </c>
      <c r="D35" s="154">
        <f>SUM(D22:D33)</f>
        <v>8994</v>
      </c>
      <c r="E35" s="425">
        <f>SUM(E22:E33)</f>
        <v>3811786</v>
      </c>
      <c r="F35" s="156">
        <f>SUM(F22:F33)</f>
        <v>1</v>
      </c>
      <c r="G35" s="420">
        <f>SUM(G22:G33)</f>
        <v>770181.2237825446</v>
      </c>
      <c r="H35" s="56"/>
    </row>
    <row r="36" spans="1:8" ht="12.75">
      <c r="A36" s="86"/>
      <c r="B36" s="31"/>
      <c r="C36" s="659" t="s">
        <v>147</v>
      </c>
      <c r="D36" s="659"/>
      <c r="E36" s="659"/>
      <c r="F36" s="660"/>
      <c r="G36" s="421">
        <f>G14</f>
        <v>770181.2237825446</v>
      </c>
      <c r="H36" s="276"/>
    </row>
    <row r="37" spans="1:7" ht="13.5" thickBot="1">
      <c r="A37" s="94"/>
      <c r="B37" s="149"/>
      <c r="C37" s="149"/>
      <c r="D37" s="149"/>
      <c r="E37" s="149"/>
      <c r="F37" s="149"/>
      <c r="G37" s="150"/>
    </row>
    <row r="39" ht="15.75">
      <c r="A39" s="164" t="s">
        <v>181</v>
      </c>
    </row>
    <row r="40" ht="15.75">
      <c r="A40" s="54"/>
    </row>
    <row r="41" ht="15.75">
      <c r="A41" s="54" t="s">
        <v>229</v>
      </c>
    </row>
    <row r="42" ht="10.5" customHeight="1">
      <c r="A42" s="131"/>
    </row>
    <row r="43" ht="9" customHeight="1">
      <c r="A43" s="132"/>
    </row>
    <row r="44" spans="1:7" ht="39" thickBot="1">
      <c r="A44" s="132"/>
      <c r="B44" s="280" t="s">
        <v>103</v>
      </c>
      <c r="C44" s="280" t="s">
        <v>104</v>
      </c>
      <c r="D44" s="280" t="s">
        <v>138</v>
      </c>
      <c r="E44" s="278"/>
      <c r="F44" s="278"/>
      <c r="G44" s="278"/>
    </row>
    <row r="45" spans="1:3" ht="15">
      <c r="A45" s="132"/>
      <c r="B45" s="30"/>
      <c r="C45" s="30"/>
    </row>
    <row r="46" spans="1:5" ht="12.75">
      <c r="A46" s="109" t="s">
        <v>136</v>
      </c>
      <c r="B46" s="288"/>
      <c r="C46" s="288"/>
      <c r="D46" s="406">
        <f>$G22</f>
        <v>380712.5364282426</v>
      </c>
      <c r="E46" s="112"/>
    </row>
    <row r="47" spans="1:5" ht="7.5" customHeight="1">
      <c r="A47" s="112"/>
      <c r="B47" s="281"/>
      <c r="C47" s="281"/>
      <c r="D47" s="282"/>
      <c r="E47" s="112"/>
    </row>
    <row r="48" spans="1:5" ht="12.75">
      <c r="A48" s="109" t="s">
        <v>101</v>
      </c>
      <c r="B48" s="289">
        <v>1</v>
      </c>
      <c r="C48" s="289">
        <v>0</v>
      </c>
      <c r="D48" s="289">
        <f>B48+C48</f>
        <v>1</v>
      </c>
      <c r="E48" s="112"/>
    </row>
    <row r="49" spans="1:5" ht="7.5" customHeight="1">
      <c r="A49" s="112"/>
      <c r="B49" s="283"/>
      <c r="C49" s="283"/>
      <c r="D49" s="283"/>
      <c r="E49" s="112"/>
    </row>
    <row r="50" spans="1:5" ht="13.5" customHeight="1">
      <c r="A50" s="109" t="s">
        <v>137</v>
      </c>
      <c r="B50" s="401">
        <f>$B48*$D46</f>
        <v>380712.5364282426</v>
      </c>
      <c r="C50" s="401">
        <f>C48*D46</f>
        <v>0</v>
      </c>
      <c r="D50" s="401">
        <f>SUM(B50:C50)</f>
        <v>380712.5364282426</v>
      </c>
      <c r="E50" s="112"/>
    </row>
    <row r="51" spans="1:5" ht="7.5" customHeight="1">
      <c r="A51" s="112"/>
      <c r="B51" s="284"/>
      <c r="C51" s="284"/>
      <c r="D51" s="284"/>
      <c r="E51" s="112"/>
    </row>
    <row r="52" spans="1:5" ht="13.5" customHeight="1">
      <c r="A52" s="109" t="s">
        <v>99</v>
      </c>
      <c r="B52" s="487">
        <f>$C22</f>
        <v>86727772</v>
      </c>
      <c r="C52" s="290"/>
      <c r="D52" s="290"/>
      <c r="E52" s="112"/>
    </row>
    <row r="53" spans="1:5" ht="7.5" customHeight="1">
      <c r="A53" s="112"/>
      <c r="B53" s="285"/>
      <c r="C53" s="284"/>
      <c r="D53" s="284"/>
      <c r="E53" s="112"/>
    </row>
    <row r="54" spans="1:5" ht="13.5" customHeight="1">
      <c r="A54" s="109" t="s">
        <v>182</v>
      </c>
      <c r="B54" s="411">
        <f>IF(ISERROR($B50/$B52),0,$B50/$B52)</f>
        <v>0.004389741920595431</v>
      </c>
      <c r="C54" s="292"/>
      <c r="D54" s="292"/>
      <c r="E54" s="112"/>
    </row>
    <row r="55" spans="1:5" ht="12.75">
      <c r="A55" s="112"/>
      <c r="B55" s="286"/>
      <c r="C55" s="287"/>
      <c r="D55" s="287"/>
      <c r="E55" s="112"/>
    </row>
    <row r="56" spans="1:4" ht="15">
      <c r="A56" s="132"/>
      <c r="B56" s="56"/>
      <c r="C56" s="56"/>
      <c r="D56" s="56"/>
    </row>
    <row r="57" spans="2:4" ht="12.75">
      <c r="B57" s="56"/>
      <c r="C57" s="56"/>
      <c r="D57" s="56"/>
    </row>
    <row r="58" ht="15.75">
      <c r="A58" s="54" t="s">
        <v>230</v>
      </c>
    </row>
    <row r="59" ht="10.5" customHeight="1">
      <c r="A59" s="131"/>
    </row>
    <row r="60" ht="9" customHeight="1">
      <c r="A60" s="132"/>
    </row>
    <row r="61" spans="1:7" ht="39" thickBot="1">
      <c r="A61" s="132"/>
      <c r="B61" s="280" t="s">
        <v>103</v>
      </c>
      <c r="C61" s="280" t="s">
        <v>104</v>
      </c>
      <c r="D61" s="280" t="s">
        <v>138</v>
      </c>
      <c r="E61" s="278"/>
      <c r="F61" s="278"/>
      <c r="G61" s="278"/>
    </row>
    <row r="62" spans="1:3" ht="15">
      <c r="A62" s="132"/>
      <c r="B62" s="30"/>
      <c r="C62" s="30"/>
    </row>
    <row r="63" spans="1:5" ht="12.75">
      <c r="A63" s="109" t="s">
        <v>136</v>
      </c>
      <c r="B63" s="288"/>
      <c r="C63" s="288"/>
      <c r="D63" s="406">
        <f>$G23</f>
        <v>133800.83977395145</v>
      </c>
      <c r="E63" s="112"/>
    </row>
    <row r="64" spans="1:5" ht="7.5" customHeight="1">
      <c r="A64" s="112"/>
      <c r="B64" s="281"/>
      <c r="C64" s="281"/>
      <c r="D64" s="282"/>
      <c r="E64" s="112"/>
    </row>
    <row r="65" spans="1:5" ht="12.75">
      <c r="A65" s="109" t="s">
        <v>101</v>
      </c>
      <c r="B65" s="289">
        <v>1</v>
      </c>
      <c r="C65" s="289">
        <v>0</v>
      </c>
      <c r="D65" s="289">
        <f>B65+C65</f>
        <v>1</v>
      </c>
      <c r="E65" s="112"/>
    </row>
    <row r="66" spans="1:5" ht="7.5" customHeight="1">
      <c r="A66" s="112"/>
      <c r="B66" s="283"/>
      <c r="C66" s="283"/>
      <c r="D66" s="283"/>
      <c r="E66" s="112"/>
    </row>
    <row r="67" spans="1:5" ht="13.5" customHeight="1">
      <c r="A67" s="109" t="s">
        <v>137</v>
      </c>
      <c r="B67" s="401">
        <f>$B65*$D63</f>
        <v>133800.83977395145</v>
      </c>
      <c r="C67" s="401">
        <f>C65*D63</f>
        <v>0</v>
      </c>
      <c r="D67" s="401">
        <f>SUM(B67:C67)</f>
        <v>133800.83977395145</v>
      </c>
      <c r="E67" s="112"/>
    </row>
    <row r="68" spans="1:5" ht="7.5" customHeight="1">
      <c r="A68" s="112"/>
      <c r="B68" s="284"/>
      <c r="C68" s="284"/>
      <c r="D68" s="284"/>
      <c r="E68" s="112"/>
    </row>
    <row r="69" spans="1:5" ht="13.5" customHeight="1">
      <c r="A69" s="109" t="s">
        <v>99</v>
      </c>
      <c r="B69" s="291">
        <f>$C23</f>
        <v>34235816</v>
      </c>
      <c r="C69" s="290"/>
      <c r="D69" s="290"/>
      <c r="E69" s="112"/>
    </row>
    <row r="70" spans="1:5" ht="7.5" customHeight="1">
      <c r="A70" s="112"/>
      <c r="B70" s="285"/>
      <c r="C70" s="284"/>
      <c r="D70" s="284"/>
      <c r="E70" s="112"/>
    </row>
    <row r="71" spans="1:5" ht="13.5" customHeight="1">
      <c r="A71" s="109" t="s">
        <v>182</v>
      </c>
      <c r="B71" s="411">
        <f>IF(ISERROR($B67/$B69),0,$B67/$B69)</f>
        <v>0.003908212375424364</v>
      </c>
      <c r="C71" s="292"/>
      <c r="D71" s="292"/>
      <c r="E71" s="112"/>
    </row>
    <row r="72" spans="1:5" ht="12.75">
      <c r="A72" s="112"/>
      <c r="B72" s="286"/>
      <c r="C72" s="287"/>
      <c r="D72" s="287"/>
      <c r="E72" s="112"/>
    </row>
    <row r="73" spans="1:4" ht="15">
      <c r="A73" s="132"/>
      <c r="B73" s="56"/>
      <c r="C73" s="56"/>
      <c r="D73" s="56"/>
    </row>
    <row r="74" spans="2:4" ht="12.75">
      <c r="B74" s="56"/>
      <c r="C74" s="56"/>
      <c r="D74" s="56"/>
    </row>
    <row r="75" ht="15.75">
      <c r="A75" s="54" t="s">
        <v>231</v>
      </c>
    </row>
    <row r="76" ht="10.5" customHeight="1">
      <c r="A76" s="131"/>
    </row>
    <row r="77" ht="9" customHeight="1">
      <c r="A77" s="132"/>
    </row>
    <row r="78" spans="1:7" ht="39" thickBot="1">
      <c r="A78" s="132"/>
      <c r="B78" s="280" t="s">
        <v>103</v>
      </c>
      <c r="C78" s="280" t="s">
        <v>104</v>
      </c>
      <c r="D78" s="280" t="s">
        <v>138</v>
      </c>
      <c r="E78" s="278"/>
      <c r="F78" s="278"/>
      <c r="G78" s="278"/>
    </row>
    <row r="79" spans="1:3" ht="15">
      <c r="A79" s="132"/>
      <c r="B79" s="30"/>
      <c r="C79" s="30"/>
    </row>
    <row r="80" spans="1:5" ht="12.75">
      <c r="A80" s="109" t="s">
        <v>136</v>
      </c>
      <c r="B80" s="288"/>
      <c r="C80" s="288"/>
      <c r="D80" s="406">
        <f>$G24</f>
        <v>243436.39215160927</v>
      </c>
      <c r="E80" s="112"/>
    </row>
    <row r="81" spans="1:5" ht="7.5" customHeight="1">
      <c r="A81" s="112"/>
      <c r="B81" s="281"/>
      <c r="C81" s="281"/>
      <c r="D81" s="282"/>
      <c r="E81" s="112"/>
    </row>
    <row r="82" spans="1:5" ht="12.75">
      <c r="A82" s="109" t="s">
        <v>101</v>
      </c>
      <c r="B82" s="289">
        <v>1</v>
      </c>
      <c r="C82" s="289">
        <v>0</v>
      </c>
      <c r="D82" s="289">
        <f>B82+C82</f>
        <v>1</v>
      </c>
      <c r="E82" s="112"/>
    </row>
    <row r="83" spans="1:5" ht="7.5" customHeight="1">
      <c r="A83" s="112"/>
      <c r="B83" s="283"/>
      <c r="C83" s="283"/>
      <c r="D83" s="283"/>
      <c r="E83" s="112"/>
    </row>
    <row r="84" spans="1:5" ht="13.5" customHeight="1">
      <c r="A84" s="109" t="s">
        <v>137</v>
      </c>
      <c r="B84" s="401">
        <f>$B82*$D80</f>
        <v>243436.39215160927</v>
      </c>
      <c r="C84" s="401">
        <f>C82*D80</f>
        <v>0</v>
      </c>
      <c r="D84" s="401">
        <f>SUM(B84:C84)</f>
        <v>243436.39215160927</v>
      </c>
      <c r="E84" s="112"/>
    </row>
    <row r="85" spans="1:5" ht="7.5" customHeight="1">
      <c r="A85" s="112"/>
      <c r="B85" s="284"/>
      <c r="C85" s="284"/>
      <c r="D85" s="284"/>
      <c r="E85" s="112"/>
    </row>
    <row r="86" spans="1:5" ht="13.5" customHeight="1">
      <c r="A86" s="109" t="s">
        <v>162</v>
      </c>
      <c r="B86" s="291">
        <f>$B24</f>
        <v>313433.7</v>
      </c>
      <c r="C86" s="290"/>
      <c r="D86" s="290"/>
      <c r="E86" s="112"/>
    </row>
    <row r="87" spans="1:5" ht="7.5" customHeight="1">
      <c r="A87" s="112"/>
      <c r="B87" s="285"/>
      <c r="C87" s="284"/>
      <c r="D87" s="284"/>
      <c r="E87" s="112"/>
    </row>
    <row r="88" spans="1:5" ht="13.5" customHeight="1">
      <c r="A88" s="109" t="s">
        <v>178</v>
      </c>
      <c r="B88" s="411">
        <f>IF(ISERROR($B84/$B86),0,$B84/$B86)</f>
        <v>0.7766758716488025</v>
      </c>
      <c r="C88" s="292"/>
      <c r="D88" s="292"/>
      <c r="E88" s="112"/>
    </row>
    <row r="89" spans="1:5" s="31" customFormat="1" ht="12.75">
      <c r="A89" s="294"/>
      <c r="B89" s="295"/>
      <c r="C89" s="296"/>
      <c r="D89" s="295"/>
      <c r="E89" s="294"/>
    </row>
    <row r="90" spans="1:5" ht="12.75">
      <c r="A90" s="294"/>
      <c r="B90" s="295"/>
      <c r="C90" s="296"/>
      <c r="D90" s="295"/>
      <c r="E90" s="112"/>
    </row>
    <row r="91" spans="1:5" ht="12.75">
      <c r="A91" s="294"/>
      <c r="B91" s="295"/>
      <c r="C91" s="296"/>
      <c r="D91" s="295"/>
      <c r="E91" s="112"/>
    </row>
    <row r="92" ht="15.75">
      <c r="A92" s="54" t="s">
        <v>204</v>
      </c>
    </row>
    <row r="93" ht="10.5" customHeight="1">
      <c r="A93" s="131"/>
    </row>
    <row r="94" ht="9" customHeight="1">
      <c r="A94" s="132"/>
    </row>
    <row r="95" spans="1:7" ht="39" thickBot="1">
      <c r="A95" s="132"/>
      <c r="B95" s="280" t="s">
        <v>103</v>
      </c>
      <c r="C95" s="280" t="s">
        <v>104</v>
      </c>
      <c r="D95" s="280" t="s">
        <v>138</v>
      </c>
      <c r="E95" s="278"/>
      <c r="F95" s="278"/>
      <c r="G95" s="278"/>
    </row>
    <row r="96" spans="1:3" ht="15">
      <c r="A96" s="132"/>
      <c r="B96" s="30"/>
      <c r="C96" s="30"/>
    </row>
    <row r="97" spans="1:5" ht="12.75">
      <c r="A97" s="109" t="s">
        <v>136</v>
      </c>
      <c r="B97" s="288"/>
      <c r="C97" s="288"/>
      <c r="D97" s="406">
        <f>$G25</f>
        <v>0</v>
      </c>
      <c r="E97" s="112"/>
    </row>
    <row r="98" spans="1:5" ht="7.5" customHeight="1">
      <c r="A98" s="112"/>
      <c r="B98" s="281"/>
      <c r="C98" s="281"/>
      <c r="D98" s="282"/>
      <c r="E98" s="112"/>
    </row>
    <row r="99" spans="1:5" ht="12.75">
      <c r="A99" s="109" t="s">
        <v>101</v>
      </c>
      <c r="B99" s="289">
        <v>1</v>
      </c>
      <c r="C99" s="289">
        <v>0</v>
      </c>
      <c r="D99" s="289">
        <f>B99+C99</f>
        <v>1</v>
      </c>
      <c r="E99" s="112"/>
    </row>
    <row r="100" spans="1:5" ht="7.5" customHeight="1">
      <c r="A100" s="112"/>
      <c r="B100" s="283"/>
      <c r="C100" s="283"/>
      <c r="D100" s="283"/>
      <c r="E100" s="112"/>
    </row>
    <row r="101" spans="1:5" ht="13.5" customHeight="1">
      <c r="A101" s="109" t="s">
        <v>137</v>
      </c>
      <c r="B101" s="401">
        <f>$B99*$D97</f>
        <v>0</v>
      </c>
      <c r="C101" s="401">
        <f>C99*D97</f>
        <v>0</v>
      </c>
      <c r="D101" s="401">
        <f>SUM(B101:C101)</f>
        <v>0</v>
      </c>
      <c r="E101" s="112"/>
    </row>
    <row r="102" spans="1:5" ht="7.5" customHeight="1">
      <c r="A102" s="112"/>
      <c r="B102" s="284"/>
      <c r="C102" s="284"/>
      <c r="D102" s="284"/>
      <c r="E102" s="112"/>
    </row>
    <row r="103" spans="1:5" ht="13.5" customHeight="1">
      <c r="A103" s="109" t="s">
        <v>162</v>
      </c>
      <c r="B103" s="291">
        <f>$B25</f>
        <v>0</v>
      </c>
      <c r="C103" s="290"/>
      <c r="D103" s="290"/>
      <c r="E103" s="112"/>
    </row>
    <row r="104" spans="1:5" ht="7.5" customHeight="1">
      <c r="A104" s="112"/>
      <c r="B104" s="285"/>
      <c r="C104" s="284"/>
      <c r="D104" s="284"/>
      <c r="E104" s="112"/>
    </row>
    <row r="105" spans="1:5" ht="13.5" customHeight="1">
      <c r="A105" s="109" t="s">
        <v>178</v>
      </c>
      <c r="B105" s="411">
        <f>IF(ISERROR($B101/$B103),0,$B101/$B103)</f>
        <v>0</v>
      </c>
      <c r="C105" s="292"/>
      <c r="D105" s="292"/>
      <c r="E105" s="112"/>
    </row>
    <row r="106" spans="1:5" s="31" customFormat="1" ht="12.75">
      <c r="A106" s="294"/>
      <c r="B106" s="295"/>
      <c r="C106" s="296"/>
      <c r="D106" s="295"/>
      <c r="E106" s="294"/>
    </row>
    <row r="107" spans="1:5" ht="12.75">
      <c r="A107" s="294"/>
      <c r="B107" s="295"/>
      <c r="C107" s="296"/>
      <c r="D107" s="295"/>
      <c r="E107" s="112"/>
    </row>
    <row r="108" spans="1:5" ht="12.75">
      <c r="A108" s="294"/>
      <c r="B108" s="295"/>
      <c r="C108" s="296"/>
      <c r="D108" s="295"/>
      <c r="E108" s="112"/>
    </row>
    <row r="109" ht="15.75">
      <c r="A109" s="54" t="s">
        <v>14</v>
      </c>
    </row>
    <row r="110" ht="10.5" customHeight="1">
      <c r="A110" s="131"/>
    </row>
    <row r="111" ht="9" customHeight="1">
      <c r="A111" s="132"/>
    </row>
    <row r="112" spans="1:7" ht="39" thickBot="1">
      <c r="A112" s="132"/>
      <c r="B112" s="280" t="s">
        <v>103</v>
      </c>
      <c r="C112" s="280" t="s">
        <v>104</v>
      </c>
      <c r="D112" s="280" t="s">
        <v>138</v>
      </c>
      <c r="E112" s="278"/>
      <c r="F112" s="278"/>
      <c r="G112" s="278"/>
    </row>
    <row r="113" spans="1:3" ht="15">
      <c r="A113" s="132"/>
      <c r="B113" s="30"/>
      <c r="C113" s="30"/>
    </row>
    <row r="114" spans="1:5" ht="12.75">
      <c r="A114" s="109" t="s">
        <v>136</v>
      </c>
      <c r="B114" s="288"/>
      <c r="C114" s="288"/>
      <c r="D114" s="406">
        <f>$G26</f>
        <v>0</v>
      </c>
      <c r="E114" s="112"/>
    </row>
    <row r="115" spans="1:5" ht="7.5" customHeight="1">
      <c r="A115" s="112"/>
      <c r="B115" s="281"/>
      <c r="C115" s="281"/>
      <c r="D115" s="282"/>
      <c r="E115" s="112"/>
    </row>
    <row r="116" spans="1:5" ht="12.75">
      <c r="A116" s="109" t="s">
        <v>101</v>
      </c>
      <c r="B116" s="289">
        <v>1</v>
      </c>
      <c r="C116" s="289">
        <v>0</v>
      </c>
      <c r="D116" s="289">
        <f>B116+C116</f>
        <v>1</v>
      </c>
      <c r="E116" s="112"/>
    </row>
    <row r="117" spans="1:5" ht="7.5" customHeight="1">
      <c r="A117" s="112"/>
      <c r="B117" s="283"/>
      <c r="C117" s="283"/>
      <c r="D117" s="283"/>
      <c r="E117" s="112"/>
    </row>
    <row r="118" spans="1:5" ht="13.5" customHeight="1">
      <c r="A118" s="109" t="s">
        <v>137</v>
      </c>
      <c r="B118" s="401">
        <f>$B116*$D114</f>
        <v>0</v>
      </c>
      <c r="C118" s="401">
        <f>C116*D114</f>
        <v>0</v>
      </c>
      <c r="D118" s="401">
        <f>SUM(B118:C118)</f>
        <v>0</v>
      </c>
      <c r="E118" s="112"/>
    </row>
    <row r="119" spans="1:5" ht="7.5" customHeight="1">
      <c r="A119" s="112"/>
      <c r="B119" s="284"/>
      <c r="C119" s="284"/>
      <c r="D119" s="284"/>
      <c r="E119" s="112"/>
    </row>
    <row r="120" spans="1:5" ht="13.5" customHeight="1">
      <c r="A120" s="109" t="s">
        <v>162</v>
      </c>
      <c r="B120" s="291">
        <f>$B26</f>
        <v>4708.7</v>
      </c>
      <c r="C120" s="290"/>
      <c r="D120" s="290"/>
      <c r="E120" s="112"/>
    </row>
    <row r="121" spans="1:5" ht="7.5" customHeight="1">
      <c r="A121" s="112"/>
      <c r="B121" s="285"/>
      <c r="C121" s="284"/>
      <c r="D121" s="284"/>
      <c r="E121" s="112"/>
    </row>
    <row r="122" spans="1:5" ht="13.5" customHeight="1">
      <c r="A122" s="109" t="s">
        <v>178</v>
      </c>
      <c r="B122" s="411">
        <f>IF(ISERROR($B118/$B120),0,$B118/$B120)</f>
        <v>0</v>
      </c>
      <c r="C122" s="292"/>
      <c r="D122" s="292"/>
      <c r="E122" s="112"/>
    </row>
    <row r="123" spans="1:5" ht="12.75">
      <c r="A123" s="112"/>
      <c r="B123" s="286"/>
      <c r="C123" s="287"/>
      <c r="D123" s="287"/>
      <c r="E123" s="112"/>
    </row>
    <row r="124" spans="1:4" ht="15">
      <c r="A124" s="132"/>
      <c r="B124" s="56"/>
      <c r="C124" s="56"/>
      <c r="D124" s="56"/>
    </row>
    <row r="125" spans="2:4" ht="12.75">
      <c r="B125" s="56"/>
      <c r="C125" s="56"/>
      <c r="D125" s="56"/>
    </row>
    <row r="126" ht="15.75">
      <c r="A126" s="54" t="s">
        <v>15</v>
      </c>
    </row>
    <row r="127" ht="10.5" customHeight="1">
      <c r="A127" s="131"/>
    </row>
    <row r="128" ht="9" customHeight="1">
      <c r="A128" s="132"/>
    </row>
    <row r="129" spans="1:7" ht="39" thickBot="1">
      <c r="A129" s="132"/>
      <c r="B129" s="280" t="s">
        <v>103</v>
      </c>
      <c r="C129" s="280" t="s">
        <v>104</v>
      </c>
      <c r="D129" s="280" t="s">
        <v>138</v>
      </c>
      <c r="E129" s="278"/>
      <c r="F129" s="278"/>
      <c r="G129" s="278"/>
    </row>
    <row r="130" spans="1:3" ht="15">
      <c r="A130" s="132"/>
      <c r="B130" s="30"/>
      <c r="C130" s="30"/>
    </row>
    <row r="131" spans="1:5" ht="12.75">
      <c r="A131" s="109" t="s">
        <v>136</v>
      </c>
      <c r="B131" s="288"/>
      <c r="C131" s="288"/>
      <c r="D131" s="406">
        <f>$G27</f>
        <v>2614.560480506022</v>
      </c>
      <c r="E131" s="112"/>
    </row>
    <row r="132" spans="1:5" ht="7.5" customHeight="1">
      <c r="A132" s="112"/>
      <c r="B132" s="281"/>
      <c r="C132" s="281"/>
      <c r="D132" s="282"/>
      <c r="E132" s="112"/>
    </row>
    <row r="133" spans="1:5" ht="12.75">
      <c r="A133" s="109" t="s">
        <v>101</v>
      </c>
      <c r="B133" s="289">
        <v>1</v>
      </c>
      <c r="C133" s="289">
        <v>0</v>
      </c>
      <c r="D133" s="289">
        <f>B133+C133</f>
        <v>1</v>
      </c>
      <c r="E133" s="112"/>
    </row>
    <row r="134" spans="1:5" ht="7.5" customHeight="1">
      <c r="A134" s="112"/>
      <c r="B134" s="283"/>
      <c r="C134" s="283"/>
      <c r="D134" s="283"/>
      <c r="E134" s="112"/>
    </row>
    <row r="135" spans="1:5" ht="13.5" customHeight="1">
      <c r="A135" s="109" t="s">
        <v>137</v>
      </c>
      <c r="B135" s="401">
        <f>$B133*$D131</f>
        <v>2614.560480506022</v>
      </c>
      <c r="C135" s="401">
        <f>C133*D131</f>
        <v>0</v>
      </c>
      <c r="D135" s="401">
        <f>SUM(B135:C135)</f>
        <v>2614.560480506022</v>
      </c>
      <c r="E135" s="112"/>
    </row>
    <row r="136" spans="1:5" ht="7.5" customHeight="1">
      <c r="A136" s="112"/>
      <c r="B136" s="284"/>
      <c r="C136" s="284"/>
      <c r="D136" s="284"/>
      <c r="E136" s="112"/>
    </row>
    <row r="137" spans="1:5" ht="13.5" customHeight="1">
      <c r="A137" s="109" t="s">
        <v>162</v>
      </c>
      <c r="B137" s="291">
        <f>$B27</f>
        <v>188772.4</v>
      </c>
      <c r="C137" s="290"/>
      <c r="D137" s="290"/>
      <c r="E137" s="112"/>
    </row>
    <row r="138" spans="1:5" ht="7.5" customHeight="1">
      <c r="A138" s="112"/>
      <c r="B138" s="285"/>
      <c r="C138" s="284"/>
      <c r="D138" s="284"/>
      <c r="E138" s="112"/>
    </row>
    <row r="139" spans="1:5" ht="13.5" customHeight="1">
      <c r="A139" s="109" t="s">
        <v>178</v>
      </c>
      <c r="B139" s="411">
        <f>IF(ISERROR($B135/$B137),0,$B135/$B137)</f>
        <v>0.013850332360588847</v>
      </c>
      <c r="C139" s="292"/>
      <c r="D139" s="292"/>
      <c r="E139" s="112"/>
    </row>
    <row r="140" spans="2:4" ht="12.75">
      <c r="B140" s="56"/>
      <c r="C140" s="56"/>
      <c r="D140" s="56"/>
    </row>
    <row r="141" spans="1:5" ht="12.75">
      <c r="A141" s="294"/>
      <c r="B141" s="295"/>
      <c r="C141" s="296"/>
      <c r="D141" s="295"/>
      <c r="E141" s="112"/>
    </row>
    <row r="142" spans="1:5" ht="12.75">
      <c r="A142" s="294"/>
      <c r="B142" s="295"/>
      <c r="C142" s="296"/>
      <c r="D142" s="295"/>
      <c r="E142" s="112"/>
    </row>
    <row r="143" ht="15.75">
      <c r="A143" s="54" t="s">
        <v>16</v>
      </c>
    </row>
    <row r="144" ht="10.5" customHeight="1">
      <c r="A144" s="131"/>
    </row>
    <row r="145" ht="9" customHeight="1">
      <c r="A145" s="132"/>
    </row>
    <row r="146" spans="1:7" ht="39" thickBot="1">
      <c r="A146" s="132"/>
      <c r="B146" s="280" t="s">
        <v>103</v>
      </c>
      <c r="C146" s="280" t="s">
        <v>104</v>
      </c>
      <c r="D146" s="280" t="s">
        <v>138</v>
      </c>
      <c r="E146" s="278"/>
      <c r="F146" s="278"/>
      <c r="G146" s="278"/>
    </row>
    <row r="147" spans="1:3" ht="15">
      <c r="A147" s="132"/>
      <c r="B147" s="30"/>
      <c r="C147" s="30"/>
    </row>
    <row r="148" spans="1:5" ht="12.75">
      <c r="A148" s="109" t="s">
        <v>136</v>
      </c>
      <c r="B148" s="288"/>
      <c r="C148" s="288"/>
      <c r="D148" s="406">
        <f>$G28</f>
        <v>1838.0723872614592</v>
      </c>
      <c r="E148" s="112"/>
    </row>
    <row r="149" spans="1:5" ht="7.5" customHeight="1">
      <c r="A149" s="112"/>
      <c r="B149" s="281"/>
      <c r="C149" s="281"/>
      <c r="D149" s="282"/>
      <c r="E149" s="112"/>
    </row>
    <row r="150" spans="1:5" ht="12.75">
      <c r="A150" s="109" t="s">
        <v>101</v>
      </c>
      <c r="B150" s="289">
        <v>1</v>
      </c>
      <c r="C150" s="289">
        <v>0</v>
      </c>
      <c r="D150" s="289">
        <f>B150+C150</f>
        <v>1</v>
      </c>
      <c r="E150" s="112"/>
    </row>
    <row r="151" spans="1:5" ht="7.5" customHeight="1">
      <c r="A151" s="112"/>
      <c r="B151" s="283"/>
      <c r="C151" s="283"/>
      <c r="D151" s="283"/>
      <c r="E151" s="112"/>
    </row>
    <row r="152" spans="1:5" ht="13.5" customHeight="1">
      <c r="A152" s="109" t="s">
        <v>137</v>
      </c>
      <c r="B152" s="401">
        <f>$B150*$D148</f>
        <v>1838.0723872614592</v>
      </c>
      <c r="C152" s="401">
        <f>C150*D148</f>
        <v>0</v>
      </c>
      <c r="D152" s="401">
        <f>SUM(B152:C152)</f>
        <v>1838.0723872614592</v>
      </c>
      <c r="E152" s="112"/>
    </row>
    <row r="153" spans="1:5" ht="7.5" customHeight="1">
      <c r="A153" s="112"/>
      <c r="B153" s="284"/>
      <c r="C153" s="284"/>
      <c r="D153" s="284"/>
      <c r="E153" s="112"/>
    </row>
    <row r="154" spans="1:5" ht="13.5" customHeight="1">
      <c r="A154" s="109" t="s">
        <v>162</v>
      </c>
      <c r="B154" s="291">
        <f>$B28</f>
        <v>0</v>
      </c>
      <c r="C154" s="290"/>
      <c r="D154" s="290"/>
      <c r="E154" s="112"/>
    </row>
    <row r="155" spans="1:5" ht="7.5" customHeight="1">
      <c r="A155" s="112"/>
      <c r="B155" s="285"/>
      <c r="C155" s="284"/>
      <c r="D155" s="284"/>
      <c r="E155" s="112"/>
    </row>
    <row r="156" spans="1:5" ht="13.5" customHeight="1">
      <c r="A156" s="109" t="s">
        <v>178</v>
      </c>
      <c r="B156" s="411">
        <f>IF(ISERROR($B152/$B154),0,$B152/$B154)</f>
        <v>0</v>
      </c>
      <c r="C156" s="292"/>
      <c r="D156" s="292"/>
      <c r="E156" s="112"/>
    </row>
    <row r="157" spans="1:5" ht="12.75">
      <c r="A157" s="294"/>
      <c r="B157" s="295"/>
      <c r="C157" s="296"/>
      <c r="D157" s="295"/>
      <c r="E157" s="294"/>
    </row>
    <row r="158" spans="1:5" ht="12.75">
      <c r="A158" s="294"/>
      <c r="B158" s="295"/>
      <c r="C158" s="296"/>
      <c r="D158" s="295"/>
      <c r="E158" s="112"/>
    </row>
    <row r="159" spans="1:5" ht="12.75">
      <c r="A159" s="294"/>
      <c r="B159" s="295"/>
      <c r="C159" s="296"/>
      <c r="D159" s="295"/>
      <c r="E159" s="112"/>
    </row>
    <row r="160" ht="15.75">
      <c r="A160" s="54" t="s">
        <v>106</v>
      </c>
    </row>
    <row r="161" ht="10.5" customHeight="1">
      <c r="A161" s="131"/>
    </row>
    <row r="162" ht="9" customHeight="1">
      <c r="A162" s="132"/>
    </row>
    <row r="163" spans="1:7" ht="39" thickBot="1">
      <c r="A163" s="132"/>
      <c r="B163" s="280" t="s">
        <v>103</v>
      </c>
      <c r="C163" s="280" t="s">
        <v>104</v>
      </c>
      <c r="D163" s="280" t="s">
        <v>138</v>
      </c>
      <c r="E163" s="278"/>
      <c r="F163" s="278"/>
      <c r="G163" s="278"/>
    </row>
    <row r="164" spans="1:3" ht="15">
      <c r="A164" s="132"/>
      <c r="B164" s="30"/>
      <c r="C164" s="30"/>
    </row>
    <row r="165" spans="1:5" ht="12.75">
      <c r="A165" s="109" t="s">
        <v>136</v>
      </c>
      <c r="B165" s="288"/>
      <c r="C165" s="288"/>
      <c r="D165" s="406">
        <f>$G29</f>
        <v>7778.822560973828</v>
      </c>
      <c r="E165" s="112"/>
    </row>
    <row r="166" spans="1:5" ht="7.5" customHeight="1">
      <c r="A166" s="112"/>
      <c r="B166" s="281"/>
      <c r="C166" s="281"/>
      <c r="D166" s="282"/>
      <c r="E166" s="112"/>
    </row>
    <row r="167" spans="1:5" ht="12.75">
      <c r="A167" s="109" t="s">
        <v>101</v>
      </c>
      <c r="B167" s="289">
        <v>1</v>
      </c>
      <c r="C167" s="289">
        <v>0</v>
      </c>
      <c r="D167" s="289">
        <f>B167+C167</f>
        <v>1</v>
      </c>
      <c r="E167" s="112"/>
    </row>
    <row r="168" spans="1:5" ht="7.5" customHeight="1">
      <c r="A168" s="112"/>
      <c r="B168" s="283"/>
      <c r="C168" s="283"/>
      <c r="D168" s="283"/>
      <c r="E168" s="112"/>
    </row>
    <row r="169" spans="1:5" ht="13.5" customHeight="1">
      <c r="A169" s="109" t="s">
        <v>137</v>
      </c>
      <c r="B169" s="401">
        <f>$B167*$D165</f>
        <v>7778.822560973828</v>
      </c>
      <c r="C169" s="401">
        <f>C167*D165</f>
        <v>0</v>
      </c>
      <c r="D169" s="401">
        <f>SUM(B169:C169)</f>
        <v>7778.822560973828</v>
      </c>
      <c r="E169" s="112"/>
    </row>
    <row r="170" spans="1:5" ht="7.5" customHeight="1">
      <c r="A170" s="112"/>
      <c r="B170" s="284"/>
      <c r="C170" s="284"/>
      <c r="D170" s="284"/>
      <c r="E170" s="112"/>
    </row>
    <row r="171" spans="1:5" ht="13.5" customHeight="1">
      <c r="A171" s="109" t="s">
        <v>162</v>
      </c>
      <c r="B171" s="291">
        <f>$B29</f>
        <v>4135</v>
      </c>
      <c r="C171" s="290"/>
      <c r="D171" s="290"/>
      <c r="E171" s="112"/>
    </row>
    <row r="172" spans="1:5" ht="7.5" customHeight="1">
      <c r="A172" s="112"/>
      <c r="B172" s="285"/>
      <c r="C172" s="284"/>
      <c r="D172" s="284"/>
      <c r="E172" s="112"/>
    </row>
    <row r="173" spans="1:5" ht="13.5" customHeight="1">
      <c r="A173" s="109" t="s">
        <v>178</v>
      </c>
      <c r="B173" s="411">
        <f>IF(ISERROR($B169/$B171),0,$B169/$B171)</f>
        <v>1.8812146459428847</v>
      </c>
      <c r="C173" s="292"/>
      <c r="D173" s="292"/>
      <c r="E173" s="112"/>
    </row>
    <row r="177" ht="15.75">
      <c r="A177" s="54" t="s">
        <v>232</v>
      </c>
    </row>
    <row r="178" ht="15.75">
      <c r="A178" s="131"/>
    </row>
    <row r="179" ht="15">
      <c r="A179" s="132"/>
    </row>
    <row r="180" spans="1:4" ht="39" thickBot="1">
      <c r="A180" s="132"/>
      <c r="B180" s="280" t="s">
        <v>103</v>
      </c>
      <c r="C180" s="280" t="s">
        <v>104</v>
      </c>
      <c r="D180" s="280" t="s">
        <v>138</v>
      </c>
    </row>
    <row r="181" spans="1:3" ht="15">
      <c r="A181" s="132"/>
      <c r="B181" s="30"/>
      <c r="C181" s="30"/>
    </row>
    <row r="182" spans="1:4" ht="12.75">
      <c r="A182" s="109" t="s">
        <v>136</v>
      </c>
      <c r="B182" s="288"/>
      <c r="C182" s="288"/>
      <c r="D182" s="486">
        <f>$G30</f>
        <v>0</v>
      </c>
    </row>
    <row r="183" spans="1:4" ht="12.75">
      <c r="A183" s="112"/>
      <c r="B183" s="281"/>
      <c r="C183" s="281"/>
      <c r="D183" s="282"/>
    </row>
    <row r="184" spans="1:4" ht="12.75">
      <c r="A184" s="109" t="s">
        <v>101</v>
      </c>
      <c r="B184" s="289">
        <v>1</v>
      </c>
      <c r="C184" s="289">
        <v>0</v>
      </c>
      <c r="D184" s="289">
        <f>B184+C184</f>
        <v>1</v>
      </c>
    </row>
    <row r="185" spans="1:4" ht="12.75">
      <c r="A185" s="112"/>
      <c r="B185" s="283"/>
      <c r="C185" s="283"/>
      <c r="D185" s="283"/>
    </row>
    <row r="186" spans="1:4" ht="12.75">
      <c r="A186" s="109" t="s">
        <v>137</v>
      </c>
      <c r="B186" s="401">
        <f>$B184*$D182</f>
        <v>0</v>
      </c>
      <c r="C186" s="401">
        <f>C184*D182</f>
        <v>0</v>
      </c>
      <c r="D186" s="401">
        <f>SUM(B186:C186)</f>
        <v>0</v>
      </c>
    </row>
    <row r="187" spans="1:4" ht="12.75">
      <c r="A187" s="112"/>
      <c r="B187" s="284"/>
      <c r="C187" s="284"/>
      <c r="D187" s="284"/>
    </row>
    <row r="188" spans="1:4" ht="12.75">
      <c r="A188" s="109" t="s">
        <v>99</v>
      </c>
      <c r="B188" s="487">
        <f>$C30</f>
        <v>0</v>
      </c>
      <c r="C188" s="290"/>
      <c r="D188" s="290"/>
    </row>
    <row r="189" spans="1:4" ht="12.75">
      <c r="A189" s="112"/>
      <c r="B189" s="285"/>
      <c r="C189" s="284"/>
      <c r="D189" s="284"/>
    </row>
    <row r="190" spans="1:4" ht="12.75">
      <c r="A190" s="109" t="s">
        <v>182</v>
      </c>
      <c r="B190" s="411">
        <f>IF(ISERROR($B186/$B188),0,$B186/$B188)</f>
        <v>0</v>
      </c>
      <c r="C190" s="292"/>
      <c r="D190" s="292"/>
    </row>
    <row r="191" spans="1:4" ht="12.75">
      <c r="A191" s="112"/>
      <c r="B191" s="286"/>
      <c r="C191" s="287"/>
      <c r="D191" s="287"/>
    </row>
    <row r="192" spans="1:4" ht="15">
      <c r="A192" s="132"/>
      <c r="B192" s="56"/>
      <c r="C192" s="56"/>
      <c r="D192" s="56"/>
    </row>
    <row r="193" spans="2:4" ht="12.75">
      <c r="B193" s="56"/>
      <c r="C193" s="56"/>
      <c r="D193" s="56"/>
    </row>
    <row r="194" ht="15.75">
      <c r="A194" s="54" t="s">
        <v>233</v>
      </c>
    </row>
    <row r="195" ht="15.75">
      <c r="A195" s="131"/>
    </row>
    <row r="196" ht="15">
      <c r="A196" s="132"/>
    </row>
    <row r="197" spans="1:4" ht="39" thickBot="1">
      <c r="A197" s="132"/>
      <c r="B197" s="280" t="s">
        <v>103</v>
      </c>
      <c r="C197" s="280" t="s">
        <v>104</v>
      </c>
      <c r="D197" s="280" t="s">
        <v>138</v>
      </c>
    </row>
    <row r="198" spans="1:3" ht="15">
      <c r="A198" s="132"/>
      <c r="B198" s="30"/>
      <c r="C198" s="30"/>
    </row>
    <row r="199" spans="1:4" ht="12.75">
      <c r="A199" s="109" t="s">
        <v>136</v>
      </c>
      <c r="B199" s="288"/>
      <c r="C199" s="288"/>
      <c r="D199" s="486">
        <f>$G31</f>
        <v>0</v>
      </c>
    </row>
    <row r="200" spans="1:4" ht="12.75">
      <c r="A200" s="112"/>
      <c r="B200" s="281"/>
      <c r="C200" s="281"/>
      <c r="D200" s="282"/>
    </row>
    <row r="201" spans="1:4" ht="12.75">
      <c r="A201" s="109" t="s">
        <v>101</v>
      </c>
      <c r="B201" s="289">
        <v>1</v>
      </c>
      <c r="C201" s="289">
        <v>0</v>
      </c>
      <c r="D201" s="289">
        <f>B201+C201</f>
        <v>1</v>
      </c>
    </row>
    <row r="202" spans="1:4" ht="12.75">
      <c r="A202" s="112"/>
      <c r="B202" s="283"/>
      <c r="C202" s="283"/>
      <c r="D202" s="283"/>
    </row>
    <row r="203" spans="1:4" ht="12.75">
      <c r="A203" s="109" t="s">
        <v>137</v>
      </c>
      <c r="B203" s="401">
        <f>$B201*$D199</f>
        <v>0</v>
      </c>
      <c r="C203" s="401">
        <f>C201*D199</f>
        <v>0</v>
      </c>
      <c r="D203" s="401">
        <f>SUM(B203:C203)</f>
        <v>0</v>
      </c>
    </row>
    <row r="204" spans="1:4" ht="12.75">
      <c r="A204" s="112"/>
      <c r="B204" s="284"/>
      <c r="C204" s="284"/>
      <c r="D204" s="284"/>
    </row>
    <row r="205" spans="1:4" ht="12.75">
      <c r="A205" s="109" t="s">
        <v>99</v>
      </c>
      <c r="B205" s="487">
        <f>$C31</f>
        <v>0</v>
      </c>
      <c r="C205" s="290"/>
      <c r="D205" s="290"/>
    </row>
    <row r="206" spans="1:4" ht="12.75">
      <c r="A206" s="112"/>
      <c r="B206" s="285"/>
      <c r="C206" s="284"/>
      <c r="D206" s="284"/>
    </row>
    <row r="207" spans="1:4" ht="12.75">
      <c r="A207" s="109" t="s">
        <v>182</v>
      </c>
      <c r="B207" s="411">
        <f>IF(ISERROR($B203/$B205),0,$B203/$B205)</f>
        <v>0</v>
      </c>
      <c r="C207" s="292"/>
      <c r="D207" s="292"/>
    </row>
    <row r="208" spans="1:4" ht="12.75">
      <c r="A208" s="112"/>
      <c r="B208" s="286"/>
      <c r="C208" s="287"/>
      <c r="D208" s="287"/>
    </row>
    <row r="209" spans="1:4" ht="15">
      <c r="A209" s="132"/>
      <c r="B209" s="56"/>
      <c r="C209" s="56"/>
      <c r="D209" s="56"/>
    </row>
    <row r="210" spans="2:4" ht="12.75">
      <c r="B210" s="56"/>
      <c r="C210" s="56"/>
      <c r="D210" s="56"/>
    </row>
    <row r="211" ht="15.75">
      <c r="A211" s="54" t="s">
        <v>234</v>
      </c>
    </row>
    <row r="212" ht="15.75">
      <c r="A212" s="131"/>
    </row>
    <row r="213" ht="15">
      <c r="A213" s="132"/>
    </row>
    <row r="214" spans="1:4" ht="39" thickBot="1">
      <c r="A214" s="132"/>
      <c r="B214" s="280" t="s">
        <v>103</v>
      </c>
      <c r="C214" s="280" t="s">
        <v>104</v>
      </c>
      <c r="D214" s="280" t="s">
        <v>138</v>
      </c>
    </row>
    <row r="215" spans="1:3" ht="15">
      <c r="A215" s="132"/>
      <c r="B215" s="30"/>
      <c r="C215" s="30"/>
    </row>
    <row r="216" spans="1:4" ht="12.75">
      <c r="A216" s="109" t="s">
        <v>136</v>
      </c>
      <c r="B216" s="288"/>
      <c r="C216" s="288"/>
      <c r="D216" s="486">
        <f>$G32</f>
        <v>0</v>
      </c>
    </row>
    <row r="217" spans="1:4" ht="12.75">
      <c r="A217" s="112"/>
      <c r="B217" s="281"/>
      <c r="C217" s="281"/>
      <c r="D217" s="282"/>
    </row>
    <row r="218" spans="1:4" ht="12.75">
      <c r="A218" s="109" t="s">
        <v>101</v>
      </c>
      <c r="B218" s="289">
        <v>1</v>
      </c>
      <c r="C218" s="289">
        <v>0</v>
      </c>
      <c r="D218" s="289">
        <f>B218+C218</f>
        <v>1</v>
      </c>
    </row>
    <row r="219" spans="1:4" ht="12.75">
      <c r="A219" s="112"/>
      <c r="B219" s="283"/>
      <c r="C219" s="283"/>
      <c r="D219" s="283"/>
    </row>
    <row r="220" spans="1:4" ht="12.75">
      <c r="A220" s="109" t="s">
        <v>137</v>
      </c>
      <c r="B220" s="401">
        <f>$B218*$D216</f>
        <v>0</v>
      </c>
      <c r="C220" s="401">
        <f>C218*D216</f>
        <v>0</v>
      </c>
      <c r="D220" s="401">
        <f>SUM(B220:C220)</f>
        <v>0</v>
      </c>
    </row>
    <row r="221" spans="1:4" ht="12.75">
      <c r="A221" s="112"/>
      <c r="B221" s="284"/>
      <c r="C221" s="284"/>
      <c r="D221" s="284"/>
    </row>
    <row r="222" spans="1:4" ht="12.75">
      <c r="A222" s="109" t="s">
        <v>162</v>
      </c>
      <c r="B222" s="487">
        <f>$B32</f>
        <v>0</v>
      </c>
      <c r="C222" s="290"/>
      <c r="D222" s="290"/>
    </row>
    <row r="223" spans="1:4" ht="12.75">
      <c r="A223" s="112"/>
      <c r="B223" s="285"/>
      <c r="C223" s="284"/>
      <c r="D223" s="284"/>
    </row>
    <row r="224" spans="1:4" ht="12.75">
      <c r="A224" s="109" t="s">
        <v>178</v>
      </c>
      <c r="B224" s="411">
        <f>IF(ISERROR($B220/$B222),0,$B220/$B222)</f>
        <v>0</v>
      </c>
      <c r="C224" s="292"/>
      <c r="D224" s="292"/>
    </row>
    <row r="228" ht="15.75">
      <c r="A228" s="54" t="s">
        <v>235</v>
      </c>
    </row>
    <row r="229" ht="15.75">
      <c r="A229" s="131"/>
    </row>
    <row r="230" ht="15">
      <c r="A230" s="132"/>
    </row>
    <row r="231" spans="1:4" ht="39" thickBot="1">
      <c r="A231" s="132"/>
      <c r="B231" s="280" t="s">
        <v>103</v>
      </c>
      <c r="C231" s="280" t="s">
        <v>104</v>
      </c>
      <c r="D231" s="280" t="s">
        <v>138</v>
      </c>
    </row>
    <row r="232" spans="1:3" ht="15">
      <c r="A232" s="132"/>
      <c r="B232" s="30"/>
      <c r="C232" s="30"/>
    </row>
    <row r="233" spans="1:4" ht="12.75">
      <c r="A233" s="109" t="s">
        <v>136</v>
      </c>
      <c r="B233" s="288"/>
      <c r="C233" s="288"/>
      <c r="D233" s="486">
        <f>$G33</f>
        <v>0</v>
      </c>
    </row>
    <row r="234" spans="1:4" ht="12.75">
      <c r="A234" s="112"/>
      <c r="B234" s="281"/>
      <c r="C234" s="281"/>
      <c r="D234" s="282"/>
    </row>
    <row r="235" spans="1:4" ht="12.75">
      <c r="A235" s="109" t="s">
        <v>101</v>
      </c>
      <c r="B235" s="289">
        <v>1</v>
      </c>
      <c r="C235" s="289">
        <v>0</v>
      </c>
      <c r="D235" s="289">
        <f>B235+C235</f>
        <v>1</v>
      </c>
    </row>
    <row r="236" spans="1:4" ht="12.75">
      <c r="A236" s="112"/>
      <c r="B236" s="283"/>
      <c r="C236" s="283"/>
      <c r="D236" s="283"/>
    </row>
    <row r="237" spans="1:4" ht="12.75">
      <c r="A237" s="109" t="s">
        <v>137</v>
      </c>
      <c r="B237" s="401">
        <f>$B235*$D233</f>
        <v>0</v>
      </c>
      <c r="C237" s="401">
        <f>C235*D233</f>
        <v>0</v>
      </c>
      <c r="D237" s="401">
        <f>SUM(B237:C237)</f>
        <v>0</v>
      </c>
    </row>
    <row r="238" spans="1:4" ht="12.75">
      <c r="A238" s="112"/>
      <c r="B238" s="284"/>
      <c r="C238" s="284"/>
      <c r="D238" s="284"/>
    </row>
    <row r="239" spans="1:4" ht="12.75">
      <c r="A239" s="109" t="s">
        <v>99</v>
      </c>
      <c r="B239" s="487">
        <f>$C33</f>
        <v>0</v>
      </c>
      <c r="C239" s="290"/>
      <c r="D239" s="290"/>
    </row>
    <row r="240" spans="1:4" ht="12.75">
      <c r="A240" s="112"/>
      <c r="B240" s="285"/>
      <c r="C240" s="284"/>
      <c r="D240" s="284"/>
    </row>
    <row r="241" spans="1:4" ht="12.75">
      <c r="A241" s="109" t="s">
        <v>182</v>
      </c>
      <c r="B241" s="411">
        <f>IF(ISERROR($B237/$B239),0,$B237/$B239)</f>
        <v>0</v>
      </c>
      <c r="C241" s="292"/>
      <c r="D241" s="292"/>
    </row>
  </sheetData>
  <sheetProtection/>
  <mergeCells count="3">
    <mergeCell ref="A14:D14"/>
    <mergeCell ref="C36:F36"/>
    <mergeCell ref="B7:C7"/>
  </mergeCells>
  <printOptions/>
  <pageMargins left="0.31" right="0.17" top="0.45" bottom="0.5" header="0.28" footer="0.23"/>
  <pageSetup fitToHeight="0" fitToWidth="1" horizontalDpi="600" verticalDpi="600" orientation="portrait" scale="67" r:id="rId1"/>
  <rowBreaks count="2" manualBreakCount="2">
    <brk id="74" max="255" man="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vogtsu</cp:lastModifiedBy>
  <cp:lastPrinted>2004-12-22T19:19:43Z</cp:lastPrinted>
  <dcterms:created xsi:type="dcterms:W3CDTF">2001-10-05T18:25:02Z</dcterms:created>
  <dcterms:modified xsi:type="dcterms:W3CDTF">2011-11-03T18:13:20Z</dcterms:modified>
  <cp:category/>
  <cp:version/>
  <cp:contentType/>
  <cp:contentStatus/>
</cp:coreProperties>
</file>