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8940" windowHeight="5430" activeTab="1"/>
  </bookViews>
  <sheets>
    <sheet name="REGINFO" sheetId="1" r:id="rId1"/>
    <sheet name="TAXCALC" sheetId="2" r:id="rId2"/>
    <sheet name="TAXREC" sheetId="3" r:id="rId3"/>
  </sheets>
  <externalReferences>
    <externalReference r:id="rId6"/>
  </externalReference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<sst xmlns="http://schemas.openxmlformats.org/spreadsheetml/2006/main" count="672" uniqueCount="468">
  <si>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</si>
  <si>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</si>
  <si>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</si>
  <si>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</si>
  <si>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</si>
  <si>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</si>
  <si>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</si>
  <si>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</si>
  <si>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</si>
  <si>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</si>
  <si>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</si>
  <si>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</si>
  <si>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</si>
  <si>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</si>
  <si>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</si>
  <si>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</si>
  <si>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</si>
  <si>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</si>
  <si>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</si>
  <si>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</si>
  <si>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</si>
  <si>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</si>
  <si>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</si>
  <si>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</si>
  <si>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</si>
  <si>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</si>
  <si>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</si>
  <si>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</si>
  <si>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</si>
  <si>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</si>
  <si>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</si>
  <si>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</si>
  <si>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</si>
  <si>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</si>
  <si>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</si>
  <si>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</si>
  <si>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</si>
  <si>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</si>
  <si>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</si>
  <si>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</si>
  <si>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</si>
  <si>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</si>
  <si>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</si>
  <si>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</si>
  <si>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</si>
  <si>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</si>
  <si>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</si>
  <si>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</si>
  <si>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</si>
  <si>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</si>
  <si>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</si>
  <si>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</si>
  <si>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</si>
  <si>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</si>
  <si>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</si>
  <si>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</si>
  <si>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</si>
  <si>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</si>
  <si>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</si>
  <si>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</si>
  <si>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</si>
  <si>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</si>
  <si>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</si>
  <si>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</si>
  <si>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</si>
  <si>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</si>
  <si>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</si>
  <si>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</si>
  <si>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</si>
  <si>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</si>
  <si>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</si>
  <si>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</si>
  <si>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</si>
  <si>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</si>
  <si>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</si>
  <si>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</si>
  <si>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</si>
  <si>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</si>
  <si>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</si>
  <si>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</si>
  <si>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</si>
  <si>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</si>
  <si>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</si>
  <si>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</si>
  <si>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</si>
  <si>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</si>
  <si>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</si>
  <si>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</si>
  <si>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</si>
  <si>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</si>
  <si>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</si>
  <si>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</si>
  <si>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</si>
  <si>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</si>
  <si>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</si>
  <si>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</si>
  <si>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</si>
  <si>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</si>
  <si>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</si>
  <si>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</si>
  <si>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</si>
  <si>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</si>
  <si>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</si>
  <si>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</si>
  <si>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</si>
  <si>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</si>
  <si>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</si>
  <si>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</si>
  <si>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</si>
  <si>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</si>
  <si>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</si>
  <si>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</si>
  <si>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</si>
  <si>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</si>
  <si>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</si>
  <si>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</si>
  <si>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</si>
  <si>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</si>
  <si>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</si>
  <si>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</si>
  <si>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</si>
  <si>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</si>
  <si>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</si>
  <si>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</si>
  <si>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</si>
  <si>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</si>
  <si>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</si>
  <si>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</si>
  <si>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</si>
  <si>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</si>
  <si>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</si>
  <si>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</si>
  <si>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</si>
  <si>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</si>
  <si>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</si>
  <si>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</si>
  <si>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</si>
  <si>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</si>
  <si>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</si>
  <si>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</si>
  <si>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</si>
  <si>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</si>
  <si>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</si>
  <si>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</si>
  <si>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</si>
  <si>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</si>
  <si>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</si>
  <si>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</si>
  <si>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</si>
  <si>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</si>
  <si>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</si>
  <si>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</si>
  <si>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</si>
  <si>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</si>
  <si>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</si>
  <si>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</si>
  <si>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</si>
  <si>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</si>
  <si>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</si>
  <si>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</si>
  <si>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</si>
  <si>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</si>
  <si>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</si>
  <si>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</si>
  <si>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</si>
  <si>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</si>
  <si>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</si>
  <si>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</si>
  <si>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</si>
  <si>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</si>
  <si>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</si>
  <si>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</si>
  <si>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</si>
  <si>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</si>
  <si>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</si>
  <si>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</si>
  <si>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</si>
  <si>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</si>
  <si>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</si>
  <si>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</si>
  <si>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</si>
  <si>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</si>
  <si>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</si>
  <si>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</si>
  <si>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</si>
  <si>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</si>
  <si>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</si>
  <si>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</si>
  <si>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</si>
  <si>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</si>
  <si>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</si>
  <si>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</si>
  <si>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</si>
  <si>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</si>
  <si>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</si>
  <si>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</si>
  <si>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</si>
  <si>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</si>
  <si>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</si>
  <si>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</si>
  <si>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</si>
  <si>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</si>
  <si>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</si>
  <si>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</si>
  <si>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</si>
  <si>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</si>
  <si>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</si>
  <si>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</si>
  <si>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</si>
  <si>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</si>
  <si>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</si>
  <si>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</si>
  <si>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</si>
  <si>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</si>
  <si>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</si>
  <si>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</si>
  <si>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</si>
  <si>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</si>
  <si>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</si>
  <si>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</si>
  <si>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</si>
  <si>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</si>
  <si>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</si>
  <si>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</si>
  <si>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</si>
  <si>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</si>
  <si>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</si>
  <si>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</si>
  <si>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</si>
  <si>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</si>
  <si>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</si>
  <si>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</si>
  <si>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</si>
  <si>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</si>
  <si>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</si>
  <si>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</si>
  <si>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</si>
  <si>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</si>
  <si>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</si>
  <si>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</si>
  <si>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</si>
  <si>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</si>
  <si>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</si>
  <si>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</si>
  <si>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</si>
  <si>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</si>
  <si>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</si>
  <si>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</si>
  <si>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</si>
  <si>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</si>
  <si>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</si>
  <si>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</si>
  <si>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</si>
  <si>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</si>
  <si>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</si>
  <si>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</si>
  <si>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</si>
  <si>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</si>
  <si>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</si>
  <si>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</si>
  <si>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</si>
  <si>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</si>
  <si>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</si>
  <si>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</si>
  <si>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</si>
  <si>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</si>
  <si>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</si>
  <si>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</si>
  <si>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</si>
  <si>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</si>
  <si>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</si>
  <si>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</si>
  <si>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</si>
  <si>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</si>
  <si>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</si>
  <si>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</si>
  <si>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</si>
  <si>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</si>
  <si>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</si>
  <si>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</si>
  <si>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</si>
  <si>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</si>
  <si>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</si>
  <si>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</si>
  <si>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</si>
  <si>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</si>
  <si>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</si>
  <si>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</si>
  <si>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</si>
  <si>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</si>
  <si>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</si>
  <si>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</si>
  <si>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</si>
  <si>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</si>
  <si>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</si>
  <si>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</si>
  <si>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</si>
  <si>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</si>
  <si>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</si>
  <si>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</si>
  <si>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</si>
  <si>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</si>
  <si>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</si>
  <si>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</si>
  <si>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</si>
  <si>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</si>
  <si>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</si>
  <si>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</si>
  <si>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</si>
  <si>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</si>
  <si>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</si>
  <si>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</si>
  <si>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</si>
  <si>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</si>
  <si>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</si>
  <si>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</si>
  <si>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</si>
  <si>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</si>
  <si>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</si>
  <si>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</si>
  <si>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</si>
  <si>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</si>
  <si>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</si>
  <si>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</si>
  <si>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</si>
  <si>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</si>
  <si>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</si>
  <si>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</si>
  <si>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</si>
  <si>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</si>
  <si>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</si>
  <si>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</si>
  <si>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</si>
  <si>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</si>
  <si>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</si>
  <si>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</si>
  <si>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</si>
  <si>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</si>
  <si>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</si>
  <si>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</si>
  <si>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</si>
  <si>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</si>
  <si>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</si>
  <si>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</si>
  <si>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</si>
  <si>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</si>
  <si>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</si>
  <si>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</si>
  <si>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</si>
  <si>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</si>
  <si>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</si>
  <si>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</si>
  <si>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</si>
  <si>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</si>
  <si>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</si>
  <si>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</si>
  <si>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</si>
  <si>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</si>
  <si>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</si>
  <si>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</si>
  <si>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</si>
  <si>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</si>
  <si>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</si>
  <si>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</si>
  <si>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</si>
  <si>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</si>
  <si>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</si>
  <si>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</si>
  <si>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</si>
  <si>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</si>
  <si>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</si>
  <si>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</si>
  <si>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</si>
  <si>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</si>
  <si>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</si>
  <si>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</si>
  <si>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</si>
  <si>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</si>
  <si>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</si>
  <si>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</si>
  <si>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</si>
  <si>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</si>
  <si>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</si>
  <si>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</si>
  <si>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</si>
  <si>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</si>
  <si>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</si>
  <si>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</si>
  <si>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</si>
  <si>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</si>
  <si>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</si>
  <si>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</si>
  <si>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</si>
  <si>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</si>
  <si>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</si>
  <si>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</si>
  <si>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</si>
  <si>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</si>
  <si>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</si>
  <si>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</si>
  <si>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</si>
  <si>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</si>
  <si>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</si>
  <si>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</si>
  <si>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</si>
  <si>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</si>
  <si>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</si>
  <si>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</si>
  <si>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</si>
  <si>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</si>
  <si>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</si>
  <si>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</si>
  <si>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</si>
  <si>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</si>
  <si>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</si>
  <si>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</si>
  <si>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</si>
  <si>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</si>
  <si>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</si>
  <si>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</si>
  <si>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</si>
  <si>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</si>
  <si>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</si>
  <si>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</si>
  <si>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</si>
  <si>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</si>
  <si>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</si>
  <si>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</si>
  <si>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</si>
  <si>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</si>
  <si>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</si>
  <si>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</si>
  <si>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</si>
  <si>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</si>
  <si>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</si>
  <si>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</si>
  <si>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</si>
  <si>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</si>
  <si>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</si>
  <si>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</si>
  <si>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</si>
  <si>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</si>
  <si>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</si>
  <si>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</si>
  <si>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</si>
  <si>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</si>
  <si>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</si>
  <si>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</si>
  <si>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</si>
  <si>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</si>
  <si>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</si>
  <si>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</t>
  </si>
  <si>
    <t>N</t>
  </si>
  <si>
    <t>Dec. 31</t>
  </si>
  <si>
    <t>incr cost from 1999</t>
  </si>
  <si>
    <t>asset revaluation</t>
  </si>
  <si>
    <t>full interest vs rate phase-in</t>
  </si>
  <si>
    <t>based on 1999 income</t>
  </si>
  <si>
    <t>used 1999 depr-incl bldg</t>
  </si>
  <si>
    <t xml:space="preserve">which were not transferred </t>
  </si>
  <si>
    <t>to new corp from towns</t>
  </si>
  <si>
    <t>approved by OEB</t>
  </si>
  <si>
    <t>used 1/4 of rate same</t>
  </si>
  <si>
    <t>as rate filing for 03/2002</t>
  </si>
  <si>
    <t>Utility Name  Essex Powerlines Corporation</t>
  </si>
  <si>
    <t>Utility Name:  Essex Powerlines Corporation</t>
  </si>
  <si>
    <t>Reporting period:  October 1 - December 31, 2001</t>
  </si>
  <si>
    <t>Reporting period: October 1 - December 31, 2001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</si>
</sst>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16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74" fontId="0" fillId="0" borderId="0" xfId="0" applyNumberFormat="1" applyAlignment="1">
      <alignment vertical="top"/>
    </xf>
    <xf numFmtId="0" fontId="8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37" fontId="9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CA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0">
          <cell r="M20">
            <v>120335.79500000001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19">
      <selection activeCell="D39" sqref="D39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441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464</v>
      </c>
      <c r="C4" s="10"/>
      <c r="D4" s="50" t="s">
        <v>379</v>
      </c>
      <c r="E4" s="10"/>
      <c r="G4" s="10"/>
      <c r="H4" s="10"/>
    </row>
    <row r="5" spans="1:8" ht="13.5" thickBot="1">
      <c r="A5" t="s">
        <v>467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45" t="s">
        <v>451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0" t="s">
        <v>452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0" t="s">
        <v>453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157">
        <v>28722176.3</v>
      </c>
      <c r="H22" s="5"/>
    </row>
    <row r="24" spans="1:8" ht="12.75">
      <c r="A24" t="s">
        <v>394</v>
      </c>
      <c r="D24" s="122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2460054.4000950004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v>360343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2099711.4000950004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D39" s="125">
        <f>696081+3823</f>
        <v>699904</v>
      </c>
      <c r="F39" s="67"/>
      <c r="H39" s="125"/>
      <c r="J39" s="5"/>
      <c r="K39" s="5"/>
    </row>
    <row r="40" spans="1:11" ht="12.75">
      <c r="A40" t="s">
        <v>404</v>
      </c>
      <c r="D40" s="125">
        <f>D39</f>
        <v>699904</v>
      </c>
      <c r="F40" s="67"/>
      <c r="H40" s="125"/>
      <c r="J40" s="5"/>
      <c r="K40" s="5"/>
    </row>
    <row r="41" spans="1:11" ht="12.75">
      <c r="A41" t="s">
        <v>405</v>
      </c>
      <c r="D41" s="125">
        <f>D40</f>
        <v>699904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14361088.15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1418875.5092200001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14361088.15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1041178.8908749999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448732.67659077636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744955.9106830121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1041178.8908749999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zoomScalePageLayoutView="0"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5" sqref="G75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9.0039062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465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">
        <v>466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v>0</v>
      </c>
      <c r="D15" s="28" t="s">
        <v>141</v>
      </c>
      <c r="E15" s="92">
        <f>+G15-C15</f>
        <v>265061.75</v>
      </c>
      <c r="F15" s="161" t="s">
        <v>457</v>
      </c>
      <c r="G15" s="70">
        <f>(360343+REGINFO!D39)/4</f>
        <v>265061.75</v>
      </c>
      <c r="H15" s="35" t="s">
        <v>142</v>
      </c>
      <c r="I15" s="92">
        <f>+K15-G15</f>
        <v>-516247.75</v>
      </c>
      <c r="J15" s="158" t="s">
        <v>454</v>
      </c>
      <c r="K15" s="100">
        <f>TAXREC!E26</f>
        <v>-251186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144</v>
      </c>
      <c r="E20" s="92">
        <f aca="true" t="shared" si="0" ref="E20:E28">+G20-C20</f>
        <v>389791.75</v>
      </c>
      <c r="F20" s="160" t="s">
        <v>458</v>
      </c>
      <c r="G20" s="70">
        <f>(511065+399333+240200+408569)/4</f>
        <v>389791.75</v>
      </c>
      <c r="H20" s="39" t="s">
        <v>145</v>
      </c>
      <c r="I20" s="92">
        <f aca="true" t="shared" si="1" ref="I20:I28">+K20-G20</f>
        <v>-158691.75</v>
      </c>
      <c r="J20" s="160" t="s">
        <v>458</v>
      </c>
      <c r="K20" s="100">
        <f>TAXREC!E29</f>
        <v>231100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 t="shared" si="0"/>
        <v>0</v>
      </c>
      <c r="F21" s="160" t="s">
        <v>459</v>
      </c>
      <c r="G21" s="70"/>
      <c r="H21" s="39" t="s">
        <v>148</v>
      </c>
      <c r="I21" s="92">
        <f t="shared" si="1"/>
        <v>12182</v>
      </c>
      <c r="J21" s="160" t="s">
        <v>459</v>
      </c>
      <c r="K21" s="100">
        <f>TAXREC!E30</f>
        <v>12182</v>
      </c>
      <c r="L21" s="35" t="s">
        <v>149</v>
      </c>
    </row>
    <row r="22" spans="1:12" ht="12.75">
      <c r="A22" t="s">
        <v>362</v>
      </c>
      <c r="B22" s="10">
        <v>4</v>
      </c>
      <c r="C22" s="64"/>
      <c r="D22" s="23" t="s">
        <v>150</v>
      </c>
      <c r="E22" s="92">
        <f t="shared" si="0"/>
        <v>0</v>
      </c>
      <c r="F22" s="160" t="s">
        <v>460</v>
      </c>
      <c r="G22" s="70"/>
      <c r="H22" s="39" t="s">
        <v>151</v>
      </c>
      <c r="I22" s="92">
        <f t="shared" si="1"/>
        <v>0</v>
      </c>
      <c r="J22" s="160" t="s">
        <v>460</v>
      </c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 t="shared" si="0"/>
        <v>0</v>
      </c>
      <c r="F23" s="5"/>
      <c r="G23" s="70"/>
      <c r="H23" s="39" t="s">
        <v>154</v>
      </c>
      <c r="I23" s="92">
        <f t="shared" si="1"/>
        <v>0</v>
      </c>
      <c r="J23" s="5"/>
      <c r="K23" s="100">
        <f>TAXREC!E32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 t="shared" si="0"/>
        <v>0</v>
      </c>
      <c r="F24" s="5"/>
      <c r="G24" s="70"/>
      <c r="H24" s="39" t="s">
        <v>158</v>
      </c>
      <c r="I24" s="92">
        <f t="shared" si="1"/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 t="shared" si="0"/>
        <v>0</v>
      </c>
      <c r="F26" s="5"/>
      <c r="G26" s="70"/>
      <c r="H26" s="39" t="s">
        <v>161</v>
      </c>
      <c r="I26" s="92">
        <f t="shared" si="1"/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 t="shared" si="0"/>
        <v>0</v>
      </c>
      <c r="F27" s="5"/>
      <c r="G27" s="70"/>
      <c r="H27" s="39" t="s">
        <v>161</v>
      </c>
      <c r="I27" s="92">
        <f t="shared" si="1"/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422</v>
      </c>
      <c r="B28" s="10">
        <v>7</v>
      </c>
      <c r="C28" s="64"/>
      <c r="D28" s="30" t="s">
        <v>160</v>
      </c>
      <c r="E28" s="92">
        <f t="shared" si="0"/>
        <v>0</v>
      </c>
      <c r="F28" s="5"/>
      <c r="G28" s="70"/>
      <c r="H28" s="39" t="s">
        <v>161</v>
      </c>
      <c r="I28" s="92">
        <f t="shared" si="1"/>
        <v>0</v>
      </c>
      <c r="J28" s="5"/>
      <c r="K28" s="100">
        <f>TAXREC!E84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/>
      <c r="D30" s="30" t="s">
        <v>163</v>
      </c>
      <c r="E30" s="92">
        <f aca="true" t="shared" si="2" ref="E30:E38">+G30-C30</f>
        <v>-120335.79500000001</v>
      </c>
      <c r="F30" s="159" t="s">
        <v>455</v>
      </c>
      <c r="G30" s="70">
        <f>-'[1]Sheet1'!$M$20</f>
        <v>-120335.79500000001</v>
      </c>
      <c r="H30" s="39" t="s">
        <v>164</v>
      </c>
      <c r="I30" s="92">
        <f aca="true" t="shared" si="3" ref="I30:I38">+K30-G30</f>
        <v>-163274.205</v>
      </c>
      <c r="J30" s="159" t="s">
        <v>455</v>
      </c>
      <c r="K30" s="100">
        <f>TAXREC!E89</f>
        <v>-283610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 t="shared" si="2"/>
        <v>0</v>
      </c>
      <c r="F31" s="5"/>
      <c r="G31" s="70"/>
      <c r="H31" s="39" t="s">
        <v>167</v>
      </c>
      <c r="I31" s="92">
        <f t="shared" si="3"/>
        <v>0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2"/>
        <v>0</v>
      </c>
      <c r="F32" s="5"/>
      <c r="G32" s="70"/>
      <c r="H32" s="39" t="s">
        <v>171</v>
      </c>
      <c r="I32" s="92">
        <f t="shared" si="3"/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 t="shared" si="2"/>
        <v>0</v>
      </c>
      <c r="F33" s="5"/>
      <c r="G33" s="70"/>
      <c r="H33" s="39" t="s">
        <v>174</v>
      </c>
      <c r="I33" s="92">
        <f t="shared" si="3"/>
        <v>0</v>
      </c>
      <c r="J33" s="5"/>
      <c r="K33" s="100">
        <f>TAXREC!E92</f>
        <v>0</v>
      </c>
      <c r="L33" s="35" t="s">
        <v>175</v>
      </c>
    </row>
    <row r="34" spans="1:12" ht="12.75">
      <c r="A34" s="110" t="s">
        <v>433</v>
      </c>
      <c r="B34" s="51">
        <v>12</v>
      </c>
      <c r="C34" s="64"/>
      <c r="D34" s="30" t="s">
        <v>176</v>
      </c>
      <c r="E34" s="92">
        <f t="shared" si="2"/>
        <v>-112183.16914769409</v>
      </c>
      <c r="F34" s="160" t="s">
        <v>456</v>
      </c>
      <c r="G34" s="70">
        <f>-REGINFO!D51/4</f>
        <v>-112183.16914769409</v>
      </c>
      <c r="H34" s="39" t="s">
        <v>177</v>
      </c>
      <c r="I34" s="92">
        <f t="shared" si="3"/>
        <v>-26260.83085230591</v>
      </c>
      <c r="J34" s="160" t="s">
        <v>456</v>
      </c>
      <c r="K34" s="100">
        <f>TAXREC!E93</f>
        <v>-138444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160" t="s">
        <v>461</v>
      </c>
      <c r="G35" s="70"/>
      <c r="H35" s="39"/>
      <c r="I35" s="92"/>
      <c r="J35" s="160" t="s">
        <v>461</v>
      </c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 t="shared" si="2"/>
        <v>0</v>
      </c>
      <c r="F36" s="5"/>
      <c r="G36" s="70"/>
      <c r="H36" s="39" t="s">
        <v>180</v>
      </c>
      <c r="I36" s="92">
        <f t="shared" si="3"/>
        <v>0</v>
      </c>
      <c r="J36" s="5"/>
      <c r="K36" s="100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 t="shared" si="2"/>
        <v>0</v>
      </c>
      <c r="F37" s="5"/>
      <c r="G37" s="70"/>
      <c r="H37" s="39" t="s">
        <v>180</v>
      </c>
      <c r="I37" s="92">
        <f t="shared" si="3"/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421</v>
      </c>
      <c r="B38" s="10">
        <v>13</v>
      </c>
      <c r="C38" s="64"/>
      <c r="D38" s="30" t="s">
        <v>179</v>
      </c>
      <c r="E38" s="92">
        <f t="shared" si="2"/>
        <v>0</v>
      </c>
      <c r="F38" s="5"/>
      <c r="G38" s="70"/>
      <c r="H38" s="39" t="s">
        <v>180</v>
      </c>
      <c r="I38" s="92">
        <f t="shared" si="3"/>
        <v>0</v>
      </c>
      <c r="J38" s="5"/>
      <c r="K38" s="100">
        <f>TAXREC!E133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0</v>
      </c>
      <c r="D40" s="42"/>
      <c r="E40" s="93">
        <f>SUM(E15:E39)</f>
        <v>422334.5358523059</v>
      </c>
      <c r="F40" s="7"/>
      <c r="G40" s="96">
        <f>SUM(G15:G39)</f>
        <v>422334.5358523059</v>
      </c>
      <c r="H40" s="43"/>
      <c r="I40" s="93">
        <f>SUM(I15:I39)</f>
        <v>-852292.5358523058</v>
      </c>
      <c r="J40" s="7"/>
      <c r="K40" s="96">
        <f>SUM(K15:K39)</f>
        <v>-429958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0.3862</v>
      </c>
      <c r="D44" s="30" t="s">
        <v>182</v>
      </c>
      <c r="E44" s="95">
        <f>+G44-C44</f>
        <v>0.020000000000000018</v>
      </c>
      <c r="F44" s="159" t="s">
        <v>462</v>
      </c>
      <c r="G44" s="72">
        <v>0.4062</v>
      </c>
      <c r="H44" s="39" t="s">
        <v>183</v>
      </c>
      <c r="I44" s="95">
        <f>+K44-G44</f>
        <v>-0.30965</v>
      </c>
      <c r="J44" s="159" t="s">
        <v>462</v>
      </c>
      <c r="K44" s="101">
        <f>38.62%/4</f>
        <v>0.09655</v>
      </c>
      <c r="L44" s="35" t="s">
        <v>184</v>
      </c>
    </row>
    <row r="45" spans="2:12" ht="12.75">
      <c r="B45" s="10"/>
      <c r="C45" s="64"/>
      <c r="D45" s="30"/>
      <c r="E45" s="92"/>
      <c r="F45" s="159" t="s">
        <v>463</v>
      </c>
      <c r="G45" s="70"/>
      <c r="H45" s="39"/>
      <c r="I45" s="92"/>
      <c r="J45" s="159" t="s">
        <v>463</v>
      </c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0</v>
      </c>
      <c r="D47" s="42"/>
      <c r="E47" s="96">
        <f>+G47-C47</f>
        <v>171552.28846320664</v>
      </c>
      <c r="F47" s="7"/>
      <c r="G47" s="96">
        <f>G40*G44</f>
        <v>171552.28846320664</v>
      </c>
      <c r="H47" s="43"/>
      <c r="I47" s="98">
        <f>K47-G47</f>
        <v>-213064.73336320664</v>
      </c>
      <c r="J47" s="7"/>
      <c r="K47" s="96">
        <f>K40*K44</f>
        <v>-41512.4449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0</v>
      </c>
      <c r="D51" s="32"/>
      <c r="E51" s="97">
        <f>+E47-E49</f>
        <v>171552.28846320664</v>
      </c>
      <c r="F51" s="6"/>
      <c r="G51" s="97">
        <f>+G47-G49</f>
        <v>171552.28846320664</v>
      </c>
      <c r="H51" s="40"/>
      <c r="I51" s="97">
        <f>+I47-I49</f>
        <v>-213064.73336320664</v>
      </c>
      <c r="J51" s="6"/>
      <c r="K51" s="97">
        <f>+K47-K49</f>
        <v>-41512.4449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188</v>
      </c>
      <c r="E59" s="92">
        <f>+G59-C59</f>
        <v>28722176.3</v>
      </c>
      <c r="F59" s="5"/>
      <c r="G59" s="70">
        <f>REGINFO!D22</f>
        <v>28722176.3</v>
      </c>
      <c r="H59" s="39" t="s">
        <v>189</v>
      </c>
      <c r="I59" s="92">
        <f>+K59-G59</f>
        <v>8298360.699999999</v>
      </c>
      <c r="J59" s="5"/>
      <c r="K59" s="100">
        <f>TAXREC!E228</f>
        <v>37020537</v>
      </c>
      <c r="L59" s="35" t="s">
        <v>190</v>
      </c>
    </row>
    <row r="60" spans="1:12" ht="12.75">
      <c r="A60" s="4" t="s">
        <v>120</v>
      </c>
      <c r="B60" s="51">
        <v>17</v>
      </c>
      <c r="C60" s="64"/>
      <c r="D60" s="30" t="s">
        <v>191</v>
      </c>
      <c r="E60" s="92">
        <f>+G60-C60</f>
        <v>-5000000</v>
      </c>
      <c r="F60" s="5"/>
      <c r="G60" s="70">
        <v>-5000000</v>
      </c>
      <c r="H60" s="39" t="s">
        <v>192</v>
      </c>
      <c r="I60" s="92">
        <f>+K60-G60</f>
        <v>454900</v>
      </c>
      <c r="J60" s="5"/>
      <c r="K60" s="100">
        <f>TAXREC!E230</f>
        <v>-4545100</v>
      </c>
      <c r="L60" s="35" t="s">
        <v>193</v>
      </c>
    </row>
    <row r="61" spans="1:12" ht="12.75">
      <c r="A61" s="4" t="s">
        <v>119</v>
      </c>
      <c r="B61" s="51"/>
      <c r="C61" s="93">
        <f>SUM(C59:C60)</f>
        <v>0</v>
      </c>
      <c r="D61" s="42"/>
      <c r="E61" s="98">
        <f>SUM(E59:E60)</f>
        <v>23722176.3</v>
      </c>
      <c r="F61" s="7"/>
      <c r="G61" s="96">
        <f>SUM(G59:G60)</f>
        <v>23722176.3</v>
      </c>
      <c r="H61" s="43"/>
      <c r="I61" s="98">
        <f>SUM(I59:I60)</f>
        <v>8753260.7</v>
      </c>
      <c r="J61" s="7"/>
      <c r="K61" s="96">
        <f>SUM(K59:K60)</f>
        <v>32475437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-0.0022500000000000003</v>
      </c>
      <c r="F63" s="159" t="s">
        <v>462</v>
      </c>
      <c r="G63" s="72">
        <f>0.3%/4</f>
        <v>0.00075</v>
      </c>
      <c r="H63" s="39" t="s">
        <v>195</v>
      </c>
      <c r="I63" s="95">
        <f>+K63-G63</f>
        <v>0</v>
      </c>
      <c r="J63" s="159" t="s">
        <v>462</v>
      </c>
      <c r="K63" s="101">
        <f>0.3%/4</f>
        <v>0.00075</v>
      </c>
      <c r="L63" s="35" t="s">
        <v>196</v>
      </c>
    </row>
    <row r="64" spans="1:12" ht="12.75">
      <c r="A64" s="4"/>
      <c r="B64" s="51"/>
      <c r="C64" s="64"/>
      <c r="D64" s="30"/>
      <c r="E64" s="92"/>
      <c r="F64" s="159" t="s">
        <v>463</v>
      </c>
      <c r="G64" s="70"/>
      <c r="H64" s="39"/>
      <c r="I64" s="92"/>
      <c r="J64" s="159" t="s">
        <v>463</v>
      </c>
      <c r="K64" s="74"/>
      <c r="L64" s="35"/>
    </row>
    <row r="65" spans="1:12" ht="12.75">
      <c r="A65" s="4" t="s">
        <v>127</v>
      </c>
      <c r="B65" s="51"/>
      <c r="C65" s="93">
        <f>C61*C63</f>
        <v>0</v>
      </c>
      <c r="D65" s="62"/>
      <c r="E65" s="96">
        <f>+G65-C65</f>
        <v>17791.632225</v>
      </c>
      <c r="F65" s="7"/>
      <c r="G65" s="96">
        <f>+G61*G63</f>
        <v>17791.632225</v>
      </c>
      <c r="H65" s="21"/>
      <c r="I65" s="98">
        <f>+K65-G65</f>
        <v>6564.945524999999</v>
      </c>
      <c r="J65" s="7"/>
      <c r="K65" s="96">
        <f>+K61*K63</f>
        <v>24356.57775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197</v>
      </c>
      <c r="E68" s="92">
        <f>+G68-C68</f>
        <v>28722176.3</v>
      </c>
      <c r="F68" s="8"/>
      <c r="G68" s="70">
        <f>G59</f>
        <v>28722176.3</v>
      </c>
      <c r="H68" s="39" t="s">
        <v>198</v>
      </c>
      <c r="I68" s="92">
        <f>+K68-G68</f>
        <v>2757298.6999999993</v>
      </c>
      <c r="J68" s="8"/>
      <c r="K68" s="100">
        <f>TAXREC!E299</f>
        <v>31479475</v>
      </c>
      <c r="L68" s="35" t="s">
        <v>199</v>
      </c>
    </row>
    <row r="69" spans="1:12" ht="12.75">
      <c r="A69" s="4" t="s">
        <v>120</v>
      </c>
      <c r="B69" s="51">
        <v>20</v>
      </c>
      <c r="C69" s="64"/>
      <c r="D69" s="30" t="s">
        <v>200</v>
      </c>
      <c r="E69" s="92">
        <f>+G69-C69</f>
        <v>-10000000</v>
      </c>
      <c r="F69" s="8"/>
      <c r="G69" s="70">
        <v>-10000000</v>
      </c>
      <c r="H69" s="39" t="s">
        <v>201</v>
      </c>
      <c r="I69" s="92">
        <f>+K69-G69</f>
        <v>0</v>
      </c>
      <c r="J69" s="8"/>
      <c r="K69" s="100">
        <f>TAXREC!E301</f>
        <v>-10000000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0</v>
      </c>
      <c r="D70" s="42"/>
      <c r="E70" s="98">
        <f>SUM(E68:E69)</f>
        <v>18722176.3</v>
      </c>
      <c r="F70" s="7"/>
      <c r="G70" s="96">
        <f>SUM(G68:G69)</f>
        <v>18722176.3</v>
      </c>
      <c r="H70" s="43"/>
      <c r="I70" s="98">
        <f>SUM(I68:I69)</f>
        <v>2757298.6999999993</v>
      </c>
      <c r="J70" s="7"/>
      <c r="K70" s="96">
        <f>SUM(K68:K69)</f>
        <v>21479475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-0.0016874999999999998</v>
      </c>
      <c r="F72" s="159" t="s">
        <v>462</v>
      </c>
      <c r="G72" s="101">
        <f>0.225%/4</f>
        <v>0.0005625000000000001</v>
      </c>
      <c r="H72" s="39" t="s">
        <v>204</v>
      </c>
      <c r="I72" s="95">
        <f>+K72-G72</f>
        <v>0</v>
      </c>
      <c r="J72" s="159" t="s">
        <v>462</v>
      </c>
      <c r="K72" s="101">
        <f>0.225%/4</f>
        <v>0.0005625000000000001</v>
      </c>
      <c r="L72" s="35" t="s">
        <v>205</v>
      </c>
    </row>
    <row r="73" spans="1:12" ht="12.75">
      <c r="A73" s="4"/>
      <c r="B73" s="51"/>
      <c r="C73" s="64"/>
      <c r="D73" s="30"/>
      <c r="E73" s="92"/>
      <c r="F73" s="159" t="s">
        <v>463</v>
      </c>
      <c r="G73" s="74"/>
      <c r="H73" s="39"/>
      <c r="I73" s="92"/>
      <c r="J73" s="159" t="s">
        <v>463</v>
      </c>
      <c r="K73" s="74"/>
      <c r="L73" s="35"/>
    </row>
    <row r="74" spans="1:12" ht="12.75">
      <c r="A74" s="4" t="s">
        <v>121</v>
      </c>
      <c r="B74" s="51"/>
      <c r="C74" s="102">
        <f>+C70*C72</f>
        <v>0</v>
      </c>
      <c r="D74" s="30"/>
      <c r="E74" s="92">
        <f>+G74-C74</f>
        <v>10531.22416875</v>
      </c>
      <c r="F74" s="8"/>
      <c r="G74" s="100">
        <f>+G70*G72</f>
        <v>10531.22416875</v>
      </c>
      <c r="H74" s="39"/>
      <c r="I74" s="92">
        <f>+K74-G74</f>
        <v>1550.9805187500006</v>
      </c>
      <c r="J74" s="8"/>
      <c r="K74" s="100">
        <f>+K70*K72</f>
        <v>12082.204687500001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206</v>
      </c>
      <c r="E75" s="92">
        <f>+G75-C75</f>
        <v>-4730.146801545826</v>
      </c>
      <c r="F75" s="8"/>
      <c r="G75" s="100">
        <f>(G40*0.0112)*-1</f>
        <v>-4730.146801545826</v>
      </c>
      <c r="H75" s="39" t="s">
        <v>207</v>
      </c>
      <c r="I75" s="92">
        <f>+K75-G75</f>
        <v>9545.676401545825</v>
      </c>
      <c r="J75" s="8"/>
      <c r="K75" s="100">
        <f>(0.0112*K40)*-1</f>
        <v>4815.5296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0</v>
      </c>
      <c r="D77" s="31"/>
      <c r="E77" s="96">
        <f>SUM(E74:E76)</f>
        <v>5801.077367204175</v>
      </c>
      <c r="F77" s="7"/>
      <c r="G77" s="96">
        <f>SUM(G74:G76)</f>
        <v>5801.077367204175</v>
      </c>
      <c r="H77" s="21"/>
      <c r="I77" s="98">
        <f>SUM(I74:I76)</f>
        <v>11096.656920295825</v>
      </c>
      <c r="J77" s="63"/>
      <c r="K77" s="96">
        <f>SUM(K74:K76)</f>
        <v>16897.734287500003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C51/(1-C44)</f>
        <v>0</v>
      </c>
      <c r="D82" s="30" t="s">
        <v>209</v>
      </c>
      <c r="E82" s="92">
        <f>+G82-C82</f>
        <v>283557.5015920771</v>
      </c>
      <c r="F82" s="5"/>
      <c r="G82" s="100">
        <f>G51/(1-(G44-0.0112))</f>
        <v>283557.5015920771</v>
      </c>
      <c r="H82" s="39" t="s">
        <v>210</v>
      </c>
      <c r="I82" s="92">
        <f>+K82-G82</f>
        <v>-283557.5015920771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0</v>
      </c>
      <c r="D83" s="30" t="s">
        <v>211</v>
      </c>
      <c r="E83" s="92">
        <f>+G83-C83</f>
        <v>9588.557631742438</v>
      </c>
      <c r="F83" s="5"/>
      <c r="G83" s="100">
        <f>G77/(1-(G44-0.0112))</f>
        <v>9588.557631742438</v>
      </c>
      <c r="H83" s="39" t="s">
        <v>212</v>
      </c>
      <c r="I83" s="92">
        <f>+K83-G83</f>
        <v>-9588.557631742438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213</v>
      </c>
      <c r="E84" s="92">
        <f>+G84-C84</f>
        <v>17791.632225</v>
      </c>
      <c r="F84" s="5"/>
      <c r="G84" s="100">
        <f>G65</f>
        <v>17791.632225</v>
      </c>
      <c r="H84" s="39" t="s">
        <v>214</v>
      </c>
      <c r="I84" s="92">
        <f>+K84-G84</f>
        <v>-17791.632225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0</v>
      </c>
      <c r="D87" s="41"/>
      <c r="E87" s="99">
        <f>SUM(E82:E85)</f>
        <v>310937.69144881953</v>
      </c>
      <c r="F87" s="6"/>
      <c r="G87" s="99">
        <f>SUM(G82:G86)</f>
        <v>310937.69144881953</v>
      </c>
      <c r="H87" s="6"/>
      <c r="I87" s="99">
        <f>SUM(I82:I85)</f>
        <v>-310937.69144881953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-1041178.8908749999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112183.16914769409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-928995.7217273058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-138444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1041178.8908749999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902734.8908749999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-26260.830852305866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10">
      <selection activeCell="A11" sqref="A11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465</v>
      </c>
      <c r="B7" s="45"/>
      <c r="C7" s="82"/>
      <c r="D7" s="82"/>
      <c r="E7" s="82"/>
      <c r="F7" s="45"/>
      <c r="G7" s="3"/>
      <c r="H7" s="3"/>
    </row>
    <row r="8" spans="1:8" ht="12.75">
      <c r="A8" t="s">
        <v>466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>
        <f>10365251-9431726</f>
        <v>933525</v>
      </c>
      <c r="D15" s="128">
        <v>0</v>
      </c>
      <c r="E15" s="129">
        <f>+C15+D15</f>
        <v>933525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>
        <v>122544</v>
      </c>
      <c r="D16" s="128">
        <v>0</v>
      </c>
      <c r="E16" s="129">
        <f aca="true" t="shared" si="0" ref="E16:E24">+C16+D16</f>
        <v>122544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>
        <f>-(479113+255819)</f>
        <v>-734932</v>
      </c>
      <c r="D18" s="128"/>
      <c r="E18" s="129">
        <f t="shared" si="0"/>
        <v>-734932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>
        <v>-304619</v>
      </c>
      <c r="D19" s="128"/>
      <c r="E19" s="129">
        <f t="shared" si="0"/>
        <v>-304619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>
        <v>-231100</v>
      </c>
      <c r="D21" s="128"/>
      <c r="E21" s="129">
        <f t="shared" si="0"/>
        <v>-231100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>
        <v>-24422</v>
      </c>
      <c r="D23" s="128"/>
      <c r="E23" s="129">
        <f t="shared" si="0"/>
        <v>-24422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>
        <v>-12182</v>
      </c>
      <c r="D24" s="128"/>
      <c r="E24" s="129">
        <f t="shared" si="0"/>
        <v>-12182</v>
      </c>
      <c r="F24" s="13"/>
      <c r="G24" s="13" t="s">
        <v>358</v>
      </c>
      <c r="H24" s="90">
        <f>-C316</f>
        <v>-12181.040079452056</v>
      </c>
      <c r="I24" s="89">
        <f>-D316</f>
        <v>0</v>
      </c>
      <c r="J24" s="89">
        <f>-E316</f>
        <v>-16997.040079452054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-251186</v>
      </c>
      <c r="D26" s="131">
        <f>SUM(D15:D25)</f>
        <v>0</v>
      </c>
      <c r="E26" s="132">
        <f>SUM(E15:E25)</f>
        <v>-251186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231100</v>
      </c>
      <c r="D29" s="134">
        <f>-D21</f>
        <v>0</v>
      </c>
      <c r="E29" s="129">
        <f aca="true" t="shared" si="1" ref="E29:E35">+C29+D29</f>
        <v>231100</v>
      </c>
      <c r="F29" s="10" t="s">
        <v>146</v>
      </c>
    </row>
    <row r="30" spans="1:6" ht="12.75">
      <c r="A30" t="s">
        <v>86</v>
      </c>
      <c r="B30" s="10"/>
      <c r="C30" s="134">
        <f>-C24</f>
        <v>12182</v>
      </c>
      <c r="D30" s="134">
        <f>-D24</f>
        <v>0</v>
      </c>
      <c r="E30" s="129">
        <f t="shared" si="1"/>
        <v>12182</v>
      </c>
      <c r="F30" s="10" t="s">
        <v>149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243282</v>
      </c>
      <c r="D36" s="136">
        <f>SUM(D29:D35)</f>
        <v>0</v>
      </c>
      <c r="E36" s="137">
        <f>SUM(E29:E35)</f>
        <v>243282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>
        <v>0</v>
      </c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67"/>
      <c r="D82" s="67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243282</v>
      </c>
      <c r="D86" s="139">
        <f>D36+D84</f>
        <v>0</v>
      </c>
      <c r="E86" s="140">
        <f>E36+E84</f>
        <v>243282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>
        <v>-283610</v>
      </c>
      <c r="D89" s="67"/>
      <c r="E89" s="129">
        <f aca="true" t="shared" si="3" ref="E89:E95">+C89+D89</f>
        <v>-283610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>
        <v>-138444</v>
      </c>
      <c r="D93" s="67"/>
      <c r="E93" s="129">
        <f t="shared" si="3"/>
        <v>-138444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-422054</v>
      </c>
      <c r="D96" s="139">
        <f>SUM(D89:D95)</f>
        <v>0</v>
      </c>
      <c r="E96" s="140">
        <f>SUM(E89:E95)</f>
        <v>-422054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418</v>
      </c>
      <c r="B130" s="10"/>
      <c r="C130" s="67"/>
      <c r="D130" s="67"/>
      <c r="E130" s="129">
        <f t="shared" si="4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-422054</v>
      </c>
      <c r="D135" s="139">
        <f>D96+D133</f>
        <v>0</v>
      </c>
      <c r="E135" s="140">
        <f>+E96+E133</f>
        <v>-422054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-429958</v>
      </c>
      <c r="D138" s="142">
        <f>D26+D86+D135</f>
        <v>0</v>
      </c>
      <c r="E138" s="143">
        <f>E26+E86+E135</f>
        <v>-429958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>
        <v>5</v>
      </c>
      <c r="D148" s="67"/>
      <c r="E148" s="129">
        <f aca="true" t="shared" si="5" ref="E148:E163">+C148+D148</f>
        <v>5</v>
      </c>
      <c r="F148" s="10"/>
    </row>
    <row r="149" spans="1:6" ht="12.75">
      <c r="A149" t="s">
        <v>221</v>
      </c>
      <c r="B149" s="10"/>
      <c r="C149" s="67">
        <v>-417919</v>
      </c>
      <c r="D149" s="67"/>
      <c r="E149" s="129">
        <f t="shared" si="5"/>
        <v>-417919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224</v>
      </c>
      <c r="B152" s="10"/>
      <c r="C152" s="67">
        <v>26397389</v>
      </c>
      <c r="D152" s="67"/>
      <c r="E152" s="129">
        <f t="shared" si="5"/>
        <v>26397389</v>
      </c>
      <c r="F152" s="10"/>
    </row>
    <row r="153" spans="1:6" ht="12.75">
      <c r="A153" t="s">
        <v>225</v>
      </c>
      <c r="B153" s="10"/>
      <c r="C153" s="67">
        <v>5500000</v>
      </c>
      <c r="D153" s="67"/>
      <c r="E153" s="129">
        <f t="shared" si="5"/>
        <v>5500000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31479475</v>
      </c>
      <c r="D164" s="139">
        <f>SUM(D148:D163)</f>
        <v>0</v>
      </c>
      <c r="E164" s="140">
        <f>SUM(E148:E163)</f>
        <v>31479475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>
        <v>5541062</v>
      </c>
      <c r="D167" s="67"/>
      <c r="E167" s="129">
        <f>+C167+D167</f>
        <v>5541062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37020537</v>
      </c>
      <c r="D171" s="139">
        <f>SUM(D164:D170)</f>
        <v>0</v>
      </c>
      <c r="E171" s="140">
        <f>SUM(E164:E170)</f>
        <v>37020537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>
        <v>36695175</v>
      </c>
      <c r="D190" s="67"/>
      <c r="E190" s="129">
        <f aca="true" t="shared" si="7" ref="E190:E196">+C190+D190</f>
        <v>36695175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36695175</v>
      </c>
      <c r="D198" s="139">
        <f>SUM(D190:D197)</f>
        <v>0</v>
      </c>
      <c r="E198" s="140">
        <f>SUM(E190:E197)</f>
        <v>36695175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>
        <v>5541062</v>
      </c>
      <c r="D206" s="67"/>
      <c r="E206" s="129">
        <f t="shared" si="8"/>
        <v>5541062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42236238</v>
      </c>
      <c r="D212" s="139">
        <f>SUM(D198:D211)</f>
        <v>1</v>
      </c>
      <c r="E212" s="140">
        <f>SUM(E198:E211)</f>
        <v>42236239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37020537</v>
      </c>
      <c r="D221" s="124">
        <f>+D171</f>
        <v>0</v>
      </c>
      <c r="E221" s="129">
        <f>+C221+D221</f>
        <v>37020537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37020537</v>
      </c>
      <c r="D224" s="139">
        <f>SUM(D221:D223)</f>
        <v>0</v>
      </c>
      <c r="E224" s="140">
        <f>SUM(E221:E223)</f>
        <v>37020537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37020537</v>
      </c>
      <c r="D228" s="124">
        <f>+D224</f>
        <v>0</v>
      </c>
      <c r="E228" s="129">
        <f>+C228+D228</f>
        <v>37020537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>
        <v>-4545100</v>
      </c>
      <c r="D230" s="67"/>
      <c r="E230" s="129">
        <f>+C230+D230</f>
        <v>-4545100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32475437</v>
      </c>
      <c r="D232" s="145">
        <f>SUM(D228:D231)</f>
        <v>0</v>
      </c>
      <c r="E232" s="146">
        <f>SUM(E228:E231)</f>
        <v>32475437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92</v>
      </c>
      <c r="D236" s="89">
        <f>C236</f>
        <v>92</v>
      </c>
      <c r="E236" s="89">
        <f>C236</f>
        <v>92</v>
      </c>
      <c r="F236" s="10"/>
    </row>
    <row r="237" spans="1:6" ht="12.75">
      <c r="A237" s="4" t="s">
        <v>329</v>
      </c>
      <c r="B237" s="10"/>
      <c r="C237" s="91">
        <f>+C236/365</f>
        <v>0.25205479452054796</v>
      </c>
      <c r="D237" s="91">
        <f>+D236/365</f>
        <v>0.25205479452054796</v>
      </c>
      <c r="E237" s="91">
        <f>+E236/365</f>
        <v>0.25205479452054796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24556.7688</v>
      </c>
      <c r="D239" s="145">
        <f>+D232*D234*D237</f>
        <v>0</v>
      </c>
      <c r="E239" s="146">
        <f>+E232*E234*E237</f>
        <v>24556.7688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287</v>
      </c>
      <c r="B250" s="10"/>
      <c r="C250" s="67">
        <v>5</v>
      </c>
      <c r="D250" s="67"/>
      <c r="E250" s="129">
        <f t="shared" si="9"/>
        <v>5</v>
      </c>
      <c r="F250" s="10"/>
    </row>
    <row r="251" spans="1:6" ht="12.75">
      <c r="A251" t="s">
        <v>288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67">
        <v>26397389</v>
      </c>
      <c r="D255" s="67"/>
      <c r="E255" s="129">
        <f t="shared" si="9"/>
        <v>26397389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>
        <v>5500000</v>
      </c>
      <c r="D258" s="67"/>
      <c r="E258" s="129">
        <f t="shared" si="9"/>
        <v>5500000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31897394</v>
      </c>
      <c r="D263" s="139">
        <f>SUM(D248:D262)</f>
        <v>0</v>
      </c>
      <c r="E263" s="140">
        <f>SUM(E248:E262)</f>
        <v>31897394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>
        <v>-417919</v>
      </c>
      <c r="D268" s="67"/>
      <c r="E268" s="129">
        <f t="shared" si="10"/>
        <v>-417919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-417919</v>
      </c>
      <c r="D274" s="139">
        <f>SUM(D266:D273)</f>
        <v>0</v>
      </c>
      <c r="E274" s="140">
        <f>SUM(E266:E273)</f>
        <v>-417919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31479475</v>
      </c>
      <c r="D276" s="145">
        <f>+D263+D274</f>
        <v>0</v>
      </c>
      <c r="E276" s="146">
        <f>+E263+E274</f>
        <v>31479475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31479475</v>
      </c>
      <c r="D295" s="124">
        <f>+D276</f>
        <v>0</v>
      </c>
      <c r="E295" s="129">
        <f>+C295+D295</f>
        <v>31479475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31479475</v>
      </c>
      <c r="D299" s="139">
        <f>SUM(D295:D298)</f>
        <v>0</v>
      </c>
      <c r="E299" s="140">
        <f>SUM(E295:E298)</f>
        <v>31479475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>
        <v>-10000000</v>
      </c>
      <c r="D301" s="67"/>
      <c r="E301" s="129">
        <f>+C301+D301</f>
        <v>-10000000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21479475</v>
      </c>
      <c r="D303" s="145">
        <f>+D299+D301</f>
        <v>0</v>
      </c>
      <c r="E303" s="146">
        <f>+E299+E301</f>
        <v>21479475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92</v>
      </c>
      <c r="D307" s="89">
        <f>C307</f>
        <v>92</v>
      </c>
      <c r="E307" s="89">
        <f>C307</f>
        <v>92</v>
      </c>
      <c r="F307" s="10"/>
    </row>
    <row r="308" spans="1:6" ht="12.75">
      <c r="A308" s="4" t="s">
        <v>329</v>
      </c>
      <c r="B308" s="10"/>
      <c r="C308" s="91">
        <f>+C307/365</f>
        <v>0.25205479452054796</v>
      </c>
      <c r="D308" s="91">
        <f>+D307/365</f>
        <v>0.25205479452054796</v>
      </c>
      <c r="E308" s="91">
        <f>+E307/365</f>
        <v>0.25205479452054796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12181.510479452056</v>
      </c>
      <c r="D310" s="145">
        <f>+D303*D305*D308</f>
        <v>0</v>
      </c>
      <c r="E310" s="146">
        <f>+E303*E305*E308</f>
        <v>12181.510479452056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+C138*C312+4816</f>
        <v>0.47040000000015425</v>
      </c>
      <c r="D314" s="124">
        <f>+D138*D312</f>
        <v>0</v>
      </c>
      <c r="E314" s="124">
        <f>+E138*E312</f>
        <v>-4815.5296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12181.040079452056</v>
      </c>
      <c r="D316" s="142">
        <f>+D310-D314</f>
        <v>0</v>
      </c>
      <c r="E316" s="143">
        <f>+E310-E314</f>
        <v>16997.040079452054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spans="2:3" ht="12.75">
      <c r="B319" s="10"/>
      <c r="C319" s="67">
        <f>+C316+C239</f>
        <v>36737.80887945206</v>
      </c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Martin Benum</cp:lastModifiedBy>
  <cp:lastPrinted>2011-10-27T13:11:56Z</cp:lastPrinted>
  <dcterms:created xsi:type="dcterms:W3CDTF">2001-11-07T16:15:53Z</dcterms:created>
  <dcterms:modified xsi:type="dcterms:W3CDTF">2011-10-27T13:12:15Z</dcterms:modified>
  <cp:category/>
  <cp:version/>
  <cp:contentType/>
  <cp:contentStatus/>
</cp:coreProperties>
</file>