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265" tabRatio="901" firstSheet="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added $157,866 to reconcile to Schedule 1 </t>
        </r>
      </text>
    </comment>
  </commentList>
</comments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<sst xmlns="http://schemas.openxmlformats.org/spreadsheetml/2006/main" count="848" uniqueCount="501">
  <si>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</si>
  <si>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</si>
  <si>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</si>
  <si>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</si>
  <si>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</si>
  <si>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</si>
  <si>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</si>
  <si>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</si>
  <si>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</si>
  <si>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</si>
  <si>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</si>
  <si>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</si>
  <si>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</si>
  <si>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</si>
  <si>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</si>
  <si>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</si>
  <si>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</si>
  <si>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</si>
  <si>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</si>
  <si>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</si>
  <si>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</si>
  <si>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</si>
  <si>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</si>
  <si>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</si>
  <si>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</si>
  <si>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</si>
  <si>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</si>
  <si>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</si>
  <si>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</si>
  <si>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</si>
  <si>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</si>
  <si>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</si>
  <si>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</si>
  <si>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</si>
  <si>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</si>
  <si>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</si>
  <si>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</si>
  <si>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</si>
  <si>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</si>
  <si>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</si>
  <si>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</si>
  <si>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</si>
  <si>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</si>
  <si>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</si>
  <si>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</si>
  <si>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</si>
  <si>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</si>
  <si>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</si>
  <si>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</si>
  <si>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</si>
  <si>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</si>
  <si>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</si>
  <si>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</si>
  <si>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</si>
  <si>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</si>
  <si>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</si>
  <si>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</si>
  <si>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</si>
  <si>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</si>
  <si>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</si>
  <si>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</si>
  <si>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</si>
  <si>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</si>
  <si>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</si>
  <si>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</si>
  <si>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</si>
  <si>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</si>
  <si>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</si>
  <si>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</si>
  <si>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</si>
  <si>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</si>
  <si>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</si>
  <si>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</si>
  <si>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</si>
  <si>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</si>
  <si>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</si>
  <si>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</si>
  <si>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</si>
  <si>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</si>
  <si>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</si>
  <si>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</si>
  <si>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</si>
  <si>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</si>
  <si>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</si>
  <si>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</si>
  <si>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</si>
  <si>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</si>
  <si>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</si>
  <si>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</si>
  <si>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</si>
  <si>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</si>
  <si>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</si>
  <si>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</si>
  <si>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</si>
  <si>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</si>
  <si>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</si>
  <si>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</si>
  <si>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</si>
  <si>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</si>
  <si>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</si>
  <si>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</si>
  <si>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</si>
  <si>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</si>
  <si>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</si>
  <si>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</si>
  <si>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</si>
  <si>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</si>
  <si>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</si>
  <si>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</si>
  <si>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</si>
  <si>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</si>
  <si>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</si>
  <si>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</si>
  <si>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</si>
  <si>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</si>
  <si>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</si>
  <si>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</si>
  <si>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</si>
  <si>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</si>
  <si>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</si>
  <si>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</si>
  <si>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</si>
  <si>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</si>
  <si>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</si>
  <si>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</si>
  <si>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</si>
  <si>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</si>
  <si>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</si>
  <si>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</si>
  <si>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</si>
  <si>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</si>
  <si>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</si>
  <si>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</si>
  <si>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</si>
  <si>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</si>
  <si>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</si>
  <si>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</si>
  <si>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</si>
  <si>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</si>
  <si>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</si>
  <si>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</si>
  <si>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</si>
  <si>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</si>
  <si>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</si>
  <si>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</si>
  <si>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</si>
  <si>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</si>
  <si>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</si>
  <si>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</si>
  <si>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</si>
  <si>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</si>
  <si>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</si>
  <si>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</si>
  <si>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</si>
  <si>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</si>
  <si>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</si>
  <si>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</si>
  <si>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</si>
  <si>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</si>
  <si>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</si>
  <si>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</si>
  <si>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</si>
  <si>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</si>
  <si>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</si>
  <si>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</si>
  <si>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</si>
  <si>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</si>
  <si>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</si>
  <si>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</si>
  <si>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</si>
  <si>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</si>
  <si>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</si>
  <si>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</si>
  <si>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</si>
  <si>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</si>
  <si>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</si>
  <si>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</si>
  <si>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</si>
  <si>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</si>
  <si>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</si>
  <si>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</si>
  <si>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</si>
  <si>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</si>
  <si>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</si>
  <si>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</si>
  <si>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</si>
  <si>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</si>
  <si>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</si>
  <si>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</si>
  <si>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</si>
  <si>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</si>
  <si>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</si>
  <si>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</si>
  <si>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</si>
  <si>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</si>
  <si>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</si>
  <si>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</si>
  <si>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</si>
  <si>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</si>
  <si>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</si>
  <si>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</si>
  <si>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</si>
  <si>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</si>
  <si>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</si>
  <si>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</si>
  <si>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</si>
  <si>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</si>
  <si>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</si>
  <si>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</si>
  <si>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</si>
  <si>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</si>
  <si>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</si>
  <si>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</si>
  <si>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</si>
  <si>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</si>
  <si>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</si>
  <si>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</si>
  <si>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</si>
  <si>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</si>
  <si>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</si>
  <si>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</si>
  <si>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</si>
  <si>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</si>
  <si>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</si>
  <si>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</si>
  <si>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</si>
  <si>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</si>
  <si>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</si>
  <si>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</si>
  <si>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</si>
  <si>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</si>
  <si>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</si>
  <si>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</si>
  <si>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</si>
  <si>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</si>
  <si>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</si>
  <si>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</si>
  <si>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</si>
  <si>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</si>
  <si>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</si>
  <si>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</si>
  <si>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</si>
  <si>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</si>
  <si>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</si>
  <si>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</si>
  <si>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</si>
  <si>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</si>
  <si>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</si>
  <si>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</si>
  <si>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</si>
  <si>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</si>
  <si>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</si>
  <si>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</si>
  <si>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</si>
  <si>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</si>
  <si>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</si>
  <si>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</si>
  <si>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</si>
  <si>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</si>
  <si>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</si>
  <si>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</si>
  <si>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</si>
  <si>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</si>
  <si>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</si>
  <si>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</si>
  <si>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</si>
  <si>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</si>
  <si>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</si>
  <si>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</si>
  <si>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</si>
  <si>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</si>
  <si>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</si>
  <si>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</si>
  <si>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</si>
  <si>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</si>
  <si>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</si>
  <si>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</si>
  <si>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</si>
  <si>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</si>
  <si>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</si>
  <si>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</si>
  <si>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</si>
  <si>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</si>
  <si>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</si>
  <si>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</si>
  <si>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</si>
  <si>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</si>
  <si>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</si>
  <si>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</si>
  <si>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</si>
  <si>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</si>
  <si>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</si>
  <si>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</si>
  <si>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</si>
  <si>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</si>
  <si>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</si>
  <si>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</si>
  <si>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</si>
  <si>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</si>
  <si>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</si>
  <si>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</si>
  <si>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</si>
  <si>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</si>
  <si>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</si>
  <si>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</si>
  <si>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</si>
  <si>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</si>
  <si>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</si>
  <si>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</si>
  <si>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</si>
  <si>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</si>
  <si>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</si>
  <si>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</si>
  <si>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</si>
  <si>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</si>
  <si>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</si>
  <si>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</si>
  <si>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</si>
  <si>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</si>
  <si>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</si>
  <si>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</si>
  <si>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</si>
  <si>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</si>
  <si>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</si>
  <si>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</si>
  <si>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</si>
  <si>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</si>
  <si>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</si>
  <si>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</si>
  <si>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</si>
  <si>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</si>
  <si>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</si>
  <si>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</si>
  <si>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</si>
  <si>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</si>
  <si>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</si>
  <si>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</si>
  <si>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</si>
  <si>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</si>
  <si>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</si>
  <si>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</si>
  <si>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</si>
  <si>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</si>
  <si>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</si>
  <si>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</si>
  <si>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</si>
  <si>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</si>
  <si>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</si>
  <si>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</si>
  <si>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</si>
  <si>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</si>
  <si>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</si>
  <si>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</si>
  <si>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</si>
  <si>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</si>
  <si>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</si>
  <si>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</si>
  <si>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</si>
  <si>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</si>
  <si>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</si>
  <si>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</si>
  <si>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</si>
  <si>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</si>
  <si>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</si>
  <si>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</si>
  <si>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</si>
  <si>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</si>
  <si>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</si>
  <si>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</si>
  <si>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</si>
  <si>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</si>
  <si>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</si>
  <si>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</si>
  <si>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</si>
  <si>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</si>
  <si>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</si>
  <si>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</si>
  <si>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</si>
  <si>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</si>
  <si>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</si>
  <si>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</si>
  <si>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</si>
  <si>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</si>
  <si>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</si>
  <si>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</si>
  <si>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</si>
  <si>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</si>
  <si>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</si>
  <si>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</si>
  <si>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</si>
  <si>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</si>
  <si>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</si>
  <si>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</si>
  <si>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</si>
  <si>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</si>
  <si>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</si>
  <si>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</si>
  <si>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</si>
  <si>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</si>
  <si>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</si>
  <si>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</si>
  <si>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</si>
  <si>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</si>
  <si>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</si>
  <si>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</si>
  <si>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</si>
  <si>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</si>
  <si>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</si>
  <si>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</si>
  <si>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</si>
  <si>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</si>
  <si>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</si>
  <si>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</si>
  <si>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</si>
  <si>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</si>
  <si>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</si>
  <si>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</si>
  <si>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</si>
  <si>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</si>
  <si>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</si>
  <si>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</si>
  <si>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</si>
  <si>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</si>
  <si>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</si>
  <si>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</si>
  <si>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</si>
  <si>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</si>
  <si>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</si>
  <si>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</si>
  <si>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</si>
  <si>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</si>
  <si>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</si>
  <si>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</si>
  <si>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</si>
  <si>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</si>
  <si>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</si>
  <si>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</si>
  <si>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</si>
  <si>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</si>
  <si>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</si>
  <si>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</si>
  <si>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</si>
  <si>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</si>
  <si>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</si>
  <si>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</si>
  <si>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</si>
  <si>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</si>
  <si>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</si>
  <si>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</si>
  <si>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</si>
  <si>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</si>
  <si>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</si>
  <si>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</si>
  <si>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</si>
  <si>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</si>
  <si>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</si>
  <si>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</si>
  <si>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</si>
  <si>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</si>
  <si>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</si>
  <si>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</si>
  <si>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</si>
  <si>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</si>
  <si>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</si>
  <si>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</si>
  <si>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</si>
  <si>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</si>
  <si>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</si>
  <si>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</si>
  <si>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</si>
  <si>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</si>
  <si>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</si>
  <si>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</si>
  <si>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</si>
  <si>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</si>
  <si>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CDM Incremental OM&amp;A per CDM plan</t>
  </si>
  <si>
    <t>Total deemed interest (REGINFO  D62)</t>
  </si>
  <si>
    <t>Interest phased-in  (REGINFO  D70)</t>
  </si>
  <si>
    <t>Total Deemed Interest (REGINFO D62)</t>
  </si>
  <si>
    <t xml:space="preserve">Interest deducted on MoF filing  </t>
  </si>
  <si>
    <t xml:space="preserve">     Rounding adjustment re: depreciation </t>
  </si>
  <si>
    <t>Income Tax Rate used for gross-up</t>
  </si>
  <si>
    <t xml:space="preserve">Income Tax Rate </t>
  </si>
  <si>
    <t>Incremental taxable income due to true-up items</t>
  </si>
  <si>
    <t>Nothing in rates, no rate or exemption changes - no true-up</t>
  </si>
  <si>
    <t xml:space="preserve">No change in tax rates or exemptions- no true-up </t>
  </si>
  <si>
    <t>Utility Name: Brant County Power Inc.</t>
  </si>
  <si>
    <t xml:space="preserve">    Other</t>
  </si>
  <si>
    <t xml:space="preserve">Employee Future Benefits </t>
  </si>
  <si>
    <t>Ontario Specified Tax Credits</t>
  </si>
  <si>
    <t>OITC/BCITC from prior year</t>
  </si>
  <si>
    <t>Regulatory variance accounts at December 31, 2005</t>
  </si>
  <si>
    <t>Transition Costs at December 31, 2004</t>
  </si>
  <si>
    <t>PILS at December 31, 2004</t>
  </si>
  <si>
    <t>Other Regulatory variance accounts at December 31, 2005</t>
  </si>
  <si>
    <t>Regulatory variance accounts at December 31, 2004</t>
  </si>
  <si>
    <t>Transition Costs at December 31, 2005</t>
  </si>
  <si>
    <t>PILS at December 31, 2005</t>
  </si>
  <si>
    <t>Taxable</t>
  </si>
  <si>
    <t xml:space="preserve">Income </t>
  </si>
  <si>
    <t>rate changed from 27.5 to 24.59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</si>
</sst>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0.0000%"/>
    <numFmt numFmtId="167" formatCode="&quot;$&quot;#,##0.00"/>
    <numFmt numFmtId="168" formatCode="0.000%"/>
  </numFmts>
  <fonts count="50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/>
      <top style="thin"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7" borderId="1" applyNumberFormat="0" applyAlignment="0" applyProtection="0"/>
    <xf numFmtId="0" fontId="45" fillId="0" borderId="4" applyNumberFormat="0" applyFill="0" applyAlignment="0" applyProtection="0"/>
    <xf numFmtId="0" fontId="41" fillId="22" borderId="0" applyNumberFormat="0" applyBorder="0" applyAlignment="0" applyProtection="0"/>
    <xf numFmtId="0" fontId="0" fillId="23" borderId="5" applyNumberFormat="0" applyFont="0" applyAlignment="0" applyProtection="0"/>
    <xf numFmtId="0" fontId="43" fillId="20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7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4" fillId="28" borderId="15" xfId="0" applyFont="1" applyFill="1" applyBorder="1" applyAlignment="1">
      <alignment vertical="top"/>
    </xf>
    <xf numFmtId="0" fontId="4" fillId="22" borderId="18" xfId="0" applyFont="1" applyFill="1" applyBorder="1" applyAlignment="1">
      <alignment vertical="top"/>
    </xf>
    <xf numFmtId="0" fontId="4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66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5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6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4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66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66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6" applyNumberFormat="1" applyFont="1" applyFill="1" applyBorder="1" applyAlignment="1" applyProtection="1" quotePrefix="1">
      <alignment vertical="top"/>
      <protection/>
    </xf>
    <xf numFmtId="3" fontId="0" fillId="27" borderId="47" xfId="56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68" fontId="0" fillId="27" borderId="44" xfId="0" applyNumberFormat="1" applyFill="1" applyBorder="1" applyAlignment="1" applyProtection="1">
      <alignment horizontal="center" vertical="top"/>
      <protection locked="0"/>
    </xf>
    <xf numFmtId="16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4" fillId="26" borderId="0" xfId="0" applyFont="1" applyFill="1" applyBorder="1" applyAlignment="1" applyProtection="1">
      <alignment vertical="top"/>
      <protection locked="0"/>
    </xf>
    <xf numFmtId="0" fontId="4" fillId="26" borderId="0" xfId="0" applyFont="1" applyFill="1" applyBorder="1" applyAlignment="1" applyProtection="1">
      <alignment horizontal="center" vertical="top"/>
      <protection locked="0"/>
    </xf>
    <xf numFmtId="3" fontId="4" fillId="26" borderId="0" xfId="42" applyNumberFormat="1" applyFont="1" applyFill="1" applyBorder="1" applyAlignment="1" applyProtection="1">
      <alignment horizontal="center" vertical="top"/>
      <protection locked="0"/>
    </xf>
    <xf numFmtId="3" fontId="4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6" borderId="0" xfId="0" applyFont="1" applyFill="1" applyBorder="1" applyAlignment="1" applyProtection="1">
      <alignment horizontal="center" vertical="center" wrapText="1"/>
      <protection locked="0"/>
    </xf>
    <xf numFmtId="0" fontId="8" fillId="26" borderId="0" xfId="0" applyFont="1" applyFill="1" applyBorder="1" applyAlignment="1" applyProtection="1">
      <alignment vertical="top" wrapText="1"/>
      <protection locked="0"/>
    </xf>
    <xf numFmtId="0" fontId="8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3" fontId="4" fillId="4" borderId="48" xfId="42" applyNumberFormat="1" applyFont="1" applyFill="1" applyBorder="1" applyAlignment="1" applyProtection="1">
      <alignment horizontal="center" vertical="top"/>
      <protection locked="0"/>
    </xf>
    <xf numFmtId="4" fontId="10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top"/>
      <protection locked="0"/>
    </xf>
    <xf numFmtId="3" fontId="4" fillId="4" borderId="49" xfId="42" applyNumberFormat="1" applyFont="1" applyFill="1" applyBorder="1" applyAlignment="1" applyProtection="1">
      <alignment horizontal="center" vertical="top"/>
      <protection locked="0"/>
    </xf>
    <xf numFmtId="3" fontId="4" fillId="23" borderId="48" xfId="42" applyNumberFormat="1" applyFont="1" applyFill="1" applyBorder="1" applyAlignment="1" applyProtection="1">
      <alignment horizontal="center" vertical="top"/>
      <protection locked="0"/>
    </xf>
    <xf numFmtId="4" fontId="10" fillId="23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23" borderId="49" xfId="0" applyFont="1" applyFill="1" applyBorder="1" applyAlignment="1" applyProtection="1">
      <alignment horizontal="center" vertical="top"/>
      <protection locked="0"/>
    </xf>
    <xf numFmtId="3" fontId="4" fillId="23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23" borderId="49" xfId="42" applyNumberFormat="1" applyFont="1" applyFill="1" applyBorder="1" applyAlignment="1" applyProtection="1">
      <alignment horizontal="center" vertical="top"/>
      <protection locked="0"/>
    </xf>
    <xf numFmtId="0" fontId="10" fillId="23" borderId="54" xfId="0" applyFont="1" applyFill="1" applyBorder="1" applyAlignment="1" applyProtection="1">
      <alignment horizontal="center" vertical="center" wrapText="1"/>
      <protection locked="0"/>
    </xf>
    <xf numFmtId="0" fontId="4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4" fillId="26" borderId="0" xfId="0" applyFont="1" applyFill="1" applyBorder="1" applyAlignment="1" applyProtection="1">
      <alignment vertical="top"/>
      <protection locked="0"/>
    </xf>
    <xf numFmtId="0" fontId="4" fillId="26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5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9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4" fillId="27" borderId="48" xfId="0" applyFont="1" applyFill="1" applyBorder="1" applyAlignment="1">
      <alignment horizontal="center" vertical="top"/>
    </xf>
    <xf numFmtId="0" fontId="4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30" borderId="14" xfId="0" applyNumberFormat="1" applyFill="1" applyBorder="1" applyAlignment="1" applyProtection="1" quotePrefix="1">
      <alignment/>
      <protection/>
    </xf>
    <xf numFmtId="3" fontId="0" fillId="31" borderId="14" xfId="0" applyNumberFormat="1" applyFill="1" applyBorder="1" applyAlignment="1" applyProtection="1">
      <alignment vertical="top"/>
      <protection/>
    </xf>
    <xf numFmtId="10" fontId="0" fillId="30" borderId="14" xfId="0" applyNumberFormat="1" applyFill="1" applyBorder="1" applyAlignment="1" applyProtection="1" quotePrefix="1">
      <alignment vertical="top"/>
      <protection/>
    </xf>
    <xf numFmtId="37" fontId="0" fillId="30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7" fontId="4" fillId="23" borderId="14" xfId="0" applyNumberFormat="1" applyFont="1" applyFill="1" applyBorder="1" applyAlignment="1" applyProtection="1">
      <alignment/>
      <protection/>
    </xf>
    <xf numFmtId="37" fontId="4" fillId="23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31" borderId="14" xfId="0" applyNumberFormat="1" applyFill="1" applyBorder="1" applyAlignment="1" applyProtection="1">
      <alignment horizontal="right" vertical="top"/>
      <protection/>
    </xf>
    <xf numFmtId="3" fontId="0" fillId="27" borderId="58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2" applyFont="1" applyAlignment="1" applyProtection="1">
      <alignment vertical="top"/>
      <protection locked="0"/>
    </xf>
    <xf numFmtId="10" fontId="0" fillId="0" borderId="0" xfId="62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horizontal="right" vertical="top"/>
    </xf>
    <xf numFmtId="37" fontId="31" fillId="0" borderId="0" xfId="0" applyNumberFormat="1" applyFont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33" fillId="0" borderId="24" xfId="0" applyFont="1" applyFill="1" applyBorder="1" applyAlignment="1" applyProtection="1">
      <alignment vertical="top"/>
      <protection/>
    </xf>
    <xf numFmtId="0" fontId="34" fillId="0" borderId="24" xfId="0" applyFont="1" applyBorder="1" applyAlignment="1" applyProtection="1">
      <alignment vertical="top"/>
      <protection/>
    </xf>
    <xf numFmtId="3" fontId="4" fillId="31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3" fontId="32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3" fontId="4" fillId="4" borderId="54" xfId="0" applyNumberFormat="1" applyFont="1" applyFill="1" applyBorder="1" applyAlignment="1" applyProtection="1">
      <alignment horizontal="center" vertical="center" wrapText="1"/>
      <protection locked="0"/>
    </xf>
    <xf numFmtId="6" fontId="10" fillId="4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75" zoomScaleNormal="75" zoomScalePageLayoutView="0" workbookViewId="0" topLeftCell="A36">
      <selection activeCell="D53" sqref="D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488" t="s">
        <v>486</v>
      </c>
      <c r="C3" s="8"/>
      <c r="D3" s="434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3" t="s">
        <v>427</v>
      </c>
      <c r="E4" s="408"/>
      <c r="H4" s="8"/>
    </row>
    <row r="5" spans="1:8" ht="12.75">
      <c r="A5" s="51"/>
      <c r="C5" s="8"/>
      <c r="D5" s="432" t="s">
        <v>428</v>
      </c>
      <c r="E5" s="379"/>
      <c r="H5" s="8"/>
    </row>
    <row r="6" spans="1:8" ht="12.75">
      <c r="A6" s="2" t="s">
        <v>125</v>
      </c>
      <c r="B6" s="369">
        <v>365</v>
      </c>
      <c r="C6" s="8" t="s">
        <v>126</v>
      </c>
      <c r="D6" s="21"/>
      <c r="H6" s="8"/>
    </row>
    <row r="7" spans="1:8" ht="13.5" thickBot="1">
      <c r="A7" s="51" t="s">
        <v>250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6"/>
    </row>
    <row r="18" spans="1:4" ht="15" customHeight="1">
      <c r="A18" s="370" t="s">
        <v>307</v>
      </c>
      <c r="C18" s="8"/>
      <c r="D18" s="8"/>
    </row>
    <row r="19" spans="1:4" ht="15" customHeight="1">
      <c r="A19" s="493" t="s">
        <v>308</v>
      </c>
      <c r="B19" s="8" t="s">
        <v>305</v>
      </c>
      <c r="C19" s="8" t="s">
        <v>63</v>
      </c>
      <c r="D19" s="369"/>
    </row>
    <row r="20" spans="1:4" ht="13.5" thickBot="1">
      <c r="A20" s="494"/>
      <c r="B20" s="8" t="s">
        <v>306</v>
      </c>
      <c r="C20" s="8" t="s">
        <v>63</v>
      </c>
      <c r="D20" s="256"/>
    </row>
    <row r="21" spans="1:4" ht="12.75">
      <c r="A21" s="493" t="s">
        <v>304</v>
      </c>
      <c r="B21" s="8" t="s">
        <v>305</v>
      </c>
      <c r="C21" s="8"/>
      <c r="D21" s="403">
        <v>1</v>
      </c>
    </row>
    <row r="22" spans="1:4" ht="12.75">
      <c r="A22" s="493"/>
      <c r="B22" s="8" t="s">
        <v>306</v>
      </c>
      <c r="C22" s="8"/>
      <c r="D22" s="403">
        <v>1</v>
      </c>
    </row>
    <row r="23" spans="1:4" ht="7.5" customHeight="1">
      <c r="A23" s="45"/>
      <c r="C23" s="8"/>
      <c r="D23" s="369"/>
    </row>
    <row r="24" spans="1:4" ht="12.75">
      <c r="A24" s="45" t="s">
        <v>209</v>
      </c>
      <c r="C24" s="8" t="s">
        <v>210</v>
      </c>
      <c r="D24" s="404" t="s">
        <v>464</v>
      </c>
    </row>
    <row r="25" ht="6.75" customHeight="1" thickBot="1">
      <c r="A25" s="12"/>
    </row>
    <row r="26" spans="1:5" ht="12.75">
      <c r="A26" s="253" t="s">
        <v>66</v>
      </c>
      <c r="C26" s="8"/>
      <c r="E26" s="423" t="s">
        <v>291</v>
      </c>
    </row>
    <row r="27" spans="1:5" ht="12.75">
      <c r="A27" s="254" t="s">
        <v>67</v>
      </c>
      <c r="C27" s="8"/>
      <c r="E27" s="424" t="s">
        <v>292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281</v>
      </c>
      <c r="D31" s="401">
        <v>12710037</v>
      </c>
      <c r="H31" s="5"/>
    </row>
    <row r="32" ht="6" customHeight="1"/>
    <row r="33" spans="1:8" ht="12.75">
      <c r="A33" t="s">
        <v>70</v>
      </c>
      <c r="D33" s="40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2">
        <v>0.0988</v>
      </c>
      <c r="H37" s="41"/>
    </row>
    <row r="38" ht="4.5" customHeight="1">
      <c r="H38" s="34"/>
    </row>
    <row r="39" spans="1:8" ht="12.75">
      <c r="A39" t="s">
        <v>73</v>
      </c>
      <c r="D39" s="402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5">
        <v>144208</v>
      </c>
      <c r="E43" s="368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944406.6690500001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06">
        <v>314802</v>
      </c>
      <c r="E47" s="368">
        <f aca="true" t="shared" si="0" ref="E47:E53">D47</f>
        <v>314802</v>
      </c>
      <c r="H47" s="40"/>
      <c r="J47" s="5"/>
      <c r="K47" s="5"/>
    </row>
    <row r="48" spans="1:11" ht="12.75">
      <c r="A48" t="s">
        <v>284</v>
      </c>
      <c r="D48" s="406">
        <v>314802</v>
      </c>
      <c r="E48" s="368">
        <f>D48</f>
        <v>314802</v>
      </c>
      <c r="F48" s="22"/>
      <c r="H48" s="40"/>
      <c r="J48" s="5"/>
      <c r="K48" s="5"/>
    </row>
    <row r="49" spans="1:11" ht="12.75">
      <c r="A49" t="s">
        <v>285</v>
      </c>
      <c r="D49" s="407"/>
      <c r="E49" s="368">
        <f>D49</f>
        <v>0</v>
      </c>
      <c r="F49" s="22"/>
      <c r="H49" s="40"/>
      <c r="J49" s="5"/>
      <c r="K49" s="5"/>
    </row>
    <row r="50" spans="1:11" ht="12.75">
      <c r="A50" t="s">
        <v>286</v>
      </c>
      <c r="D50" s="408"/>
      <c r="E50" s="368">
        <f t="shared" si="0"/>
        <v>0</v>
      </c>
      <c r="H50" s="40"/>
      <c r="J50" s="5"/>
      <c r="K50" s="5"/>
    </row>
    <row r="51" spans="1:11" ht="12.75">
      <c r="A51" t="s">
        <v>424</v>
      </c>
      <c r="C51" s="470"/>
      <c r="D51" s="408">
        <v>314802</v>
      </c>
      <c r="E51" s="368">
        <f>D51</f>
        <v>314802</v>
      </c>
      <c r="G51" s="3"/>
      <c r="H51" s="40"/>
      <c r="J51" s="5"/>
      <c r="K51" s="5"/>
    </row>
    <row r="52" spans="1:11" ht="12.75">
      <c r="A52" t="s">
        <v>446</v>
      </c>
      <c r="D52" s="408">
        <v>63296</v>
      </c>
      <c r="E52" s="368">
        <f>D52</f>
        <v>63296</v>
      </c>
      <c r="G52" s="468"/>
      <c r="H52" s="40"/>
      <c r="J52" s="5"/>
      <c r="K52" s="5"/>
    </row>
    <row r="53" spans="4:11" ht="12.75">
      <c r="D53" s="408"/>
      <c r="E53" s="368">
        <f t="shared" si="0"/>
        <v>0</v>
      </c>
      <c r="G53" s="3"/>
      <c r="H53" s="40"/>
      <c r="J53" s="5"/>
      <c r="K53" s="5"/>
    </row>
    <row r="54" spans="1:11" ht="12.75">
      <c r="A54" s="2" t="s">
        <v>287</v>
      </c>
      <c r="E54" s="252">
        <f>SUM(E43:E53)</f>
        <v>1151910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1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1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1">
        <f>IF(D41&gt;0,(((D43+D47+D48)/D41)*D62),0)</f>
        <v>327503.6193812025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1">
        <f>D62</f>
        <v>460738.84124999994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zoomScale="90" zoomScaleNormal="90" zoomScalePageLayoutView="0" workbookViewId="0" topLeftCell="A159">
      <selection activeCell="I149" sqref="I14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60.281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127</v>
      </c>
      <c r="C1" s="203" t="s">
        <v>34</v>
      </c>
      <c r="D1" s="204"/>
      <c r="E1" s="205" t="s">
        <v>23</v>
      </c>
      <c r="F1" s="206" t="s">
        <v>23</v>
      </c>
      <c r="G1" s="207" t="s">
        <v>448</v>
      </c>
      <c r="H1" s="208"/>
    </row>
    <row r="2" spans="1:8" ht="12.75">
      <c r="A2" s="209" t="s">
        <v>447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449</v>
      </c>
      <c r="H2" s="215"/>
    </row>
    <row r="3" spans="1:8" ht="12.75">
      <c r="A3" s="209"/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246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Brant County Power Inc.</v>
      </c>
      <c r="B6" s="114"/>
      <c r="D6" s="136"/>
      <c r="E6" s="114"/>
      <c r="G6" s="114"/>
      <c r="H6" s="444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44"/>
    </row>
    <row r="8" spans="2:12" ht="12.75">
      <c r="B8" s="220"/>
      <c r="C8" s="228"/>
      <c r="D8" s="212"/>
      <c r="E8" s="136"/>
      <c r="F8" s="218"/>
      <c r="G8" s="181" t="s">
        <v>86</v>
      </c>
      <c r="H8" s="215"/>
      <c r="J8" s="47" t="s">
        <v>128</v>
      </c>
      <c r="K8" s="47"/>
      <c r="L8" s="47"/>
    </row>
    <row r="9" spans="1:8" ht="12.75">
      <c r="A9" s="209" t="s">
        <v>125</v>
      </c>
      <c r="B9" s="409">
        <f>REGINFO!B6</f>
        <v>365</v>
      </c>
      <c r="C9" s="229" t="s">
        <v>126</v>
      </c>
      <c r="D9" s="212"/>
      <c r="E9" s="136"/>
      <c r="F9" s="218"/>
      <c r="G9" s="181" t="s">
        <v>89</v>
      </c>
      <c r="H9" s="215"/>
    </row>
    <row r="10" spans="1:8" ht="12.75">
      <c r="A10" s="209" t="s">
        <v>250</v>
      </c>
      <c r="B10" s="409">
        <f>REGINFO!B7</f>
        <v>365</v>
      </c>
      <c r="C10" s="229" t="s">
        <v>126</v>
      </c>
      <c r="D10" s="212"/>
      <c r="E10" s="230"/>
      <c r="F10" s="218"/>
      <c r="G10" s="231" t="s">
        <v>87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332</v>
      </c>
      <c r="B16" s="124">
        <v>1</v>
      </c>
      <c r="C16" s="257">
        <f>REGINFO!E54</f>
        <v>1151910</v>
      </c>
      <c r="D16" s="17"/>
      <c r="E16" s="265">
        <f>G16-C16</f>
        <v>-1124481</v>
      </c>
      <c r="F16" s="3"/>
      <c r="G16" s="265">
        <f>TAXREC!E50</f>
        <v>27429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205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658100</v>
      </c>
      <c r="D20" s="18"/>
      <c r="E20" s="265">
        <f>G20-C20</f>
        <v>333456</v>
      </c>
      <c r="F20" s="6"/>
      <c r="G20" s="265">
        <f>TAXREC!E61</f>
        <v>991556</v>
      </c>
      <c r="H20" s="150"/>
    </row>
    <row r="21" spans="1:8" ht="12.75">
      <c r="A21" s="157" t="s">
        <v>55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258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257</v>
      </c>
      <c r="B23" s="126">
        <v>4</v>
      </c>
      <c r="C23" s="259"/>
      <c r="D23" s="18"/>
      <c r="E23" s="265">
        <f>G23-C23</f>
        <v>2001000</v>
      </c>
      <c r="F23" s="6"/>
      <c r="G23" s="265">
        <f>TAXREC!E64</f>
        <v>2001000</v>
      </c>
      <c r="H23" s="150"/>
    </row>
    <row r="24" spans="1:8" ht="12.75">
      <c r="A24" s="157" t="s">
        <v>259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4"/>
      <c r="F25" s="33"/>
      <c r="G25" s="184"/>
      <c r="H25" s="150"/>
    </row>
    <row r="26" spans="1:8" ht="12.75">
      <c r="A26" s="157" t="s">
        <v>154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157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156</v>
      </c>
      <c r="B28" s="126">
        <v>6</v>
      </c>
      <c r="C28" s="259"/>
      <c r="D28" s="18"/>
      <c r="E28" s="265">
        <f>G28-C28</f>
        <v>504564</v>
      </c>
      <c r="F28" s="6"/>
      <c r="G28" s="265">
        <f>TAXREC!E67</f>
        <v>504564</v>
      </c>
      <c r="H28" s="150"/>
    </row>
    <row r="29" spans="1:8" ht="12.75">
      <c r="A29" s="157" t="s">
        <v>155</v>
      </c>
      <c r="B29" s="126">
        <v>6</v>
      </c>
      <c r="C29" s="259"/>
      <c r="D29" s="18"/>
      <c r="E29" s="265">
        <f>G29-C29</f>
        <v>17240</v>
      </c>
      <c r="F29" s="6"/>
      <c r="G29" s="265">
        <f>TAXREC!E68</f>
        <v>17240</v>
      </c>
      <c r="H29" s="150"/>
    </row>
    <row r="30" spans="1:8" ht="15.75">
      <c r="A30" s="459" t="s">
        <v>380</v>
      </c>
      <c r="B30" s="126"/>
      <c r="C30" s="257"/>
      <c r="D30" s="18"/>
      <c r="E30" s="265">
        <f>G30-C30</f>
        <v>3745786</v>
      </c>
      <c r="F30" s="6"/>
      <c r="G30" s="265">
        <f>TAXREC!E66</f>
        <v>3745786</v>
      </c>
      <c r="H30" s="150"/>
    </row>
    <row r="31" spans="1:8" ht="12.75">
      <c r="A31" s="157"/>
      <c r="B31" s="126"/>
      <c r="C31" s="104"/>
      <c r="D31" s="18">
        <v>28259071</v>
      </c>
      <c r="E31" s="138"/>
      <c r="F31" s="6"/>
      <c r="G31" s="138"/>
      <c r="H31" s="150"/>
    </row>
    <row r="32" spans="1:8" ht="12.75">
      <c r="A32" s="155" t="s">
        <v>333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59">
        <v>679578</v>
      </c>
      <c r="D33" s="131"/>
      <c r="E33" s="265">
        <f aca="true" t="shared" si="0" ref="E33:E42">G33-C33</f>
        <v>442552</v>
      </c>
      <c r="F33" s="6"/>
      <c r="G33" s="265">
        <f>TAXREC!E97+TAXREC!E98</f>
        <v>1122130</v>
      </c>
      <c r="H33" s="150"/>
    </row>
    <row r="34" spans="1:8" ht="12.75">
      <c r="A34" s="157" t="s">
        <v>56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260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f>REGINFO!D70</f>
        <v>460738.84124999994</v>
      </c>
      <c r="D37" s="131"/>
      <c r="E37" s="265">
        <f t="shared" si="0"/>
        <v>-460738.84124999994</v>
      </c>
      <c r="F37" s="6"/>
      <c r="G37" s="265">
        <f>TAXREC!E51</f>
        <v>0</v>
      </c>
      <c r="H37" s="150"/>
    </row>
    <row r="38" spans="1:8" ht="12.75">
      <c r="A38" s="154" t="s">
        <v>256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255</v>
      </c>
      <c r="B39" s="124">
        <v>4</v>
      </c>
      <c r="C39" s="259"/>
      <c r="D39" s="131"/>
      <c r="E39" s="265">
        <f t="shared" si="0"/>
        <v>1814000</v>
      </c>
      <c r="F39" s="6"/>
      <c r="G39" s="265">
        <f>TAXREC!E105</f>
        <v>1814000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182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154</v>
      </c>
      <c r="B44" s="126">
        <v>12</v>
      </c>
      <c r="C44" s="259"/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475</v>
      </c>
      <c r="B45" s="126">
        <v>12</v>
      </c>
      <c r="C45" s="259">
        <v>177802</v>
      </c>
      <c r="D45" s="131"/>
      <c r="E45" s="265">
        <f>G45-C45</f>
        <v>-177802</v>
      </c>
      <c r="F45" s="6"/>
      <c r="G45" s="249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443858</v>
      </c>
      <c r="F46" s="6"/>
      <c r="G46" s="249">
        <f>TAXREC!E110</f>
        <v>443858</v>
      </c>
      <c r="H46" s="150"/>
    </row>
    <row r="47" spans="1:8" ht="12.75">
      <c r="A47" s="157" t="s">
        <v>152</v>
      </c>
      <c r="B47" s="126">
        <v>12</v>
      </c>
      <c r="C47" s="259"/>
      <c r="D47" s="131">
        <v>675060</v>
      </c>
      <c r="E47" s="265">
        <f>G47-C47</f>
        <v>0</v>
      </c>
      <c r="F47" s="6"/>
      <c r="G47" s="249">
        <f>TAXREC!E111</f>
        <v>0</v>
      </c>
      <c r="H47" s="150"/>
    </row>
    <row r="48" spans="1:8" ht="15.75">
      <c r="A48" s="459" t="s">
        <v>380</v>
      </c>
      <c r="B48" s="126"/>
      <c r="C48" s="257"/>
      <c r="D48" s="131">
        <v>1163553</v>
      </c>
      <c r="E48" s="265">
        <f>G48-C48</f>
        <v>2509987</v>
      </c>
      <c r="F48" s="6"/>
      <c r="G48" s="249">
        <f>TAXREC!E108</f>
        <v>2509987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320</v>
      </c>
      <c r="B50" s="124"/>
      <c r="C50" s="261">
        <f>C16+SUM(C20:C30)-SUM(C33:C48)</f>
        <v>491891.15874999994</v>
      </c>
      <c r="D50" s="101"/>
      <c r="E50" s="261">
        <f>E16+SUM(E20:E30)-SUM(E33:E48)</f>
        <v>905708.8412500005</v>
      </c>
      <c r="F50" s="411" t="s">
        <v>355</v>
      </c>
      <c r="G50" s="261">
        <f>G16+SUM(G20:G30)-SUM(G33:G48)</f>
        <v>1397600</v>
      </c>
      <c r="H50" s="159"/>
    </row>
    <row r="51" spans="1:9" ht="12.75">
      <c r="A51" s="158"/>
      <c r="B51" s="124"/>
      <c r="C51" s="106"/>
      <c r="D51" s="131">
        <v>581776</v>
      </c>
      <c r="E51" s="106">
        <f>D51</f>
        <v>581776</v>
      </c>
      <c r="F51" s="6"/>
      <c r="G51" s="106"/>
      <c r="H51" s="150"/>
      <c r="I51" s="115"/>
    </row>
    <row r="52" spans="1:8" ht="12.75">
      <c r="A52" s="157" t="s">
        <v>328</v>
      </c>
      <c r="B52" s="126"/>
      <c r="C52" s="107"/>
      <c r="D52" s="131">
        <v>101113</v>
      </c>
      <c r="E52" s="138">
        <f>D52</f>
        <v>101113</v>
      </c>
      <c r="F52" s="6"/>
      <c r="G52" s="138"/>
      <c r="H52" s="150"/>
    </row>
    <row r="53" spans="1:9" ht="12.75">
      <c r="A53" s="157" t="s">
        <v>331</v>
      </c>
      <c r="B53" s="126">
        <v>13</v>
      </c>
      <c r="C53" s="260">
        <f>'Tax Rates'!E16</f>
        <v>0.275</v>
      </c>
      <c r="D53" s="101"/>
      <c r="E53" s="266">
        <f>+G53-C53</f>
        <v>-0.275</v>
      </c>
      <c r="F53" s="113"/>
      <c r="G53" s="451">
        <f>+'Tax Rates'!F52</f>
        <v>0</v>
      </c>
      <c r="H53" s="150"/>
      <c r="I53" s="448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135270.06865625</v>
      </c>
      <c r="D55" s="101"/>
      <c r="E55" s="265">
        <f>G55-C55</f>
        <v>1907.9313437500095</v>
      </c>
      <c r="F55" s="411" t="s">
        <v>356</v>
      </c>
      <c r="G55" s="262">
        <f>TAXREC!E144</f>
        <v>137178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11" t="s">
        <v>356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4">
        <f>+C55-C58</f>
        <v>135270.06865625</v>
      </c>
      <c r="D60" s="132"/>
      <c r="E60" s="267">
        <f>+E55-E58</f>
        <v>1907.9313437500095</v>
      </c>
      <c r="F60" s="411" t="s">
        <v>356</v>
      </c>
      <c r="G60" s="267">
        <f>+G55-G58</f>
        <v>137178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12710037</v>
      </c>
      <c r="D66" s="101"/>
      <c r="E66" s="265">
        <f>G66-C66</f>
        <v>7990772</v>
      </c>
      <c r="F66" s="6"/>
      <c r="G66" s="453">
        <v>20700809</v>
      </c>
      <c r="H66" s="150"/>
      <c r="I66" s="454" t="s">
        <v>454</v>
      </c>
    </row>
    <row r="67" spans="1:10" ht="12.75">
      <c r="A67" s="151" t="s">
        <v>348</v>
      </c>
      <c r="B67" s="124">
        <v>16</v>
      </c>
      <c r="C67" s="258">
        <f>IF(C66&gt;0,'Tax Rates'!C21,0)</f>
        <v>7500000</v>
      </c>
      <c r="D67" s="101"/>
      <c r="E67" s="265">
        <f>G67-C67</f>
        <v>-188373</v>
      </c>
      <c r="F67" s="6"/>
      <c r="G67" s="265">
        <v>7311627</v>
      </c>
      <c r="H67" s="150"/>
      <c r="I67" s="454" t="s">
        <v>454</v>
      </c>
      <c r="J67" s="476"/>
    </row>
    <row r="68" spans="1:8" ht="12.75">
      <c r="A68" s="151" t="s">
        <v>42</v>
      </c>
      <c r="B68" s="124"/>
      <c r="C68" s="262">
        <f>IF((C66-C67)&gt;0,C66-C67,0)</f>
        <v>5210037</v>
      </c>
      <c r="D68" s="101"/>
      <c r="E68" s="265">
        <f>SUM(E66:E67)</f>
        <v>7802399</v>
      </c>
      <c r="F68" s="113"/>
      <c r="G68" s="262">
        <f>G66-G67</f>
        <v>13389182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349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f>'Tax Rates'!C36</f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309</v>
      </c>
      <c r="B72" s="124"/>
      <c r="C72" s="262">
        <f>IF(C68&gt;0,C68*C70,0)*REGINFO!$B$6/REGINFO!$B$7</f>
        <v>15630.111</v>
      </c>
      <c r="D72" s="100"/>
      <c r="E72" s="265">
        <f>+G72-C72</f>
        <v>24537.435</v>
      </c>
      <c r="F72" s="455"/>
      <c r="G72" s="262">
        <f>IF(G68&gt;0,G68*G70,0)*REGINFO!$B$6/REGINFO!$B$7</f>
        <v>40167.546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215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12710037</v>
      </c>
      <c r="D75" s="101"/>
      <c r="E75" s="265">
        <f>+G75-C75</f>
        <v>-12710037</v>
      </c>
      <c r="F75" s="6"/>
      <c r="G75" s="453"/>
      <c r="H75" s="150"/>
      <c r="I75" s="454"/>
    </row>
    <row r="76" spans="1:9" ht="12.75">
      <c r="A76" s="151" t="s">
        <v>348</v>
      </c>
      <c r="B76" s="124">
        <v>19</v>
      </c>
      <c r="C76" s="258">
        <f>IF(C75&gt;0,'Tax Rates'!C22,0)</f>
        <v>50000000</v>
      </c>
      <c r="D76" s="18"/>
      <c r="E76" s="265">
        <f>+G76-C76</f>
        <v>-50000000</v>
      </c>
      <c r="F76" s="6"/>
      <c r="G76" s="265"/>
      <c r="H76" s="150"/>
      <c r="I76" s="454"/>
    </row>
    <row r="77" spans="1:8" ht="12.75">
      <c r="A77" s="151" t="s">
        <v>42</v>
      </c>
      <c r="B77" s="124"/>
      <c r="C77" s="262">
        <f>IF((C75-C76)&gt;0,C75-C76,0)</f>
        <v>0</v>
      </c>
      <c r="D77" s="19"/>
      <c r="E77" s="265">
        <f>SUM(E75:E76)</f>
        <v>-62710037</v>
      </c>
      <c r="F77" s="113"/>
      <c r="G77" s="262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349</v>
      </c>
      <c r="B79" s="124">
        <v>20</v>
      </c>
      <c r="C79" s="299">
        <f>'Tax Rates'!C19</f>
        <v>0.00175</v>
      </c>
      <c r="D79" s="101"/>
      <c r="E79" s="266">
        <f>G79-C79</f>
        <v>0</v>
      </c>
      <c r="F79" s="6"/>
      <c r="G79" s="266">
        <f>'Tax Rates'!C37</f>
        <v>0.00175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310</v>
      </c>
      <c r="B81" s="124"/>
      <c r="C81" s="262">
        <f>IF(C77&gt;0,C77*C79,0)*REGINFO!$B$6/REGINFO!$B$7</f>
        <v>0</v>
      </c>
      <c r="D81" s="101"/>
      <c r="E81" s="265">
        <f>+G81-C81</f>
        <v>0</v>
      </c>
      <c r="F81" s="6"/>
      <c r="G81" s="262">
        <f>G77*G79*B9/B10</f>
        <v>0</v>
      </c>
      <c r="H81" s="150"/>
    </row>
    <row r="82" spans="1:8" ht="12.75">
      <c r="A82" s="151" t="s">
        <v>311</v>
      </c>
      <c r="B82" s="124">
        <v>21</v>
      </c>
      <c r="C82" s="298">
        <f>IF(C77&gt;0,IF(C60&gt;0,C50*'Tax Rates'!C20,0),0)</f>
        <v>0</v>
      </c>
      <c r="D82" s="101"/>
      <c r="E82" s="265">
        <f>+G82-C82</f>
        <v>10565.4192</v>
      </c>
      <c r="F82" s="6"/>
      <c r="G82" s="298">
        <f>'Tax Rates'!C38*TAXREC!C139</f>
        <v>10565.4192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v>0</v>
      </c>
      <c r="D84" s="16"/>
      <c r="E84" s="265">
        <f>E81-E82</f>
        <v>-10565.4192</v>
      </c>
      <c r="F84" s="102"/>
      <c r="G84" s="262"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223</v>
      </c>
      <c r="B88" s="124"/>
      <c r="C88" s="260">
        <f>'Tax Rates'!E16</f>
        <v>0.275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357</v>
      </c>
      <c r="B90" s="126">
        <v>22</v>
      </c>
      <c r="C90" s="262">
        <f>C60/(1-C88)</f>
        <v>186579.40504310344</v>
      </c>
      <c r="D90" s="20"/>
      <c r="E90" s="138"/>
      <c r="F90" s="410" t="s">
        <v>473</v>
      </c>
      <c r="G90" s="268">
        <f>TAXREC!E156</f>
        <v>137178</v>
      </c>
      <c r="H90" s="150"/>
    </row>
    <row r="91" spans="1:8" ht="12.75">
      <c r="A91" s="157" t="s">
        <v>358</v>
      </c>
      <c r="B91" s="126">
        <v>23</v>
      </c>
      <c r="C91" s="262">
        <f>C84/(1-C88)</f>
        <v>0</v>
      </c>
      <c r="D91" s="20"/>
      <c r="E91" s="138"/>
      <c r="F91" s="410" t="s">
        <v>473</v>
      </c>
      <c r="G91" s="268">
        <f>TAXREC!E158</f>
        <v>0</v>
      </c>
      <c r="H91" s="150"/>
    </row>
    <row r="92" spans="1:8" ht="12.75">
      <c r="A92" s="157" t="s">
        <v>339</v>
      </c>
      <c r="B92" s="126">
        <v>24</v>
      </c>
      <c r="C92" s="262">
        <f>C72</f>
        <v>15630.111</v>
      </c>
      <c r="D92" s="20"/>
      <c r="E92" s="138"/>
      <c r="F92" s="410" t="s">
        <v>473</v>
      </c>
      <c r="G92" s="268">
        <f>TAXREC!E157</f>
        <v>40168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7">
        <f>SUM(C90:C93)</f>
        <v>202209.51604310345</v>
      </c>
      <c r="D95" s="6"/>
      <c r="E95" s="138"/>
      <c r="F95" s="410" t="s">
        <v>473</v>
      </c>
      <c r="G95" s="393">
        <f>SUM(G90:G94)</f>
        <v>177346</v>
      </c>
      <c r="H95" s="163"/>
    </row>
    <row r="96" spans="1:8" ht="12.75">
      <c r="A96" s="384" t="s">
        <v>300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298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243</v>
      </c>
      <c r="B100" s="122"/>
      <c r="C100" s="111"/>
      <c r="D100" s="3"/>
      <c r="E100" s="142" t="s">
        <v>245</v>
      </c>
      <c r="F100" s="37"/>
      <c r="G100" s="198"/>
      <c r="H100" s="163"/>
    </row>
    <row r="101" spans="1:8" ht="12.75">
      <c r="A101" s="155" t="s">
        <v>337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55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99</v>
      </c>
      <c r="B104" s="126">
        <v>4</v>
      </c>
      <c r="C104" s="111"/>
      <c r="D104" s="3"/>
      <c r="E104" s="249">
        <f>E23</f>
        <v>2001000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0</v>
      </c>
      <c r="F105" s="37"/>
      <c r="G105" s="199"/>
      <c r="H105" s="163"/>
    </row>
    <row r="106" spans="1:8" ht="12.75">
      <c r="A106" s="157" t="s">
        <v>351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352</v>
      </c>
      <c r="B107" s="126">
        <v>6</v>
      </c>
      <c r="C107" s="111"/>
      <c r="D107" s="3"/>
      <c r="E107" s="249">
        <f>E28</f>
        <v>504564</v>
      </c>
      <c r="F107" s="37"/>
      <c r="G107" s="199"/>
      <c r="H107" s="163"/>
    </row>
    <row r="108" spans="1:8" ht="12.75">
      <c r="A108" s="155" t="s">
        <v>350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56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459</v>
      </c>
      <c r="B112" s="126">
        <v>11</v>
      </c>
      <c r="C112" s="111"/>
      <c r="D112" s="3"/>
      <c r="E112" s="450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100</v>
      </c>
      <c r="B114" s="124">
        <v>4</v>
      </c>
      <c r="C114" s="111"/>
      <c r="D114" s="3"/>
      <c r="E114" s="249">
        <f>E39</f>
        <v>1814000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353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8" ht="12.75">
      <c r="A118" s="157" t="s">
        <v>354</v>
      </c>
      <c r="B118" s="126">
        <v>12</v>
      </c>
      <c r="C118" s="111"/>
      <c r="D118" s="3"/>
      <c r="E118" s="249">
        <f>E46</f>
        <v>443858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9" ht="12.75">
      <c r="A120" s="151" t="s">
        <v>217</v>
      </c>
      <c r="B120" s="126">
        <v>26</v>
      </c>
      <c r="C120" s="111"/>
      <c r="D120" s="116" t="s">
        <v>187</v>
      </c>
      <c r="E120" s="262">
        <f>SUM(E102:E107)-SUM(E109:E118)</f>
        <v>247706</v>
      </c>
      <c r="F120" s="37"/>
      <c r="G120" s="199"/>
      <c r="H120" s="163"/>
      <c r="I120" s="486" t="s">
        <v>483</v>
      </c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478" t="s">
        <v>482</v>
      </c>
      <c r="B122" s="126"/>
      <c r="C122" s="111"/>
      <c r="D122" s="3" t="s">
        <v>227</v>
      </c>
      <c r="E122" s="492">
        <f>'Tax Rates'!F34</f>
        <v>0.2459</v>
      </c>
      <c r="F122" s="448"/>
      <c r="G122" s="199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101</v>
      </c>
      <c r="H123" s="163"/>
    </row>
    <row r="124" spans="1:8" ht="12.75">
      <c r="A124" s="157" t="s">
        <v>242</v>
      </c>
      <c r="B124" s="126"/>
      <c r="C124" s="111"/>
      <c r="D124" s="3" t="s">
        <v>187</v>
      </c>
      <c r="E124" s="262">
        <f>E120*E122</f>
        <v>60910.9054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2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116</v>
      </c>
      <c r="B128" s="126"/>
      <c r="C128" s="111"/>
      <c r="D128" s="3"/>
      <c r="E128" s="262">
        <f>E124-E126</f>
        <v>60910.9054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485" t="s">
        <v>481</v>
      </c>
      <c r="B130" s="126"/>
      <c r="C130" s="111"/>
      <c r="D130" s="3"/>
      <c r="E130" s="492">
        <f>'Tax Rates'!F34-'Tax Rates'!C38</f>
        <v>0.23470000000000002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340</v>
      </c>
      <c r="B132" s="129"/>
      <c r="C132" s="111"/>
      <c r="D132" s="3"/>
      <c r="E132" s="463">
        <f>E128/(1-E130)</f>
        <v>79590.88644975827</v>
      </c>
      <c r="F132" s="37"/>
      <c r="G132" s="199"/>
      <c r="H132" s="163"/>
      <c r="I132" s="479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343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231</v>
      </c>
      <c r="B136" s="129"/>
      <c r="C136" s="111"/>
      <c r="D136" s="117" t="s">
        <v>187</v>
      </c>
      <c r="E136" s="300">
        <f>C50</f>
        <v>491891.15874999994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8" ht="12.75">
      <c r="A138" s="170" t="s">
        <v>233</v>
      </c>
      <c r="B138" s="129"/>
      <c r="C138" s="111"/>
      <c r="D138" s="118" t="s">
        <v>227</v>
      </c>
      <c r="E138" s="492">
        <f>'Tax Rates'!F34</f>
        <v>0.2459</v>
      </c>
      <c r="F138" s="195" t="s">
        <v>101</v>
      </c>
      <c r="G138" s="199"/>
      <c r="H138" s="163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225</v>
      </c>
      <c r="B140" s="129"/>
      <c r="C140" s="111"/>
      <c r="D140" s="117" t="s">
        <v>187</v>
      </c>
      <c r="E140" s="301">
        <f>IF(E136&gt;0,E136*E138,0)</f>
        <v>120956.03593662499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234</v>
      </c>
      <c r="B142" s="129"/>
      <c r="C142" s="111"/>
      <c r="D142" s="117" t="s">
        <v>186</v>
      </c>
      <c r="E142" s="302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226</v>
      </c>
      <c r="B144" s="129"/>
      <c r="C144" s="111"/>
      <c r="D144" s="118" t="s">
        <v>187</v>
      </c>
      <c r="E144" s="300">
        <f>E140-E142</f>
        <v>120956.03593662499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235</v>
      </c>
      <c r="B146" s="129"/>
      <c r="C146" s="111"/>
      <c r="D146" s="117" t="s">
        <v>186</v>
      </c>
      <c r="E146" s="300">
        <f>C60</f>
        <v>135270.06865625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228</v>
      </c>
      <c r="B148" s="129"/>
      <c r="C148" s="111"/>
      <c r="D148" s="117" t="s">
        <v>187</v>
      </c>
      <c r="E148" s="300">
        <f>E144-E146</f>
        <v>-14314.032719625</v>
      </c>
      <c r="F148" s="37"/>
      <c r="G148" s="199"/>
      <c r="H148" s="163"/>
      <c r="I148" s="477" t="s">
        <v>500</v>
      </c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7" t="s">
        <v>20</v>
      </c>
      <c r="B150" s="129"/>
      <c r="C150" s="111"/>
      <c r="D150" s="118"/>
      <c r="E150" s="458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187</v>
      </c>
      <c r="E151" s="300">
        <f>C66</f>
        <v>12710037</v>
      </c>
      <c r="F151" s="37"/>
      <c r="G151" s="199"/>
      <c r="H151" s="163"/>
    </row>
    <row r="152" spans="1:8" ht="12.75">
      <c r="A152" s="170" t="s">
        <v>346</v>
      </c>
      <c r="B152" s="129"/>
      <c r="C152" s="111"/>
      <c r="D152" s="117" t="s">
        <v>186</v>
      </c>
      <c r="E152" s="303">
        <f>IF(E151&gt;0,'Tax Rates'!C39,0)</f>
        <v>7500000</v>
      </c>
      <c r="F152" s="37"/>
      <c r="G152" s="199"/>
      <c r="H152" s="163"/>
    </row>
    <row r="153" spans="1:8" ht="12.75">
      <c r="A153" s="170" t="s">
        <v>229</v>
      </c>
      <c r="B153" s="129"/>
      <c r="C153" s="111"/>
      <c r="D153" s="117" t="s">
        <v>187</v>
      </c>
      <c r="E153" s="300">
        <f>E151-E152</f>
        <v>5210037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170" t="s">
        <v>347</v>
      </c>
      <c r="B155" s="129"/>
      <c r="C155" s="111"/>
      <c r="D155" s="118" t="s">
        <v>227</v>
      </c>
      <c r="E155" s="304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230</v>
      </c>
      <c r="B157" s="129"/>
      <c r="C157" s="111"/>
      <c r="D157" s="118" t="s">
        <v>187</v>
      </c>
      <c r="E157" s="300">
        <f>IF(E153&gt;0,E153*E155*B9/B10,0)</f>
        <v>15630.111</v>
      </c>
      <c r="F157" s="37"/>
      <c r="G157" s="199"/>
      <c r="H157" s="163"/>
    </row>
    <row r="158" spans="1:8" ht="25.5">
      <c r="A158" s="170" t="s">
        <v>301</v>
      </c>
      <c r="B158" s="129"/>
      <c r="C158" s="111"/>
      <c r="D158" s="117" t="s">
        <v>186</v>
      </c>
      <c r="E158" s="303">
        <f>C72</f>
        <v>15630.111</v>
      </c>
      <c r="F158" s="37"/>
      <c r="G158" s="199"/>
      <c r="H158" s="163"/>
    </row>
    <row r="159" spans="1:9" ht="12.75" customHeight="1">
      <c r="A159" s="171" t="s">
        <v>240</v>
      </c>
      <c r="B159" s="129"/>
      <c r="C159" s="111"/>
      <c r="D159" s="117" t="s">
        <v>187</v>
      </c>
      <c r="E159" s="452">
        <f>E157-E158</f>
        <v>0</v>
      </c>
      <c r="F159" s="37"/>
      <c r="G159" s="199"/>
      <c r="H159" s="163"/>
      <c r="I159" s="477" t="s">
        <v>485</v>
      </c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7" t="s">
        <v>232</v>
      </c>
      <c r="B161" s="129"/>
      <c r="C161" s="111"/>
      <c r="D161" s="118"/>
      <c r="E161" s="302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12710037</v>
      </c>
      <c r="F162" s="37"/>
      <c r="G162" s="199"/>
      <c r="H162" s="163"/>
    </row>
    <row r="163" spans="1:8" ht="12.75">
      <c r="A163" s="170" t="s">
        <v>345</v>
      </c>
      <c r="B163" s="129"/>
      <c r="C163" s="111"/>
      <c r="D163" s="117" t="s">
        <v>186</v>
      </c>
      <c r="E163" s="303">
        <f>IF(E162&gt;0,'Tax Rates'!C40,0)</f>
        <v>50000000</v>
      </c>
      <c r="F163" s="37"/>
      <c r="G163" s="199"/>
      <c r="H163" s="163"/>
    </row>
    <row r="164" spans="1:8" ht="12.75">
      <c r="A164" s="170" t="s">
        <v>236</v>
      </c>
      <c r="B164" s="129"/>
      <c r="C164" s="111"/>
      <c r="D164" s="118" t="s">
        <v>187</v>
      </c>
      <c r="E164" s="300">
        <f>E162-E163</f>
        <v>-37289963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170" t="s">
        <v>302</v>
      </c>
      <c r="B166" s="129"/>
      <c r="C166" s="111"/>
      <c r="D166" s="118"/>
      <c r="E166" s="304">
        <f>'Tax Rates'!C37</f>
        <v>0.00175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237</v>
      </c>
      <c r="B168" s="129"/>
      <c r="C168" s="111"/>
      <c r="D168" s="118"/>
      <c r="E168" s="300">
        <f>IF(E164&gt;0,E164*E166*B9/B10,0)</f>
        <v>0</v>
      </c>
      <c r="F168" s="37"/>
      <c r="G168" s="199"/>
      <c r="H168" s="163"/>
    </row>
    <row r="169" spans="1:8" ht="12.75">
      <c r="A169" s="170" t="s">
        <v>312</v>
      </c>
      <c r="B169" s="129"/>
      <c r="C169" s="111"/>
      <c r="D169" s="117" t="s">
        <v>186</v>
      </c>
      <c r="E169" s="305">
        <f>'Tax Rates'!C38*TAXREC!C139</f>
        <v>10565.4192</v>
      </c>
      <c r="F169" s="37"/>
      <c r="G169" s="199"/>
      <c r="H169" s="163"/>
    </row>
    <row r="170" spans="1:8" ht="12.75">
      <c r="A170" s="170" t="s">
        <v>238</v>
      </c>
      <c r="B170" s="129"/>
      <c r="C170" s="111"/>
      <c r="D170" s="118" t="s">
        <v>187</v>
      </c>
      <c r="E170" s="300"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4" t="s">
        <v>338</v>
      </c>
      <c r="B172" s="129"/>
      <c r="C172" s="111"/>
      <c r="D172" s="117" t="s">
        <v>186</v>
      </c>
      <c r="E172" s="303">
        <f>C84</f>
        <v>0</v>
      </c>
      <c r="F172" s="37"/>
      <c r="G172" s="199"/>
      <c r="H172" s="163"/>
    </row>
    <row r="173" spans="1:9" ht="12.75">
      <c r="A173" s="154" t="s">
        <v>241</v>
      </c>
      <c r="B173" s="129"/>
      <c r="C173" s="111"/>
      <c r="D173" s="118" t="s">
        <v>187</v>
      </c>
      <c r="E173" s="452">
        <f>E170-E172</f>
        <v>0</v>
      </c>
      <c r="F173" s="37"/>
      <c r="G173" s="199"/>
      <c r="H173" s="163"/>
      <c r="I173" s="477" t="s">
        <v>484</v>
      </c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336</v>
      </c>
      <c r="B175" s="129"/>
      <c r="C175" s="111"/>
      <c r="D175" s="118"/>
      <c r="E175" s="492">
        <f>'Tax Rates'!F34-'Tax Rates'!C38</f>
        <v>0.23470000000000002</v>
      </c>
      <c r="F175" s="448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239</v>
      </c>
      <c r="B177" s="129"/>
      <c r="C177" s="111"/>
      <c r="D177" s="118" t="s">
        <v>185</v>
      </c>
      <c r="E177" s="300">
        <f>E148/(1-E175)</f>
        <v>-18703.819050862407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185</v>
      </c>
      <c r="E178" s="300">
        <f>IF(E164&gt;0,E173/(1-E175),-C91)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185</v>
      </c>
      <c r="E179" s="300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341</v>
      </c>
      <c r="B181" s="129"/>
      <c r="C181" s="111"/>
      <c r="D181" s="118" t="s">
        <v>187</v>
      </c>
      <c r="E181" s="462">
        <f>SUM(E177:E179)</f>
        <v>-18703.819050862407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458</v>
      </c>
      <c r="B183" s="129"/>
      <c r="C183" s="111"/>
      <c r="D183" s="118" t="s">
        <v>185</v>
      </c>
      <c r="E183" s="462">
        <f>E132</f>
        <v>79590.88644975827</v>
      </c>
      <c r="F183" s="37" t="s">
        <v>101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80" t="s">
        <v>342</v>
      </c>
      <c r="B185" s="129"/>
      <c r="C185" s="111"/>
      <c r="D185" s="118" t="s">
        <v>187</v>
      </c>
      <c r="E185" s="487">
        <f>E181+E183</f>
        <v>60887.06739889586</v>
      </c>
      <c r="F185" s="37"/>
      <c r="G185" s="199"/>
      <c r="H185" s="163"/>
    </row>
    <row r="186" spans="1:8" ht="12.75">
      <c r="A186" s="481" t="s">
        <v>244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57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478" t="s">
        <v>476</v>
      </c>
      <c r="B193" s="126"/>
      <c r="C193" s="111"/>
      <c r="D193" s="119"/>
      <c r="E193" s="306">
        <f>REGINFO!D62</f>
        <v>460738.84124999994</v>
      </c>
      <c r="F193" s="3"/>
      <c r="G193" s="122"/>
      <c r="H193" s="163"/>
    </row>
    <row r="194" spans="1:8" ht="12.75">
      <c r="A194" s="478" t="s">
        <v>477</v>
      </c>
      <c r="B194" s="126"/>
      <c r="C194" s="111"/>
      <c r="D194" s="119"/>
      <c r="E194" s="306">
        <f>REGINFO!D70</f>
        <v>460738.84124999994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334</v>
      </c>
      <c r="B196" s="126"/>
      <c r="C196" s="111"/>
      <c r="D196" s="119"/>
      <c r="E196" s="306">
        <f>E193-E194</f>
        <v>0</v>
      </c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251</v>
      </c>
      <c r="B199" s="126"/>
      <c r="C199" s="111"/>
      <c r="D199" s="119"/>
      <c r="E199" s="146"/>
      <c r="F199" s="3"/>
      <c r="G199" s="467"/>
      <c r="H199" s="163"/>
    </row>
    <row r="200" spans="1:8" ht="12.75">
      <c r="A200" s="174" t="s">
        <v>84</v>
      </c>
      <c r="B200" s="126"/>
      <c r="C200" s="111"/>
      <c r="D200" s="119"/>
      <c r="E200" s="146"/>
      <c r="F200" s="3"/>
      <c r="G200" s="467"/>
      <c r="H200" s="163"/>
    </row>
    <row r="201" spans="1:8" ht="12.75">
      <c r="A201" s="478" t="s">
        <v>479</v>
      </c>
      <c r="B201" s="126"/>
      <c r="C201" s="111"/>
      <c r="D201" s="119"/>
      <c r="E201" s="306">
        <f>TAXREC!C51</f>
        <v>320701</v>
      </c>
      <c r="F201" s="3"/>
      <c r="G201" s="467"/>
      <c r="H201" s="163"/>
    </row>
    <row r="202" spans="1:8" ht="12.75">
      <c r="A202" s="478" t="s">
        <v>478</v>
      </c>
      <c r="B202" s="126"/>
      <c r="C202" s="111"/>
      <c r="D202" s="119"/>
      <c r="E202" s="306">
        <f>REGINFO!D62</f>
        <v>460738.84124999994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1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460</v>
      </c>
      <c r="B206" s="126"/>
      <c r="C206" s="111"/>
      <c r="D206" s="119"/>
      <c r="E206" s="449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221</v>
      </c>
      <c r="B208" s="176"/>
      <c r="C208" s="177"/>
      <c r="D208" s="178"/>
      <c r="E208" s="307">
        <f>+E196-E204</f>
        <v>0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24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PageLayoutView="0" workbookViewId="0" topLeftCell="A95">
      <selection activeCell="C157" sqref="C1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212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213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482">
        <f>Ratebase*REGINFO!D33*0.0025</f>
        <v>15887.546250000001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7" t="s">
        <v>224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4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0" t="s">
        <v>318</v>
      </c>
      <c r="B23" s="381"/>
      <c r="C23" s="382"/>
      <c r="D23" s="383"/>
      <c r="E23" s="28"/>
      <c r="F23" s="11"/>
      <c r="G23" s="11"/>
      <c r="H23" s="6"/>
      <c r="I23" s="6"/>
    </row>
    <row r="24" spans="1:9" ht="12.75">
      <c r="A24" s="380" t="s">
        <v>253</v>
      </c>
      <c r="B24" s="381"/>
      <c r="C24" s="382"/>
      <c r="D24" s="383"/>
      <c r="E24" s="28"/>
      <c r="F24" s="11"/>
      <c r="G24" s="11"/>
      <c r="H24" s="6"/>
      <c r="I24" s="6"/>
    </row>
    <row r="25" spans="1:9" ht="12.75">
      <c r="A25" s="380" t="s">
        <v>220</v>
      </c>
      <c r="B25" s="381"/>
      <c r="C25" s="382"/>
      <c r="D25" s="383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0" t="s">
        <v>316</v>
      </c>
      <c r="B27" s="381"/>
      <c r="C27" s="382"/>
      <c r="D27" s="383"/>
      <c r="E27" s="28"/>
      <c r="F27" s="11"/>
      <c r="G27" s="11"/>
      <c r="H27" s="6"/>
      <c r="I27" s="6"/>
    </row>
    <row r="28" spans="1:9" ht="12.75">
      <c r="A28" s="380" t="s">
        <v>317</v>
      </c>
      <c r="B28" s="381"/>
      <c r="C28" s="382"/>
      <c r="D28" s="38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268</v>
      </c>
      <c r="B31" s="23" t="s">
        <v>185</v>
      </c>
      <c r="C31" s="283">
        <v>19096898</v>
      </c>
      <c r="D31" s="284"/>
      <c r="E31" s="282">
        <f>C31-D31</f>
        <v>19096898</v>
      </c>
      <c r="F31" s="11"/>
      <c r="G31" s="11"/>
      <c r="H31" s="6"/>
      <c r="I31" s="6"/>
    </row>
    <row r="32" spans="1:9" ht="12.75">
      <c r="A32" s="4" t="s">
        <v>218</v>
      </c>
      <c r="B32" s="23" t="s">
        <v>185</v>
      </c>
      <c r="C32" s="283">
        <v>4302538</v>
      </c>
      <c r="D32" s="284"/>
      <c r="E32" s="282">
        <f>C32-D32</f>
        <v>4302538</v>
      </c>
      <c r="F32" s="11"/>
      <c r="G32" s="11"/>
      <c r="H32" s="6"/>
      <c r="I32" s="6"/>
    </row>
    <row r="33" spans="1:9" ht="12.75">
      <c r="A33" s="4" t="s">
        <v>208</v>
      </c>
      <c r="B33" s="23" t="s">
        <v>185</v>
      </c>
      <c r="C33" s="283">
        <v>480015</v>
      </c>
      <c r="D33" s="284"/>
      <c r="E33" s="282">
        <f>C33-D33</f>
        <v>480015</v>
      </c>
      <c r="F33" s="11"/>
      <c r="G33" s="11"/>
      <c r="H33" s="6"/>
      <c r="I33" s="6"/>
    </row>
    <row r="34" spans="1:9" ht="12.75">
      <c r="A34" s="4" t="s">
        <v>222</v>
      </c>
      <c r="B34" s="23" t="s">
        <v>185</v>
      </c>
      <c r="C34" s="283">
        <v>7030</v>
      </c>
      <c r="D34" s="284"/>
      <c r="E34" s="282">
        <f>C34-D34</f>
        <v>7030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206</v>
      </c>
      <c r="B39" s="23" t="s">
        <v>186</v>
      </c>
      <c r="C39" s="283">
        <v>19096898</v>
      </c>
      <c r="D39" s="284"/>
      <c r="E39" s="282">
        <f>C39-D39</f>
        <v>19096898</v>
      </c>
      <c r="F39" s="11"/>
      <c r="G39" s="11"/>
      <c r="H39" s="6"/>
      <c r="I39" s="6"/>
    </row>
    <row r="40" spans="1:9" ht="12.75">
      <c r="A40" s="46" t="s">
        <v>207</v>
      </c>
      <c r="B40" s="23" t="s">
        <v>186</v>
      </c>
      <c r="C40" s="283">
        <f>975639+221755</f>
        <v>1197394</v>
      </c>
      <c r="D40" s="284"/>
      <c r="E40" s="282">
        <f aca="true" t="shared" si="0" ref="E40:E48">C40-D40</f>
        <v>1197394</v>
      </c>
      <c r="F40" s="11"/>
      <c r="G40" s="464"/>
      <c r="H40" s="6"/>
      <c r="I40" s="6"/>
    </row>
    <row r="41" spans="1:9" ht="12.75">
      <c r="A41" s="4" t="s">
        <v>269</v>
      </c>
      <c r="B41" s="23" t="s">
        <v>186</v>
      </c>
      <c r="C41" s="283">
        <v>842518</v>
      </c>
      <c r="D41" s="284"/>
      <c r="E41" s="282">
        <f t="shared" si="0"/>
        <v>842518</v>
      </c>
      <c r="F41" s="11"/>
      <c r="G41" s="11"/>
      <c r="H41" s="6"/>
      <c r="I41" s="6"/>
    </row>
    <row r="42" spans="1:9" ht="12.75">
      <c r="A42" s="4" t="s">
        <v>270</v>
      </c>
      <c r="B42" s="23" t="s">
        <v>186</v>
      </c>
      <c r="C42" s="283">
        <v>1111783</v>
      </c>
      <c r="D42" s="284"/>
      <c r="E42" s="282">
        <f t="shared" si="0"/>
        <v>1111783</v>
      </c>
      <c r="F42" s="11"/>
      <c r="G42" s="11"/>
      <c r="H42" s="6"/>
      <c r="I42" s="6"/>
    </row>
    <row r="43" spans="1:9" ht="12.75">
      <c r="A43" s="4" t="s">
        <v>271</v>
      </c>
      <c r="B43" s="23" t="s">
        <v>186</v>
      </c>
      <c r="C43" s="283">
        <v>833690</v>
      </c>
      <c r="D43" s="284"/>
      <c r="E43" s="282">
        <f t="shared" si="0"/>
        <v>833690</v>
      </c>
      <c r="F43" s="11"/>
      <c r="G43" s="11"/>
      <c r="H43" s="6"/>
      <c r="I43" s="6"/>
    </row>
    <row r="44" spans="1:9" ht="12.75">
      <c r="A44" s="4" t="s">
        <v>272</v>
      </c>
      <c r="B44" s="23" t="s">
        <v>186</v>
      </c>
      <c r="C44" s="283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465</v>
      </c>
      <c r="B45" s="23" t="s">
        <v>186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3" t="s">
        <v>480</v>
      </c>
      <c r="B46" s="23" t="s">
        <v>186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3" t="s">
        <v>487</v>
      </c>
      <c r="B47" s="23" t="s">
        <v>186</v>
      </c>
      <c r="C47" s="283">
        <f>589769+187000</f>
        <v>776769</v>
      </c>
      <c r="D47" s="284"/>
      <c r="E47" s="282">
        <f t="shared" si="0"/>
        <v>776769</v>
      </c>
      <c r="F47" s="11"/>
      <c r="G47" s="475"/>
      <c r="H47" s="33"/>
      <c r="I47" s="33"/>
      <c r="J47" s="32"/>
      <c r="K47" s="32"/>
    </row>
    <row r="48" spans="1:11" ht="13.5" thickBot="1">
      <c r="A48" s="4"/>
      <c r="B48" s="23" t="s">
        <v>186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27429</v>
      </c>
      <c r="D50" s="279">
        <f>SUM(D31:D36)-SUM(D39:D49)</f>
        <v>0</v>
      </c>
      <c r="E50" s="279">
        <f>SUM(E31:E35)-SUM(E39:E48)</f>
        <v>27429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474">
        <f>4377+316324</f>
        <v>320701</v>
      </c>
      <c r="D51" s="283"/>
      <c r="E51" s="280">
        <f>D51</f>
        <v>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3">
        <v>269648</v>
      </c>
      <c r="D52" s="283"/>
      <c r="E52" s="281">
        <f>D52</f>
        <v>0</v>
      </c>
      <c r="F52" s="8"/>
      <c r="G52" s="395"/>
    </row>
    <row r="53" spans="1:6" ht="12.75">
      <c r="A53" s="2" t="s">
        <v>130</v>
      </c>
      <c r="B53" s="8" t="s">
        <v>187</v>
      </c>
      <c r="C53" s="279">
        <f>C50-C51-C52</f>
        <v>-562920</v>
      </c>
      <c r="D53" s="279">
        <f>D50-D51-D52</f>
        <v>0</v>
      </c>
      <c r="E53" s="279">
        <f>E50-E51-E52</f>
        <v>27429</v>
      </c>
      <c r="F53" s="8"/>
    </row>
    <row r="54" spans="1:6" ht="36">
      <c r="A54" s="86" t="s">
        <v>211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5">
        <f>C52</f>
        <v>269648</v>
      </c>
      <c r="D59" s="285">
        <f>D52</f>
        <v>0</v>
      </c>
      <c r="E59" s="270">
        <f>+C59-D59</f>
        <v>269648</v>
      </c>
      <c r="F59" s="8"/>
      <c r="G59" s="395"/>
    </row>
    <row r="60" spans="1:6" ht="12.75">
      <c r="A60" s="4" t="s">
        <v>319</v>
      </c>
      <c r="B60" s="8" t="s">
        <v>185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285">
        <f>C43+157866</f>
        <v>991556</v>
      </c>
      <c r="D61" s="285">
        <f>D43</f>
        <v>0</v>
      </c>
      <c r="E61" s="270">
        <f>+C61-D61</f>
        <v>991556</v>
      </c>
      <c r="F61" s="8"/>
      <c r="G61" s="395"/>
    </row>
    <row r="62" spans="1:6" ht="12.75">
      <c r="A62" t="s">
        <v>6</v>
      </c>
      <c r="B62" s="8" t="s">
        <v>185</v>
      </c>
      <c r="C62" s="315"/>
      <c r="D62" s="285">
        <v>0</v>
      </c>
      <c r="E62" s="270">
        <f>+C62-D62</f>
        <v>0</v>
      </c>
      <c r="F62" s="8"/>
    </row>
    <row r="63" spans="1:6" ht="12.75">
      <c r="A63" s="31" t="s">
        <v>273</v>
      </c>
      <c r="B63" s="8" t="s">
        <v>185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2001000</v>
      </c>
      <c r="D64" s="314">
        <f>'Tax Reserves'!D63</f>
        <v>0</v>
      </c>
      <c r="E64" s="270">
        <f>+C64-D64</f>
        <v>2001000</v>
      </c>
      <c r="F64" s="8"/>
    </row>
    <row r="65" spans="1:6" ht="12.75">
      <c r="A65" t="s">
        <v>429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46" t="s">
        <v>380</v>
      </c>
      <c r="B66" s="8"/>
      <c r="C66" s="426">
        <f>'TAXREC 3 No True-up'!C47</f>
        <v>3745786</v>
      </c>
      <c r="D66" s="426">
        <f>'TAXREC 3 No True-up'!D47</f>
        <v>0</v>
      </c>
      <c r="E66" s="270">
        <f>+C66-D66</f>
        <v>3745786</v>
      </c>
      <c r="F66" s="8"/>
    </row>
    <row r="67" spans="1:6" ht="12.75">
      <c r="A67" t="s">
        <v>158</v>
      </c>
      <c r="B67" s="8" t="s">
        <v>185</v>
      </c>
      <c r="C67" s="249">
        <f>'TAXREC 2'!C77</f>
        <v>504564</v>
      </c>
      <c r="D67" s="249">
        <f>'TAXREC 2'!D77</f>
        <v>0</v>
      </c>
      <c r="E67" s="270">
        <f>+C67-D67</f>
        <v>504564</v>
      </c>
      <c r="F67" s="8"/>
    </row>
    <row r="68" spans="1:11" ht="12.75">
      <c r="A68" t="s">
        <v>159</v>
      </c>
      <c r="B68" s="8" t="s">
        <v>185</v>
      </c>
      <c r="C68" s="249">
        <f>'TAXREC 2'!C78</f>
        <v>17240</v>
      </c>
      <c r="D68" s="249">
        <f>'TAXREC 2'!D78</f>
        <v>0</v>
      </c>
      <c r="E68" s="270">
        <f>+C68-D68</f>
        <v>17240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7529794</v>
      </c>
      <c r="D70" s="270">
        <f>SUM(D59:D68)</f>
        <v>0</v>
      </c>
      <c r="E70" s="270">
        <f>SUM(E59:E68)</f>
        <v>7529794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204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185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60">
        <v>0</v>
      </c>
      <c r="D76" s="292"/>
      <c r="E76" s="45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187</v>
      </c>
      <c r="C82" s="249">
        <f>C70+C80</f>
        <v>7529794</v>
      </c>
      <c r="D82" s="249">
        <f>D70+D80</f>
        <v>0</v>
      </c>
      <c r="E82" s="249">
        <f>E70+E80</f>
        <v>7529794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417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194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973217</v>
      </c>
      <c r="D97" s="292"/>
      <c r="E97" s="270">
        <f>+C97-D97</f>
        <v>973217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>
        <v>148913</v>
      </c>
      <c r="D98" s="292"/>
      <c r="E98" s="270">
        <f>+C98-D98</f>
        <v>148913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186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186</v>
      </c>
      <c r="C105" s="316">
        <f>'Tax Reserves'!C50</f>
        <v>1814000</v>
      </c>
      <c r="D105" s="316">
        <f>'Tax Reserves'!D50</f>
        <v>0</v>
      </c>
      <c r="E105" s="280">
        <f t="shared" si="5"/>
        <v>1814000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6" t="s">
        <v>380</v>
      </c>
      <c r="B108" s="8"/>
      <c r="C108" s="252">
        <f>'TAXREC 3 No True-up'!C73</f>
        <v>2509987</v>
      </c>
      <c r="D108" s="252">
        <f>'TAXREC 3 No True-up'!D73</f>
        <v>0</v>
      </c>
      <c r="E108" s="270">
        <f t="shared" si="5"/>
        <v>2509987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443858</v>
      </c>
      <c r="D110" s="249">
        <f>'TAXREC 2'!D119</f>
        <v>0</v>
      </c>
      <c r="E110" s="249">
        <f>'TAXREC 2'!E119</f>
        <v>443858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49">
        <f>SUM(C97:C111)</f>
        <v>5889975</v>
      </c>
      <c r="D113" s="249">
        <f>SUM(D97:D111)</f>
        <v>0</v>
      </c>
      <c r="E113" s="249">
        <f>SUM(E97:E111)</f>
        <v>5889975</v>
      </c>
      <c r="F113" s="8"/>
      <c r="G113" s="45"/>
      <c r="H113" s="45"/>
      <c r="I113" s="23"/>
      <c r="J113" s="45"/>
      <c r="K113" s="23"/>
    </row>
    <row r="114" spans="1:11" ht="12.75">
      <c r="A114" s="10" t="s">
        <v>203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186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186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187</v>
      </c>
      <c r="C122" s="249">
        <f>C113+C120</f>
        <v>5889975</v>
      </c>
      <c r="D122" s="249">
        <f>D113+D120</f>
        <v>0</v>
      </c>
      <c r="E122" s="249">
        <f>+E113+E120</f>
        <v>5889975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196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197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195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1076899</v>
      </c>
      <c r="D134" s="249">
        <f>D53+D82-D122</f>
        <v>0</v>
      </c>
      <c r="E134" s="249">
        <f>E53+E82-E122</f>
        <v>1667248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186</v>
      </c>
      <c r="C136" s="292">
        <v>133558</v>
      </c>
      <c r="D136" s="292"/>
      <c r="E136" s="262">
        <f>C136-D136</f>
        <v>133558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186</v>
      </c>
      <c r="C137" s="308"/>
      <c r="D137" s="308"/>
      <c r="E137" s="37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7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0">
        <f>C134-C136-C137-C138</f>
        <v>943341</v>
      </c>
      <c r="D139" s="250">
        <f>D134-D136-D137-D138</f>
        <v>0</v>
      </c>
      <c r="E139" s="250">
        <f>E134-E136-E137-E138</f>
        <v>1533690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299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185</v>
      </c>
      <c r="C142" s="296">
        <v>102469</v>
      </c>
      <c r="D142" s="296">
        <f>D139*C149</f>
        <v>0</v>
      </c>
      <c r="E142" s="250">
        <f>C142-D142</f>
        <v>102469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185</v>
      </c>
      <c r="C143" s="296">
        <v>34709</v>
      </c>
      <c r="D143" s="296">
        <f>D139*C150</f>
        <v>0</v>
      </c>
      <c r="E143" s="290">
        <f>C143-D143</f>
        <v>34709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137178</v>
      </c>
      <c r="D144" s="250">
        <f>D142+D143</f>
        <v>0</v>
      </c>
      <c r="E144" s="250">
        <f>E142+E143</f>
        <v>137178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186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98</v>
      </c>
      <c r="B146" s="8" t="s">
        <v>187</v>
      </c>
      <c r="C146" s="250">
        <f>C144-C145</f>
        <v>137178</v>
      </c>
      <c r="D146" s="250">
        <f>D144-D145</f>
        <v>0</v>
      </c>
      <c r="E146" s="250">
        <f>E144-E145</f>
        <v>137178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299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85">
        <f>C142/C139</f>
        <v>0.1086234988196209</v>
      </c>
      <c r="D149" s="5"/>
      <c r="E149" s="386">
        <f>C149</f>
        <v>0.1086234988196209</v>
      </c>
      <c r="F149" s="8"/>
      <c r="G149" s="461" t="s">
        <v>451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85">
        <f>C143/C139</f>
        <v>0.036793693902841075</v>
      </c>
      <c r="D150" s="5"/>
      <c r="E150" s="386">
        <f>C150</f>
        <v>0.036793693902841075</v>
      </c>
      <c r="F150" s="8"/>
      <c r="G150" s="461" t="s">
        <v>452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86">
        <f>SUM(C149:C150)</f>
        <v>0.14541719272246198</v>
      </c>
      <c r="D151" s="5"/>
      <c r="E151" s="386">
        <f>SUM(E149:E150)</f>
        <v>0.14541719272246198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344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216</v>
      </c>
      <c r="B156" s="85" t="s">
        <v>185</v>
      </c>
      <c r="C156" s="249">
        <f>C146</f>
        <v>137178</v>
      </c>
      <c r="D156" s="249">
        <f>D146</f>
        <v>0</v>
      </c>
      <c r="E156" s="249">
        <f>E146</f>
        <v>137178</v>
      </c>
    </row>
    <row r="157" spans="1:5" ht="12.75">
      <c r="A157" t="s">
        <v>20</v>
      </c>
      <c r="B157" s="85" t="s">
        <v>185</v>
      </c>
      <c r="C157" s="457">
        <v>40168</v>
      </c>
      <c r="D157" s="249"/>
      <c r="E157" s="249">
        <f>C157+D157</f>
        <v>40168</v>
      </c>
    </row>
    <row r="158" spans="1:5" ht="12.75">
      <c r="A158" t="s">
        <v>215</v>
      </c>
      <c r="B158" s="85" t="s">
        <v>185</v>
      </c>
      <c r="C158" s="457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296</v>
      </c>
      <c r="B160" s="65" t="s">
        <v>187</v>
      </c>
      <c r="C160" s="249">
        <f>C156+C157+C158</f>
        <v>177346</v>
      </c>
      <c r="D160" s="249">
        <f>D156+D157+D158</f>
        <v>0</v>
      </c>
      <c r="E160" s="249">
        <f>E156+E157+E158</f>
        <v>177346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33" r:id="rId3"/>
  <rowBreaks count="1" manualBreakCount="1">
    <brk id="95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75" zoomScaleNormal="75" zoomScalePageLayoutView="0" workbookViewId="0" topLeftCell="A33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267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7" ht="12.75">
      <c r="A14" s="60" t="s">
        <v>275</v>
      </c>
      <c r="B14" s="60"/>
      <c r="C14" s="292"/>
      <c r="D14" s="292"/>
      <c r="E14" s="249">
        <f aca="true" t="shared" si="0" ref="E14:E21">C14-D14</f>
        <v>0</v>
      </c>
      <c r="G14">
        <v>70004</v>
      </c>
    </row>
    <row r="15" spans="1:5" ht="12.75">
      <c r="A15" s="60" t="s">
        <v>276</v>
      </c>
      <c r="B15" s="60"/>
      <c r="C15" s="292"/>
      <c r="D15" s="292"/>
      <c r="E15" s="249">
        <f t="shared" si="0"/>
        <v>0</v>
      </c>
    </row>
    <row r="16" spans="1:5" ht="12.75">
      <c r="A16" s="60" t="s">
        <v>277</v>
      </c>
      <c r="B16" s="60"/>
      <c r="C16" s="292"/>
      <c r="D16" s="292"/>
      <c r="E16" s="249">
        <f t="shared" si="0"/>
        <v>0</v>
      </c>
    </row>
    <row r="17" spans="1:5" ht="12.75">
      <c r="A17" s="60" t="s">
        <v>278</v>
      </c>
      <c r="B17" s="60"/>
      <c r="C17" s="292"/>
      <c r="D17" s="292"/>
      <c r="E17" s="249">
        <f t="shared" si="0"/>
        <v>0</v>
      </c>
    </row>
    <row r="18" spans="1:5" ht="12.75">
      <c r="A18" s="60" t="s">
        <v>434</v>
      </c>
      <c r="B18" s="60"/>
      <c r="C18" s="292"/>
      <c r="D18" s="292"/>
      <c r="E18" s="249">
        <f t="shared" si="0"/>
        <v>0</v>
      </c>
    </row>
    <row r="19" spans="1:5" ht="12.75">
      <c r="A19" s="60" t="s">
        <v>434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266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7" ht="12.75">
      <c r="A26" s="60" t="s">
        <v>275</v>
      </c>
      <c r="B26" s="60"/>
      <c r="C26" s="292">
        <v>0</v>
      </c>
      <c r="D26" s="292"/>
      <c r="E26" s="249">
        <f aca="true" t="shared" si="1" ref="E26:E33">C26-D26</f>
        <v>0</v>
      </c>
      <c r="G26">
        <v>103537</v>
      </c>
    </row>
    <row r="27" spans="1:5" ht="12.75">
      <c r="A27" s="60" t="s">
        <v>276</v>
      </c>
      <c r="B27" s="60"/>
      <c r="C27" s="292"/>
      <c r="D27" s="292"/>
      <c r="E27" s="249">
        <f t="shared" si="1"/>
        <v>0</v>
      </c>
    </row>
    <row r="28" spans="1:5" ht="12.75">
      <c r="A28" s="60" t="s">
        <v>277</v>
      </c>
      <c r="B28" s="60"/>
      <c r="C28" s="292"/>
      <c r="D28" s="292"/>
      <c r="E28" s="249">
        <f t="shared" si="1"/>
        <v>0</v>
      </c>
    </row>
    <row r="29" spans="1:5" ht="12.75">
      <c r="A29" s="60" t="s">
        <v>278</v>
      </c>
      <c r="B29" s="60"/>
      <c r="C29" s="292"/>
      <c r="D29" s="292"/>
      <c r="E29" s="249">
        <f t="shared" si="1"/>
        <v>0</v>
      </c>
    </row>
    <row r="30" spans="1:5" ht="12.75">
      <c r="A30" s="60" t="s">
        <v>434</v>
      </c>
      <c r="B30" s="60"/>
      <c r="C30" s="292"/>
      <c r="D30" s="292"/>
      <c r="E30" s="249">
        <f t="shared" si="1"/>
        <v>0</v>
      </c>
    </row>
    <row r="31" spans="1:5" ht="12.75">
      <c r="A31" s="60" t="s">
        <v>434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7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267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261</v>
      </c>
      <c r="B43" s="60"/>
      <c r="C43" s="292"/>
      <c r="D43" s="292"/>
      <c r="E43" s="249">
        <f t="shared" si="2"/>
        <v>0</v>
      </c>
    </row>
    <row r="44" spans="1:5" ht="12.75">
      <c r="A44" s="60" t="s">
        <v>262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263</v>
      </c>
      <c r="B45" s="60"/>
      <c r="C45" s="292"/>
      <c r="D45" s="292"/>
      <c r="E45" s="249">
        <f t="shared" si="2"/>
        <v>0</v>
      </c>
    </row>
    <row r="46" spans="1:5" ht="12.75">
      <c r="A46" s="60" t="s">
        <v>264</v>
      </c>
      <c r="B46" s="60"/>
      <c r="C46" s="292"/>
      <c r="D46" s="292"/>
      <c r="E46" s="249">
        <f t="shared" si="2"/>
        <v>0</v>
      </c>
    </row>
    <row r="47" spans="1:5" ht="12.75">
      <c r="A47" s="489" t="s">
        <v>488</v>
      </c>
      <c r="B47" s="60"/>
      <c r="C47" s="292">
        <v>1814000</v>
      </c>
      <c r="D47" s="292"/>
      <c r="E47" s="249">
        <f t="shared" si="2"/>
        <v>1814000</v>
      </c>
    </row>
    <row r="48" spans="1:5" ht="12.75">
      <c r="A48" s="60" t="s">
        <v>434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178</v>
      </c>
      <c r="C50" s="249">
        <f>SUM(C41:C49)</f>
        <v>1814000</v>
      </c>
      <c r="D50" s="249">
        <f>SUM(D41:D49)</f>
        <v>0</v>
      </c>
      <c r="E50" s="249">
        <f>SUM(E41:E49)</f>
        <v>1814000</v>
      </c>
    </row>
    <row r="51" spans="3:5" ht="12.75">
      <c r="C51" s="40"/>
      <c r="D51" s="22"/>
      <c r="E51" s="22">
        <f>D51</f>
        <v>0</v>
      </c>
    </row>
    <row r="52" spans="1:5" ht="12.75">
      <c r="A52" s="245" t="s">
        <v>266</v>
      </c>
      <c r="B52" s="60"/>
      <c r="C52" s="90"/>
      <c r="D52" s="90"/>
      <c r="E52" s="90">
        <f>D52</f>
        <v>0</v>
      </c>
    </row>
    <row r="53" spans="1:5" ht="12.75">
      <c r="A53" s="60"/>
      <c r="B53" s="60"/>
      <c r="C53" s="292"/>
      <c r="D53" s="292"/>
      <c r="E53" s="249">
        <f>C53-D53</f>
        <v>0</v>
      </c>
    </row>
    <row r="54" spans="1:5" ht="12.75">
      <c r="A54" s="244"/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261</v>
      </c>
      <c r="B55" s="60"/>
      <c r="C55" s="292"/>
      <c r="D55" s="292"/>
      <c r="E55" s="249">
        <f t="shared" si="3"/>
        <v>0</v>
      </c>
    </row>
    <row r="56" spans="1:5" ht="12.75">
      <c r="A56" s="244" t="s">
        <v>262</v>
      </c>
      <c r="B56" s="60"/>
      <c r="C56" s="292">
        <v>0</v>
      </c>
      <c r="D56" s="292"/>
      <c r="E56" s="249">
        <f t="shared" si="3"/>
        <v>0</v>
      </c>
    </row>
    <row r="57" spans="1:5" ht="12.75">
      <c r="A57" s="244" t="s">
        <v>263</v>
      </c>
      <c r="B57" s="60"/>
      <c r="C57" s="292"/>
      <c r="D57" s="292"/>
      <c r="E57" s="249">
        <f t="shared" si="3"/>
        <v>0</v>
      </c>
    </row>
    <row r="58" spans="1:5" ht="12.75">
      <c r="A58" s="244" t="s">
        <v>264</v>
      </c>
      <c r="B58" s="60"/>
      <c r="C58" s="292"/>
      <c r="D58" s="292"/>
      <c r="E58" s="249">
        <f t="shared" si="3"/>
        <v>0</v>
      </c>
    </row>
    <row r="59" spans="1:5" ht="12.75">
      <c r="A59" s="489" t="s">
        <v>488</v>
      </c>
      <c r="B59" s="60"/>
      <c r="C59" s="292">
        <v>2001000</v>
      </c>
      <c r="D59" s="292"/>
      <c r="E59" s="249">
        <f t="shared" si="3"/>
        <v>2001000</v>
      </c>
    </row>
    <row r="60" spans="1:5" ht="12.75">
      <c r="A60" s="60" t="s">
        <v>434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178</v>
      </c>
      <c r="C63" s="249">
        <f>SUM(C53:C61)</f>
        <v>2001000</v>
      </c>
      <c r="D63" s="249">
        <f>SUM(D53:D61)</f>
        <v>0</v>
      </c>
      <c r="E63" s="249">
        <f>SUM(E53:E61)</f>
        <v>2001000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zoomScale="75" zoomScaleNormal="75" zoomScalePageLayoutView="0" workbookViewId="0" topLeftCell="A1">
      <pane xSplit="1" ySplit="6" topLeftCell="B1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87" sqref="C8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5" t="s">
        <v>450</v>
      </c>
      <c r="B5" s="8"/>
      <c r="C5" s="8" t="s">
        <v>2</v>
      </c>
      <c r="D5" s="8"/>
      <c r="E5" s="8"/>
      <c r="F5" s="8"/>
    </row>
    <row r="6" spans="1:6" ht="12.75">
      <c r="A6" s="395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65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3"/>
      <c r="D17" s="293"/>
      <c r="E17" s="310">
        <f>C17-D17</f>
        <v>0</v>
      </c>
    </row>
    <row r="18" spans="1:5" ht="12.75">
      <c r="A18" s="66" t="s">
        <v>247</v>
      </c>
      <c r="B18" t="s">
        <v>185</v>
      </c>
      <c r="C18" s="293"/>
      <c r="D18" s="293"/>
      <c r="E18" s="310">
        <f aca="true" t="shared" si="0" ref="E18:E44">C18-D18</f>
        <v>0</v>
      </c>
    </row>
    <row r="19" spans="1:5" ht="12.75">
      <c r="A19" s="66" t="s">
        <v>134</v>
      </c>
      <c r="B19" t="s">
        <v>185</v>
      </c>
      <c r="C19" s="293"/>
      <c r="D19" s="293"/>
      <c r="E19" s="310">
        <f t="shared" si="0"/>
        <v>0</v>
      </c>
    </row>
    <row r="20" spans="1:5" ht="12.75">
      <c r="A20" s="66" t="s">
        <v>435</v>
      </c>
      <c r="B20" t="s">
        <v>185</v>
      </c>
      <c r="C20" s="293"/>
      <c r="D20" s="311"/>
      <c r="E20" s="310">
        <f t="shared" si="0"/>
        <v>0</v>
      </c>
    </row>
    <row r="21" spans="1:5" ht="12.75">
      <c r="A21" s="66" t="s">
        <v>8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/>
      <c r="B22" t="s">
        <v>185</v>
      </c>
      <c r="C22" s="293"/>
      <c r="D22" s="293"/>
      <c r="E22" s="310">
        <f t="shared" si="0"/>
        <v>0</v>
      </c>
    </row>
    <row r="23" spans="1:5" ht="12.75">
      <c r="A23" s="66" t="s">
        <v>136</v>
      </c>
      <c r="B23" t="s">
        <v>185</v>
      </c>
      <c r="C23" s="293">
        <v>504564</v>
      </c>
      <c r="D23" s="293"/>
      <c r="E23" s="310">
        <f t="shared" si="0"/>
        <v>504564</v>
      </c>
    </row>
    <row r="24" spans="1:5" ht="12.75">
      <c r="A24" s="66" t="s">
        <v>137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9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189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7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123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138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139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248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140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141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142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66" t="s">
        <v>191</v>
      </c>
      <c r="B35" t="s">
        <v>185</v>
      </c>
      <c r="C35" s="293"/>
      <c r="D35" s="293"/>
      <c r="E35" s="310">
        <f t="shared" si="0"/>
        <v>0</v>
      </c>
    </row>
    <row r="36" spans="1:5" ht="12.75">
      <c r="A36" s="66" t="s">
        <v>455</v>
      </c>
      <c r="B36" t="s">
        <v>185</v>
      </c>
      <c r="C36" s="293"/>
      <c r="D36" s="293"/>
      <c r="E36" s="310">
        <f t="shared" si="0"/>
        <v>0</v>
      </c>
    </row>
    <row r="37" spans="1:5" ht="12.75">
      <c r="A37" s="66"/>
      <c r="B37" t="s">
        <v>185</v>
      </c>
      <c r="C37" s="293"/>
      <c r="D37" s="293"/>
      <c r="E37" s="310">
        <f t="shared" si="0"/>
        <v>0</v>
      </c>
    </row>
    <row r="38" spans="2:5" ht="12.75">
      <c r="B38" t="s">
        <v>185</v>
      </c>
      <c r="C38" s="293"/>
      <c r="D38" s="293"/>
      <c r="E38" s="249">
        <f t="shared" si="0"/>
        <v>0</v>
      </c>
    </row>
    <row r="39" spans="2:5" ht="12.75">
      <c r="B39" t="s">
        <v>185</v>
      </c>
      <c r="C39" s="292"/>
      <c r="D39" s="293"/>
      <c r="E39" s="249">
        <f t="shared" si="0"/>
        <v>0</v>
      </c>
    </row>
    <row r="40" spans="1:5" ht="12.75">
      <c r="A40" s="67" t="s">
        <v>201</v>
      </c>
      <c r="B40" t="s">
        <v>185</v>
      </c>
      <c r="C40" s="292"/>
      <c r="D40" s="292"/>
      <c r="E40" s="249">
        <f t="shared" si="0"/>
        <v>0</v>
      </c>
    </row>
    <row r="41" spans="1:5" ht="12.75">
      <c r="A41" s="66"/>
      <c r="B41" t="s">
        <v>185</v>
      </c>
      <c r="C41" s="292"/>
      <c r="D41" s="292"/>
      <c r="E41" s="249">
        <f t="shared" si="0"/>
        <v>0</v>
      </c>
    </row>
    <row r="42" spans="1:5" ht="12.75">
      <c r="A42" s="484" t="s">
        <v>489</v>
      </c>
      <c r="B42" t="s">
        <v>185</v>
      </c>
      <c r="C42" s="292">
        <v>13959</v>
      </c>
      <c r="D42" s="292"/>
      <c r="E42" s="249">
        <f t="shared" si="0"/>
        <v>13959</v>
      </c>
    </row>
    <row r="43" spans="1:5" ht="12.75">
      <c r="A43" s="484" t="s">
        <v>490</v>
      </c>
      <c r="B43" t="s">
        <v>185</v>
      </c>
      <c r="C43" s="292">
        <v>3281</v>
      </c>
      <c r="D43" s="292"/>
      <c r="E43" s="249">
        <f t="shared" si="0"/>
        <v>3281</v>
      </c>
    </row>
    <row r="44" spans="1:5" ht="12.75">
      <c r="A44" s="66"/>
      <c r="B44" t="s">
        <v>185</v>
      </c>
      <c r="C44" s="292"/>
      <c r="D44" s="292"/>
      <c r="E44" s="249">
        <f t="shared" si="0"/>
        <v>0</v>
      </c>
    </row>
    <row r="45" spans="1:5" ht="12.75">
      <c r="A45" s="66"/>
      <c r="B45" t="s">
        <v>185</v>
      </c>
      <c r="C45" s="292"/>
      <c r="D45" s="292"/>
      <c r="E45" s="277"/>
    </row>
    <row r="46" spans="1:5" ht="12.75">
      <c r="A46" s="69" t="s">
        <v>168</v>
      </c>
      <c r="B46" t="s">
        <v>187</v>
      </c>
      <c r="C46" s="249">
        <f>SUM(C17:C45)</f>
        <v>521804</v>
      </c>
      <c r="D46" s="249">
        <f>SUM(D17:D45)</f>
        <v>0</v>
      </c>
      <c r="E46" s="249">
        <f>SUM(E17:E45)</f>
        <v>521804</v>
      </c>
    </row>
    <row r="47" ht="12.75">
      <c r="A47" s="66"/>
    </row>
    <row r="48" ht="12.75">
      <c r="A48" s="66" t="s">
        <v>170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473"/>
      <c r="D51" s="249"/>
      <c r="E51" s="249">
        <f>D51</f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/>
      <c r="E52" s="249">
        <f>D52</f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Taxable capital gains</v>
      </c>
      <c r="B55" s="271"/>
      <c r="C55" s="249">
        <f t="shared" si="1"/>
        <v>504564</v>
      </c>
      <c r="D55" s="249">
        <f t="shared" si="1"/>
        <v>0</v>
      </c>
      <c r="E55" s="249">
        <f t="shared" si="1"/>
        <v>504564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504564</v>
      </c>
      <c r="D77" s="249">
        <f>SUM(D49:D75)</f>
        <v>0</v>
      </c>
      <c r="E77" s="249">
        <f>SUM(E49:E75)</f>
        <v>504564</v>
      </c>
    </row>
    <row r="78" spans="1:5" ht="12.75">
      <c r="A78" s="274" t="s">
        <v>200</v>
      </c>
      <c r="B78" s="275"/>
      <c r="C78" s="312">
        <f>C46-C77</f>
        <v>17240</v>
      </c>
      <c r="D78" s="312">
        <f>D46-D77</f>
        <v>0</v>
      </c>
      <c r="E78" s="312">
        <f>E46-E77</f>
        <v>17240</v>
      </c>
    </row>
    <row r="79" spans="1:5" ht="12.75">
      <c r="A79" s="274" t="s">
        <v>168</v>
      </c>
      <c r="B79" s="275"/>
      <c r="C79" s="312">
        <f>C77+C78</f>
        <v>521804</v>
      </c>
      <c r="D79" s="312">
        <f>D77+D78</f>
        <v>0</v>
      </c>
      <c r="E79" s="312">
        <f>E77+E78</f>
        <v>521804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186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186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186</v>
      </c>
      <c r="C84" s="292"/>
      <c r="D84" s="292"/>
      <c r="E84" s="249">
        <f t="shared" si="5"/>
        <v>0</v>
      </c>
    </row>
    <row r="85" spans="1:5" ht="12.75">
      <c r="A85" s="70" t="s">
        <v>249</v>
      </c>
      <c r="B85" s="8" t="s">
        <v>186</v>
      </c>
      <c r="C85" s="292"/>
      <c r="D85" s="292"/>
      <c r="E85" s="249">
        <f t="shared" si="5"/>
        <v>0</v>
      </c>
    </row>
    <row r="86" spans="1:5" ht="12.75">
      <c r="A86" s="66" t="s">
        <v>192</v>
      </c>
      <c r="B86" s="8" t="s">
        <v>186</v>
      </c>
      <c r="C86" s="292">
        <v>443858</v>
      </c>
      <c r="D86" s="292"/>
      <c r="E86" s="249">
        <f t="shared" si="5"/>
        <v>443858</v>
      </c>
    </row>
    <row r="87" spans="1:5" ht="12.75">
      <c r="A87" s="66" t="s">
        <v>365</v>
      </c>
      <c r="B87" s="8" t="s">
        <v>186</v>
      </c>
      <c r="C87" s="292"/>
      <c r="D87" s="292"/>
      <c r="E87" s="249">
        <f t="shared" si="5"/>
        <v>0</v>
      </c>
    </row>
    <row r="88" spans="1:5" ht="12.75">
      <c r="A88" s="66" t="s">
        <v>193</v>
      </c>
      <c r="B88" s="8" t="s">
        <v>186</v>
      </c>
      <c r="C88" s="292"/>
      <c r="D88" s="292"/>
      <c r="E88" s="249">
        <f t="shared" si="5"/>
        <v>0</v>
      </c>
    </row>
    <row r="89" spans="1:5" ht="12.75">
      <c r="A89" s="66" t="s">
        <v>165</v>
      </c>
      <c r="B89" s="8" t="s">
        <v>186</v>
      </c>
      <c r="C89" s="292"/>
      <c r="D89" s="292"/>
      <c r="E89" s="249">
        <f t="shared" si="5"/>
        <v>0</v>
      </c>
    </row>
    <row r="90" spans="1:5" ht="12.75">
      <c r="A90" s="66" t="s">
        <v>166</v>
      </c>
      <c r="B90" s="8" t="s">
        <v>186</v>
      </c>
      <c r="C90" s="292"/>
      <c r="D90" s="292"/>
      <c r="E90" s="249">
        <f t="shared" si="5"/>
        <v>0</v>
      </c>
    </row>
    <row r="91" spans="1:5" ht="12.75">
      <c r="A91" s="66" t="s">
        <v>167</v>
      </c>
      <c r="B91" s="8" t="s">
        <v>186</v>
      </c>
      <c r="C91" s="292"/>
      <c r="D91" s="292"/>
      <c r="E91" s="249">
        <f t="shared" si="5"/>
        <v>0</v>
      </c>
    </row>
    <row r="92" spans="2:5" ht="12.75">
      <c r="B92" s="8" t="s">
        <v>186</v>
      </c>
      <c r="C92" s="292"/>
      <c r="D92" s="292"/>
      <c r="E92" s="249"/>
    </row>
    <row r="93" spans="1:5" ht="12.75">
      <c r="A93" s="66"/>
      <c r="B93" s="8" t="s">
        <v>186</v>
      </c>
      <c r="C93" s="292"/>
      <c r="D93" s="292"/>
      <c r="E93" s="249">
        <f t="shared" si="5"/>
        <v>0</v>
      </c>
    </row>
    <row r="94" spans="1:5" ht="12.75">
      <c r="A94" s="66"/>
      <c r="B94" s="8" t="s">
        <v>186</v>
      </c>
      <c r="C94" s="292"/>
      <c r="D94" s="292"/>
      <c r="E94" s="249">
        <f t="shared" si="5"/>
        <v>0</v>
      </c>
    </row>
    <row r="95" spans="1:5" ht="12.75">
      <c r="A95" s="67" t="s">
        <v>202</v>
      </c>
      <c r="B95" s="8" t="s">
        <v>186</v>
      </c>
      <c r="C95" s="292"/>
      <c r="D95" s="292"/>
      <c r="E95" s="249">
        <f t="shared" si="5"/>
        <v>0</v>
      </c>
    </row>
    <row r="96" spans="1:5" ht="12.75">
      <c r="A96" s="66" t="s">
        <v>456</v>
      </c>
      <c r="B96" s="8" t="s">
        <v>186</v>
      </c>
      <c r="C96" s="292">
        <v>0</v>
      </c>
      <c r="D96" s="292"/>
      <c r="E96" s="249">
        <f t="shared" si="5"/>
        <v>0</v>
      </c>
    </row>
    <row r="97" spans="1:5" ht="12.75">
      <c r="A97" s="66"/>
      <c r="B97" s="8" t="s">
        <v>186</v>
      </c>
      <c r="C97" s="292"/>
      <c r="D97" s="292"/>
      <c r="E97" s="249">
        <f t="shared" si="5"/>
        <v>0</v>
      </c>
    </row>
    <row r="98" spans="1:5" ht="12.75">
      <c r="A98" s="66"/>
      <c r="B98" s="8" t="s">
        <v>186</v>
      </c>
      <c r="C98" s="292"/>
      <c r="D98" s="292"/>
      <c r="E98" s="249">
        <f t="shared" si="5"/>
        <v>0</v>
      </c>
    </row>
    <row r="99" spans="1:5" ht="12.75">
      <c r="A99" s="66" t="s">
        <v>169</v>
      </c>
      <c r="B99" s="8" t="s">
        <v>187</v>
      </c>
      <c r="C99" s="249">
        <f>SUM(C82:C98)</f>
        <v>443858</v>
      </c>
      <c r="D99" s="249">
        <f>SUM(D82:D98)</f>
        <v>0</v>
      </c>
      <c r="E99" s="249">
        <f>SUM(E82:E98)</f>
        <v>443858</v>
      </c>
    </row>
    <row r="100" ht="12.75">
      <c r="A100" s="66"/>
    </row>
    <row r="101" ht="12.75">
      <c r="A101" s="66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Scientific research expenses claimed in year from Form T661</v>
      </c>
      <c r="B106" s="271"/>
      <c r="C106" s="249">
        <f t="shared" si="7"/>
        <v>443858</v>
      </c>
      <c r="D106" s="249">
        <f t="shared" si="7"/>
        <v>0</v>
      </c>
      <c r="E106" s="249">
        <f t="shared" si="7"/>
        <v>443858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199</v>
      </c>
      <c r="B119" s="271"/>
      <c r="C119" s="249">
        <f>SUM(C102:C118)</f>
        <v>443858</v>
      </c>
      <c r="D119" s="249">
        <f>SUM(D102:D118)</f>
        <v>0</v>
      </c>
      <c r="E119" s="249">
        <f>SUM(E102:E118)</f>
        <v>443858</v>
      </c>
    </row>
    <row r="120" spans="1:5" ht="12.75">
      <c r="A120" s="276" t="s">
        <v>198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169</v>
      </c>
      <c r="B121" s="271"/>
      <c r="C121" s="249">
        <f>C119+C120</f>
        <v>443858</v>
      </c>
      <c r="D121" s="249">
        <f>D119+D120</f>
        <v>0</v>
      </c>
      <c r="E121" s="249">
        <f>E119+E120</f>
        <v>443858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64" sqref="C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1"/>
    </row>
    <row r="4" spans="1:6" ht="15.75">
      <c r="A4" s="443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5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185</v>
      </c>
      <c r="C19" s="293"/>
      <c r="D19" s="293"/>
      <c r="E19" s="310">
        <f aca="true" t="shared" si="0" ref="E19:E45">C19-D19</f>
        <v>0</v>
      </c>
    </row>
    <row r="20" spans="1:5" ht="12.75">
      <c r="A20" t="s">
        <v>374</v>
      </c>
      <c r="B20" t="s">
        <v>185</v>
      </c>
      <c r="C20" s="293"/>
      <c r="D20" s="293"/>
      <c r="E20" s="310">
        <f t="shared" si="0"/>
        <v>0</v>
      </c>
    </row>
    <row r="21" spans="1:5" ht="12.75">
      <c r="A21" t="s">
        <v>439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 t="s">
        <v>377</v>
      </c>
      <c r="B22" t="s">
        <v>185</v>
      </c>
      <c r="C22" s="293"/>
      <c r="D22" s="311"/>
      <c r="E22" s="310">
        <f t="shared" si="0"/>
        <v>0</v>
      </c>
    </row>
    <row r="23" spans="1:5" ht="12.75">
      <c r="A23" s="66" t="s">
        <v>378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440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124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133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423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376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135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375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190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418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419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436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484" t="s">
        <v>437</v>
      </c>
      <c r="C35" s="293"/>
      <c r="D35" s="293"/>
      <c r="E35" s="310">
        <f t="shared" si="0"/>
        <v>0</v>
      </c>
    </row>
    <row r="36" spans="1:5" ht="12.75">
      <c r="A36" s="66" t="s">
        <v>420</v>
      </c>
      <c r="C36" s="293"/>
      <c r="D36" s="293"/>
      <c r="E36" s="310">
        <f t="shared" si="0"/>
        <v>0</v>
      </c>
    </row>
    <row r="37" spans="1:5" ht="12.75">
      <c r="A37" s="66" t="s">
        <v>421</v>
      </c>
      <c r="C37" s="293"/>
      <c r="D37" s="293"/>
      <c r="E37" s="310">
        <f t="shared" si="0"/>
        <v>0</v>
      </c>
    </row>
    <row r="38" spans="1:5" ht="12.75">
      <c r="A38" s="484" t="s">
        <v>379</v>
      </c>
      <c r="C38" s="293"/>
      <c r="D38" s="293"/>
      <c r="E38" s="310">
        <f t="shared" si="0"/>
        <v>0</v>
      </c>
    </row>
    <row r="39" spans="2:5" ht="12.75">
      <c r="B39" t="s">
        <v>185</v>
      </c>
      <c r="C39" s="293"/>
      <c r="D39" s="293"/>
      <c r="E39" s="310">
        <f t="shared" si="0"/>
        <v>0</v>
      </c>
    </row>
    <row r="40" spans="1:5" ht="12.75">
      <c r="A40" s="80"/>
      <c r="B40" t="s">
        <v>185</v>
      </c>
      <c r="C40" s="293"/>
      <c r="D40" s="293"/>
      <c r="E40" s="310">
        <f t="shared" si="0"/>
        <v>0</v>
      </c>
    </row>
    <row r="41" spans="1:5" ht="12.75">
      <c r="A41" s="484" t="s">
        <v>491</v>
      </c>
      <c r="B41" t="s">
        <v>185</v>
      </c>
      <c r="C41" s="293">
        <v>1252879</v>
      </c>
      <c r="D41" s="293"/>
      <c r="E41" s="310">
        <f t="shared" si="0"/>
        <v>1252879</v>
      </c>
    </row>
    <row r="42" spans="1:5" ht="12.75">
      <c r="A42" s="484" t="s">
        <v>492</v>
      </c>
      <c r="B42" t="s">
        <v>185</v>
      </c>
      <c r="C42" s="293">
        <v>1604175</v>
      </c>
      <c r="D42" s="293"/>
      <c r="E42" s="310">
        <f t="shared" si="0"/>
        <v>1604175</v>
      </c>
    </row>
    <row r="43" spans="1:5" ht="12.75">
      <c r="A43" s="484" t="s">
        <v>493</v>
      </c>
      <c r="B43" t="s">
        <v>185</v>
      </c>
      <c r="C43" s="293">
        <v>721672</v>
      </c>
      <c r="D43" s="293"/>
      <c r="E43" s="310">
        <f t="shared" si="0"/>
        <v>721672</v>
      </c>
    </row>
    <row r="44" spans="1:5" ht="12.75">
      <c r="A44" s="484" t="s">
        <v>494</v>
      </c>
      <c r="B44" t="s">
        <v>185</v>
      </c>
      <c r="C44" s="292">
        <v>167060</v>
      </c>
      <c r="D44" s="292"/>
      <c r="E44" s="249">
        <f t="shared" si="0"/>
        <v>167060</v>
      </c>
    </row>
    <row r="45" spans="2:5" ht="12.75">
      <c r="B45" t="s">
        <v>185</v>
      </c>
      <c r="C45" s="292"/>
      <c r="D45" s="292"/>
      <c r="E45" s="249">
        <f t="shared" si="0"/>
        <v>0</v>
      </c>
    </row>
    <row r="46" spans="1:5" ht="12.75">
      <c r="A46" s="66"/>
      <c r="B46" t="s">
        <v>185</v>
      </c>
      <c r="C46" s="292"/>
      <c r="D46" s="292"/>
      <c r="E46" s="277"/>
    </row>
    <row r="47" spans="1:5" ht="12.75">
      <c r="A47" s="429" t="s">
        <v>382</v>
      </c>
      <c r="B47" t="s">
        <v>187</v>
      </c>
      <c r="C47" s="249">
        <f>SUM(C19:C46)</f>
        <v>3745786</v>
      </c>
      <c r="D47" s="249"/>
      <c r="E47" s="249">
        <f>SUM(E19:E46)</f>
        <v>3745786</v>
      </c>
    </row>
    <row r="48" ht="12.75">
      <c r="A48" s="66"/>
    </row>
    <row r="49" ht="12.75">
      <c r="A49" s="80" t="s">
        <v>144</v>
      </c>
    </row>
    <row r="51" spans="1:5" ht="12.75">
      <c r="A51" s="70" t="s">
        <v>374</v>
      </c>
      <c r="B51" s="8" t="s">
        <v>186</v>
      </c>
      <c r="C51" s="472"/>
      <c r="D51" s="292"/>
      <c r="E51" s="249">
        <f>D51</f>
        <v>0</v>
      </c>
    </row>
    <row r="52" spans="1:5" ht="12.75">
      <c r="A52" s="66" t="s">
        <v>439</v>
      </c>
      <c r="B52" s="8" t="s">
        <v>186</v>
      </c>
      <c r="C52" s="292"/>
      <c r="D52" s="292"/>
      <c r="E52" s="249">
        <f>D52</f>
        <v>0</v>
      </c>
    </row>
    <row r="53" spans="1:5" ht="12.75">
      <c r="A53" t="s">
        <v>375</v>
      </c>
      <c r="B53" s="8" t="s">
        <v>186</v>
      </c>
      <c r="C53" s="292"/>
      <c r="D53" s="292"/>
      <c r="E53" s="249">
        <f aca="true" t="shared" si="1" ref="E53:E61">C53-D53</f>
        <v>0</v>
      </c>
    </row>
    <row r="54" spans="1:5" ht="12.75">
      <c r="A54" t="s">
        <v>422</v>
      </c>
      <c r="B54" s="8" t="s">
        <v>186</v>
      </c>
      <c r="C54" s="292">
        <v>7030</v>
      </c>
      <c r="D54" s="292"/>
      <c r="E54" s="249">
        <f t="shared" si="1"/>
        <v>7030</v>
      </c>
    </row>
    <row r="55" spans="1:5" ht="12.75">
      <c r="A55" s="66" t="s">
        <v>430</v>
      </c>
      <c r="B55" s="8" t="s">
        <v>186</v>
      </c>
      <c r="C55" s="292"/>
      <c r="D55" s="292"/>
      <c r="E55" s="249">
        <f t="shared" si="1"/>
        <v>0</v>
      </c>
    </row>
    <row r="56" spans="1:5" ht="12.75">
      <c r="A56" s="66" t="s">
        <v>442</v>
      </c>
      <c r="B56" s="8" t="s">
        <v>186</v>
      </c>
      <c r="C56" s="292"/>
      <c r="D56" s="292"/>
      <c r="E56" s="249">
        <f t="shared" si="1"/>
        <v>0</v>
      </c>
    </row>
    <row r="57" spans="1:5" ht="12.75">
      <c r="A57" s="2" t="s">
        <v>438</v>
      </c>
      <c r="B57" s="8" t="s">
        <v>186</v>
      </c>
      <c r="C57" s="292"/>
      <c r="D57" s="292"/>
      <c r="E57" s="249">
        <f t="shared" si="1"/>
        <v>0</v>
      </c>
    </row>
    <row r="58" spans="1:5" ht="12.75">
      <c r="A58" s="66" t="s">
        <v>441</v>
      </c>
      <c r="B58" s="8" t="s">
        <v>186</v>
      </c>
      <c r="C58" s="292"/>
      <c r="D58" s="292"/>
      <c r="E58" s="249">
        <f t="shared" si="1"/>
        <v>0</v>
      </c>
    </row>
    <row r="59" spans="1:5" ht="12.75">
      <c r="A59" s="66"/>
      <c r="B59" s="8" t="s">
        <v>186</v>
      </c>
      <c r="C59" s="292"/>
      <c r="D59" s="292"/>
      <c r="E59" s="249">
        <f t="shared" si="1"/>
        <v>0</v>
      </c>
    </row>
    <row r="60" spans="1:5" ht="12.75">
      <c r="A60" s="447"/>
      <c r="B60" s="8" t="s">
        <v>186</v>
      </c>
      <c r="C60" s="292"/>
      <c r="D60" s="292"/>
      <c r="E60" s="249">
        <f t="shared" si="1"/>
        <v>0</v>
      </c>
    </row>
    <row r="61" spans="1:5" ht="12.75">
      <c r="A61" s="484" t="s">
        <v>495</v>
      </c>
      <c r="B61" s="8" t="s">
        <v>186</v>
      </c>
      <c r="C61" s="292">
        <v>410633</v>
      </c>
      <c r="D61" s="292"/>
      <c r="E61" s="249">
        <f t="shared" si="1"/>
        <v>410633</v>
      </c>
    </row>
    <row r="62" spans="1:5" ht="12.75">
      <c r="A62" s="484" t="s">
        <v>496</v>
      </c>
      <c r="B62" s="8" t="s">
        <v>186</v>
      </c>
      <c r="C62" s="292">
        <v>1094156</v>
      </c>
      <c r="D62" s="292"/>
      <c r="E62" s="249">
        <f aca="true" t="shared" si="2" ref="E62:E72">C62-D62</f>
        <v>1094156</v>
      </c>
    </row>
    <row r="63" spans="1:5" ht="12.75">
      <c r="A63" s="484" t="s">
        <v>497</v>
      </c>
      <c r="B63" s="8" t="s">
        <v>186</v>
      </c>
      <c r="C63" s="292">
        <v>998168</v>
      </c>
      <c r="D63" s="292"/>
      <c r="E63" s="249">
        <f t="shared" si="2"/>
        <v>998168</v>
      </c>
    </row>
    <row r="64" spans="2:5" ht="12.75">
      <c r="B64" s="8" t="s">
        <v>186</v>
      </c>
      <c r="C64" s="292"/>
      <c r="D64" s="292"/>
      <c r="E64" s="249">
        <f t="shared" si="2"/>
        <v>0</v>
      </c>
    </row>
    <row r="65" spans="2:5" ht="12.75">
      <c r="B65" s="8" t="s">
        <v>186</v>
      </c>
      <c r="C65" s="292"/>
      <c r="D65" s="292"/>
      <c r="E65" s="249">
        <f t="shared" si="2"/>
        <v>0</v>
      </c>
    </row>
    <row r="66" spans="2:5" ht="12.75">
      <c r="B66" s="8" t="s">
        <v>186</v>
      </c>
      <c r="C66" s="292"/>
      <c r="D66" s="292"/>
      <c r="E66" s="249">
        <f t="shared" si="2"/>
        <v>0</v>
      </c>
    </row>
    <row r="67" spans="1:5" ht="12.75">
      <c r="A67" s="66"/>
      <c r="B67" s="8" t="s">
        <v>186</v>
      </c>
      <c r="C67" s="292"/>
      <c r="D67" s="292"/>
      <c r="E67" s="249">
        <f t="shared" si="2"/>
        <v>0</v>
      </c>
    </row>
    <row r="68" spans="1:5" ht="12.75">
      <c r="A68" s="67"/>
      <c r="B68" s="8" t="s">
        <v>186</v>
      </c>
      <c r="C68" s="292"/>
      <c r="D68" s="292"/>
      <c r="E68" s="249">
        <f t="shared" si="2"/>
        <v>0</v>
      </c>
    </row>
    <row r="69" spans="1:5" ht="12.75">
      <c r="A69" s="66"/>
      <c r="B69" s="8" t="s">
        <v>186</v>
      </c>
      <c r="C69" s="292"/>
      <c r="D69" s="292"/>
      <c r="E69" s="249">
        <f t="shared" si="2"/>
        <v>0</v>
      </c>
    </row>
    <row r="70" spans="1:5" ht="12.75">
      <c r="A70" s="484"/>
      <c r="B70" s="8" t="s">
        <v>186</v>
      </c>
      <c r="C70" s="292"/>
      <c r="D70" s="292"/>
      <c r="E70" s="249">
        <f t="shared" si="2"/>
        <v>0</v>
      </c>
    </row>
    <row r="71" spans="1:5" ht="12.75">
      <c r="A71" s="66"/>
      <c r="B71" s="8" t="s">
        <v>186</v>
      </c>
      <c r="C71" s="292"/>
      <c r="D71" s="292"/>
      <c r="E71" s="249">
        <f t="shared" si="2"/>
        <v>0</v>
      </c>
    </row>
    <row r="72" spans="1:5" ht="12.75">
      <c r="A72" s="66"/>
      <c r="B72" s="8" t="s">
        <v>186</v>
      </c>
      <c r="C72" s="292"/>
      <c r="D72" s="292"/>
      <c r="E72" s="277">
        <f t="shared" si="2"/>
        <v>0</v>
      </c>
    </row>
    <row r="73" spans="1:5" ht="12.75">
      <c r="A73" s="428" t="s">
        <v>381</v>
      </c>
      <c r="B73" s="8" t="s">
        <v>187</v>
      </c>
      <c r="C73" s="249">
        <f>SUM(C51:C72)</f>
        <v>2509987</v>
      </c>
      <c r="D73" s="249">
        <f>SUM(D51:D72)</f>
        <v>0</v>
      </c>
      <c r="E73" s="249">
        <f>SUM(E51:E72)</f>
        <v>2509987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17">
      <selection activeCell="K42" sqref="K4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5">
        <f>REGINFO!A1</f>
        <v>0</v>
      </c>
      <c r="B1" s="366"/>
      <c r="C1" s="339"/>
      <c r="D1" s="339"/>
      <c r="E1" s="339"/>
      <c r="F1" s="339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0" t="s">
        <v>106</v>
      </c>
      <c r="B2" s="339"/>
      <c r="C2" s="339"/>
      <c r="D2" s="339"/>
      <c r="E2" s="339"/>
      <c r="F2" s="341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0"/>
      <c r="B3" s="339"/>
      <c r="C3" s="339"/>
      <c r="D3" s="339"/>
      <c r="E3" s="339"/>
      <c r="F3" s="341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Brant County Power Inc.</v>
      </c>
      <c r="B4" s="339"/>
      <c r="C4" s="339"/>
      <c r="D4" s="339"/>
      <c r="E4" s="339"/>
      <c r="F4" s="339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2005</v>
      </c>
      <c r="B5" s="339"/>
      <c r="C5" s="339"/>
      <c r="D5" s="339"/>
      <c r="E5" s="339"/>
      <c r="F5" s="339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0"/>
      <c r="B7" s="339"/>
      <c r="C7" s="339"/>
      <c r="D7" s="339"/>
      <c r="E7" s="339"/>
      <c r="F7" s="390" t="s">
        <v>329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9" t="s">
        <v>466</v>
      </c>
      <c r="B8" s="500"/>
      <c r="C8" s="500"/>
      <c r="D8" s="500"/>
      <c r="E8" s="339"/>
      <c r="F8" s="363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8" t="s">
        <v>111</v>
      </c>
      <c r="B9" s="323"/>
      <c r="C9" s="354">
        <v>0</v>
      </c>
      <c r="D9" s="354"/>
      <c r="E9" s="354">
        <v>400001</v>
      </c>
      <c r="F9" s="355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468</v>
      </c>
      <c r="B10" s="324"/>
      <c r="C10" s="356" t="s">
        <v>110</v>
      </c>
      <c r="D10" s="356"/>
      <c r="E10" s="356" t="s">
        <v>110</v>
      </c>
      <c r="F10" s="357" t="s">
        <v>462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115</v>
      </c>
      <c r="C11" s="358">
        <v>400000</v>
      </c>
      <c r="D11" s="358"/>
      <c r="E11" s="358">
        <v>1128000</v>
      </c>
      <c r="F11" s="359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107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294</v>
      </c>
      <c r="B13" s="389">
        <v>2005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1" t="s">
        <v>293</v>
      </c>
      <c r="B14" s="243"/>
      <c r="C14" s="325">
        <v>0.1312</v>
      </c>
      <c r="D14" s="325"/>
      <c r="E14" s="326">
        <v>0.1775</v>
      </c>
      <c r="F14" s="326">
        <v>0.2212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297</v>
      </c>
      <c r="B15" s="243"/>
      <c r="C15" s="327">
        <v>0.055</v>
      </c>
      <c r="D15" s="327"/>
      <c r="E15" s="328">
        <v>0.0975</v>
      </c>
      <c r="F15" s="328">
        <v>0.14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254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3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108</v>
      </c>
      <c r="B18" s="242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109</v>
      </c>
      <c r="B19" s="236"/>
      <c r="C19" s="332">
        <v>0.00175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112</v>
      </c>
      <c r="B20" s="236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2" t="s">
        <v>324</v>
      </c>
      <c r="B21" s="387" t="s">
        <v>467</v>
      </c>
      <c r="C21" s="348">
        <v>7500000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2" t="s">
        <v>325</v>
      </c>
      <c r="B22" s="388" t="s">
        <v>461</v>
      </c>
      <c r="C22" s="349">
        <v>50000000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5" t="s">
        <v>472</v>
      </c>
      <c r="B23" s="496"/>
      <c r="C23" s="496"/>
      <c r="D23" s="496"/>
      <c r="E23" s="496"/>
      <c r="F23" s="496"/>
      <c r="G23" s="418"/>
      <c r="H23" s="40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1"/>
      <c r="B24" s="392"/>
      <c r="C24" s="392"/>
      <c r="D24" s="392"/>
      <c r="E24" s="392"/>
      <c r="F24" s="39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0"/>
      <c r="B25" s="361"/>
      <c r="C25" s="364"/>
      <c r="D25" s="339"/>
      <c r="E25" s="339"/>
      <c r="F25" s="390" t="s">
        <v>330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9" t="s">
        <v>469</v>
      </c>
      <c r="B26" s="500"/>
      <c r="C26" s="500"/>
      <c r="D26" s="500"/>
      <c r="E26" s="500"/>
      <c r="F26" s="500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111</v>
      </c>
      <c r="B27" s="323"/>
      <c r="C27" s="350"/>
      <c r="D27" s="350"/>
      <c r="E27" s="350"/>
      <c r="F27" s="351" t="s">
        <v>498</v>
      </c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426</v>
      </c>
      <c r="B28" s="324"/>
      <c r="C28" s="352"/>
      <c r="D28" s="352"/>
      <c r="E28" s="352"/>
      <c r="F28" s="490" t="s">
        <v>499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115</v>
      </c>
      <c r="C29" s="353"/>
      <c r="D29" s="353"/>
      <c r="E29" s="353"/>
      <c r="F29" s="491">
        <v>491891</v>
      </c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107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114</v>
      </c>
      <c r="B31" s="389">
        <v>2005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293</v>
      </c>
      <c r="B32" s="389">
        <v>2005</v>
      </c>
      <c r="C32" s="325"/>
      <c r="D32" s="325"/>
      <c r="E32" s="326"/>
      <c r="F32" s="326"/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29</v>
      </c>
      <c r="B33" s="389">
        <v>2005</v>
      </c>
      <c r="C33" s="327"/>
      <c r="D33" s="327"/>
      <c r="E33" s="328"/>
      <c r="F33" s="328"/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254</v>
      </c>
      <c r="B34" s="389">
        <v>2005</v>
      </c>
      <c r="C34" s="329">
        <f>SUM(C32:C33)</f>
        <v>0</v>
      </c>
      <c r="D34" s="329">
        <f>SUM(D32:D33)</f>
        <v>0</v>
      </c>
      <c r="E34" s="330">
        <f>SUM(E32:E33)</f>
        <v>0</v>
      </c>
      <c r="F34" s="330">
        <v>0.2459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3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108</v>
      </c>
      <c r="B36" s="389">
        <v>2005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109</v>
      </c>
      <c r="B37" s="389">
        <v>2005</v>
      </c>
      <c r="C37" s="332">
        <v>0.00175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112</v>
      </c>
      <c r="B38" s="389">
        <v>2005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2" t="s">
        <v>470</v>
      </c>
      <c r="B39" s="387" t="s">
        <v>467</v>
      </c>
      <c r="C39" s="348">
        <v>7500000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2" t="s">
        <v>471</v>
      </c>
      <c r="B40" s="388" t="s">
        <v>461</v>
      </c>
      <c r="C40" s="349">
        <v>50000000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7" t="s">
        <v>327</v>
      </c>
      <c r="B41" s="496"/>
      <c r="C41" s="496"/>
      <c r="D41" s="496"/>
      <c r="E41" s="496"/>
      <c r="F41" s="496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8"/>
      <c r="B42" s="498"/>
      <c r="C42" s="498"/>
      <c r="D42" s="498"/>
      <c r="E42" s="498"/>
      <c r="F42" s="498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60"/>
      <c r="B43" s="361"/>
      <c r="C43" s="362"/>
      <c r="D43" s="361"/>
      <c r="E43" s="361"/>
      <c r="F43" s="390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0"/>
      <c r="B61" s="341"/>
      <c r="C61" s="341"/>
      <c r="D61" s="341"/>
      <c r="E61" s="341"/>
      <c r="F61" s="343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0"/>
      <c r="B62" s="341"/>
      <c r="C62" s="342"/>
      <c r="D62" s="342"/>
      <c r="E62" s="342"/>
      <c r="F62" s="344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0"/>
      <c r="B63" s="339"/>
      <c r="C63" s="339"/>
      <c r="D63" s="339"/>
      <c r="E63" s="339"/>
      <c r="F63" s="339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5"/>
      <c r="B64" s="346"/>
      <c r="C64" s="347"/>
      <c r="D64" s="347"/>
      <c r="E64" s="347"/>
      <c r="F64" s="347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488" t="s">
        <v>486</v>
      </c>
      <c r="O3" s="396" t="str">
        <f>REGINFO!E1</f>
        <v>Version 2009.1</v>
      </c>
    </row>
    <row r="4" spans="1:15" ht="12.75">
      <c r="A4" s="2" t="str">
        <f>REGINFO!A4</f>
        <v>Reporting period:  2005</v>
      </c>
      <c r="E4" s="397" t="s">
        <v>313</v>
      </c>
      <c r="F4" s="379"/>
      <c r="G4" s="379"/>
      <c r="H4" s="379"/>
      <c r="I4" s="379"/>
      <c r="O4" s="39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73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75"/>
      <c r="D11" s="371"/>
      <c r="E11" s="377"/>
      <c r="F11" s="399"/>
      <c r="G11" s="377"/>
      <c r="H11" s="399"/>
      <c r="I11" s="377"/>
      <c r="J11" s="371"/>
      <c r="K11" s="377"/>
      <c r="L11" s="371"/>
      <c r="M11" s="377"/>
      <c r="N11" s="371"/>
      <c r="O11" s="377"/>
    </row>
    <row r="12" spans="1:17" ht="27" customHeight="1">
      <c r="A12" s="80" t="s">
        <v>383</v>
      </c>
      <c r="B12" s="65" t="s">
        <v>188</v>
      </c>
      <c r="C12" s="376"/>
      <c r="D12" s="372"/>
      <c r="E12" s="376"/>
      <c r="F12" s="94"/>
      <c r="G12" s="398"/>
      <c r="H12" s="94"/>
      <c r="I12" s="398"/>
      <c r="J12" s="372"/>
      <c r="K12" s="398"/>
      <c r="L12" s="372"/>
      <c r="M12" s="398"/>
      <c r="N12" s="372"/>
      <c r="O12" s="377"/>
      <c r="Q12" s="22"/>
    </row>
    <row r="13" spans="1:15" ht="27" customHeight="1">
      <c r="A13" s="80" t="s">
        <v>425</v>
      </c>
      <c r="B13" s="65"/>
      <c r="C13" s="376"/>
      <c r="D13" s="94"/>
      <c r="E13" s="376"/>
      <c r="F13" s="94"/>
      <c r="G13" s="376"/>
      <c r="H13" s="94"/>
      <c r="I13" s="376"/>
      <c r="J13" s="372"/>
      <c r="K13" s="376"/>
      <c r="L13" s="372"/>
      <c r="M13" s="376"/>
      <c r="N13" s="372"/>
      <c r="O13" s="377"/>
    </row>
    <row r="14" spans="1:15" ht="38.25">
      <c r="A14" s="80" t="s">
        <v>384</v>
      </c>
      <c r="B14" s="65" t="s">
        <v>188</v>
      </c>
      <c r="C14" s="376"/>
      <c r="D14" s="372"/>
      <c r="E14" s="376"/>
      <c r="F14" s="94"/>
      <c r="G14" s="376"/>
      <c r="H14" s="94"/>
      <c r="I14" s="408"/>
      <c r="J14" s="372"/>
      <c r="K14" s="376"/>
      <c r="L14" s="372"/>
      <c r="M14" s="376"/>
      <c r="N14" s="372"/>
      <c r="O14" s="377"/>
    </row>
    <row r="15" spans="1:15" ht="27" customHeight="1">
      <c r="A15" s="80" t="s">
        <v>385</v>
      </c>
      <c r="B15" s="65" t="s">
        <v>188</v>
      </c>
      <c r="C15" s="376"/>
      <c r="D15" s="372"/>
      <c r="E15" s="376"/>
      <c r="F15" s="94"/>
      <c r="G15" s="376"/>
      <c r="H15" s="94"/>
      <c r="I15" s="376"/>
      <c r="J15" s="372"/>
      <c r="K15" s="376"/>
      <c r="L15" s="372"/>
      <c r="M15" s="376"/>
      <c r="N15" s="372"/>
      <c r="O15" s="377"/>
    </row>
    <row r="16" spans="1:15" ht="27" customHeight="1">
      <c r="A16" s="80" t="s">
        <v>386</v>
      </c>
      <c r="B16" s="65"/>
      <c r="C16" s="376"/>
      <c r="D16" s="372"/>
      <c r="E16" s="376"/>
      <c r="F16" s="94"/>
      <c r="G16" s="376"/>
      <c r="H16" s="94"/>
      <c r="I16" s="376"/>
      <c r="J16" s="372"/>
      <c r="K16" s="376"/>
      <c r="L16" s="372"/>
      <c r="M16" s="376"/>
      <c r="N16" s="372"/>
      <c r="O16" s="377"/>
    </row>
    <row r="17" spans="1:15" ht="27.75" customHeight="1">
      <c r="A17" s="80" t="s">
        <v>387</v>
      </c>
      <c r="B17" s="65" t="s">
        <v>188</v>
      </c>
      <c r="C17" s="376"/>
      <c r="D17" s="372"/>
      <c r="E17" s="376"/>
      <c r="F17" s="94"/>
      <c r="G17" s="376"/>
      <c r="H17" s="94"/>
      <c r="I17" s="376"/>
      <c r="J17" s="372"/>
      <c r="K17" s="376"/>
      <c r="L17" s="372"/>
      <c r="M17" s="376"/>
      <c r="N17" s="372"/>
      <c r="O17" s="377"/>
    </row>
    <row r="18" spans="1:15" ht="25.5">
      <c r="A18" s="80" t="s">
        <v>388</v>
      </c>
      <c r="B18" s="65" t="s">
        <v>188</v>
      </c>
      <c r="C18" s="376"/>
      <c r="D18" s="372"/>
      <c r="E18" s="376"/>
      <c r="F18" s="94"/>
      <c r="G18" s="376"/>
      <c r="H18" s="94"/>
      <c r="I18" s="376"/>
      <c r="J18" s="372"/>
      <c r="K18" s="376"/>
      <c r="L18" s="372"/>
      <c r="M18" s="376"/>
      <c r="N18" s="372"/>
      <c r="O18" s="377"/>
    </row>
    <row r="19" spans="1:17" ht="24" customHeight="1">
      <c r="A19" s="412" t="s">
        <v>389</v>
      </c>
      <c r="B19" s="65" t="s">
        <v>188</v>
      </c>
      <c r="C19" s="376"/>
      <c r="D19" s="372"/>
      <c r="E19" s="376"/>
      <c r="F19" s="94"/>
      <c r="G19" s="376"/>
      <c r="H19" s="94"/>
      <c r="I19" s="376"/>
      <c r="J19" s="372"/>
      <c r="K19" s="376"/>
      <c r="L19" s="372"/>
      <c r="M19" s="376"/>
      <c r="N19" s="372"/>
      <c r="O19" s="377"/>
      <c r="Q19" s="22"/>
    </row>
    <row r="20" spans="1:17" ht="24.75" customHeight="1">
      <c r="A20" s="80" t="s">
        <v>453</v>
      </c>
      <c r="B20" s="65" t="s">
        <v>186</v>
      </c>
      <c r="C20" s="376"/>
      <c r="D20" s="372"/>
      <c r="E20" s="376"/>
      <c r="F20" s="94"/>
      <c r="G20" s="376"/>
      <c r="H20" s="94"/>
      <c r="I20" s="376"/>
      <c r="J20" s="372"/>
      <c r="K20" s="376"/>
      <c r="L20" s="372"/>
      <c r="M20" s="376"/>
      <c r="N20" s="372"/>
      <c r="O20" s="377"/>
      <c r="Q20" s="469"/>
    </row>
    <row r="21" spans="1:15" ht="12.75">
      <c r="A21" s="64"/>
      <c r="C21" s="372"/>
      <c r="D21" s="94"/>
      <c r="E21" s="372"/>
      <c r="F21" s="94"/>
      <c r="G21" s="372"/>
      <c r="H21" s="94"/>
      <c r="I21" s="372"/>
      <c r="J21" s="372"/>
      <c r="K21" s="372"/>
      <c r="L21" s="372"/>
      <c r="M21" s="372"/>
      <c r="N21" s="372"/>
      <c r="O21" s="399"/>
    </row>
    <row r="22" spans="1:19" ht="13.5" thickBot="1">
      <c r="A22" s="80" t="s">
        <v>362</v>
      </c>
      <c r="B22" s="34"/>
      <c r="C22" s="378">
        <f>SUM(C11:C20)</f>
        <v>0</v>
      </c>
      <c r="D22" s="399"/>
      <c r="E22" s="378">
        <f>SUM(E11:E20)</f>
        <v>0</v>
      </c>
      <c r="F22" s="399"/>
      <c r="G22" s="378">
        <f>SUM(G11:G20)</f>
        <v>0</v>
      </c>
      <c r="H22" s="399"/>
      <c r="I22" s="378">
        <f>SUM(I11:I20)</f>
        <v>0</v>
      </c>
      <c r="J22" s="371"/>
      <c r="K22" s="378">
        <f>SUM(K11:K20)</f>
        <v>0</v>
      </c>
      <c r="L22" s="371"/>
      <c r="M22" s="378">
        <f>SUM(M11:M21)</f>
        <v>0</v>
      </c>
      <c r="N22" s="371"/>
      <c r="O22" s="466">
        <f>SUM(O11:O20)</f>
        <v>0</v>
      </c>
      <c r="S22" s="22"/>
    </row>
    <row r="23" spans="1:15" ht="13.5" thickTop="1">
      <c r="A23" s="413"/>
      <c r="B23" s="414"/>
      <c r="C23" s="420"/>
      <c r="D23" s="421"/>
      <c r="E23" s="420"/>
      <c r="F23" s="421"/>
      <c r="G23" s="420"/>
      <c r="H23" s="421"/>
      <c r="I23" s="420"/>
      <c r="J23" s="414"/>
      <c r="K23" s="420"/>
      <c r="L23" s="186"/>
      <c r="M23" s="422"/>
      <c r="N23" s="186"/>
      <c r="O23" s="422"/>
    </row>
    <row r="24" spans="1:15" ht="12.75">
      <c r="A24" s="435"/>
      <c r="B24" s="4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1:15" ht="12.75">
      <c r="A25" s="413"/>
      <c r="B25" s="414"/>
      <c r="C25" s="439"/>
      <c r="D25" s="439"/>
      <c r="E25" s="439"/>
      <c r="F25" s="439"/>
      <c r="G25" s="439"/>
      <c r="H25" s="439"/>
      <c r="I25" s="439"/>
      <c r="J25" s="440"/>
      <c r="K25" s="439"/>
      <c r="L25" s="441"/>
      <c r="M25" s="442"/>
      <c r="N25" s="441"/>
      <c r="O25" s="442"/>
    </row>
    <row r="26" spans="1:15" ht="12.75">
      <c r="A26" s="413" t="s">
        <v>390</v>
      </c>
      <c r="B26" s="414"/>
      <c r="C26" s="439"/>
      <c r="D26" s="439"/>
      <c r="E26" s="439"/>
      <c r="F26" s="439"/>
      <c r="G26" s="439"/>
      <c r="H26" s="439"/>
      <c r="I26" s="439"/>
      <c r="J26" s="440"/>
      <c r="K26" s="439"/>
      <c r="L26" s="441"/>
      <c r="M26" s="442"/>
      <c r="N26" s="441"/>
      <c r="O26" s="442"/>
    </row>
    <row r="27" spans="1:15" ht="9" customHeight="1">
      <c r="A27" s="413"/>
      <c r="B27" s="414"/>
      <c r="C27" s="414"/>
      <c r="D27" s="414"/>
      <c r="E27" s="414"/>
      <c r="F27" s="414"/>
      <c r="G27" s="414"/>
      <c r="H27" s="414"/>
      <c r="I27" s="414"/>
      <c r="J27" s="414"/>
      <c r="K27" s="415"/>
      <c r="L27" s="186"/>
      <c r="M27" s="186"/>
      <c r="N27" s="186"/>
      <c r="O27" s="186"/>
    </row>
    <row r="28" spans="1:15" ht="12.75">
      <c r="A28" s="413" t="s">
        <v>391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186"/>
      <c r="M28" s="186"/>
      <c r="N28" s="186"/>
      <c r="O28" s="186"/>
    </row>
    <row r="29" spans="1:15" ht="12.75">
      <c r="A29" s="416" t="s">
        <v>392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186"/>
      <c r="M29" s="186"/>
      <c r="N29" s="186"/>
      <c r="O29" s="186"/>
    </row>
    <row r="30" spans="1:15" ht="9" customHeight="1">
      <c r="A30" s="186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186"/>
      <c r="M30" s="186"/>
      <c r="N30" s="186"/>
      <c r="O30" s="186"/>
    </row>
    <row r="31" spans="1:15" ht="12.75">
      <c r="A31" s="430" t="s">
        <v>393</v>
      </c>
      <c r="B31" s="79"/>
      <c r="C31" s="79"/>
      <c r="D31" s="79">
        <v>28259071</v>
      </c>
      <c r="E31" s="79"/>
      <c r="F31" s="79"/>
      <c r="G31" s="79"/>
      <c r="H31" s="79"/>
      <c r="I31" s="427"/>
      <c r="J31" s="427"/>
      <c r="K31" s="427"/>
      <c r="L31" s="427"/>
      <c r="M31" s="427"/>
      <c r="N31" s="427"/>
      <c r="O31" s="427"/>
    </row>
    <row r="32" spans="1:15" ht="9" customHeight="1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</row>
    <row r="33" spans="1:19" ht="12.75">
      <c r="A33" s="502" t="s">
        <v>394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00"/>
      <c r="Q33" s="400"/>
      <c r="R33" s="400"/>
      <c r="S33" s="400"/>
    </row>
    <row r="34" spans="1:19" ht="12.75">
      <c r="A34" s="501" t="s">
        <v>395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00"/>
      <c r="Q34" s="400"/>
      <c r="R34" s="400"/>
      <c r="S34" s="400"/>
    </row>
    <row r="35" spans="1:19" ht="12.75">
      <c r="A35" s="501" t="s">
        <v>416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00"/>
      <c r="Q35" s="400"/>
      <c r="R35" s="400"/>
      <c r="S35" s="400"/>
    </row>
    <row r="36" spans="1:19" ht="12.75">
      <c r="A36" s="501" t="s">
        <v>396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00"/>
      <c r="Q36" s="400"/>
      <c r="R36" s="400"/>
      <c r="S36" s="400"/>
    </row>
    <row r="37" spans="1:19" ht="12.75">
      <c r="A37" s="417" t="s">
        <v>359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00"/>
      <c r="Q37" s="400"/>
      <c r="R37" s="400"/>
      <c r="S37" s="400"/>
    </row>
    <row r="38" spans="1:19" ht="12.75">
      <c r="A38" s="417" t="s">
        <v>360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00"/>
      <c r="Q38" s="400"/>
      <c r="R38" s="400"/>
      <c r="S38" s="400"/>
    </row>
    <row r="39" spans="1:19" ht="12.75">
      <c r="A39" s="417" t="s">
        <v>397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00"/>
      <c r="Q39" s="400"/>
      <c r="R39" s="400"/>
      <c r="S39" s="400"/>
    </row>
    <row r="40" spans="1:19" ht="12.75">
      <c r="A40" s="417" t="s">
        <v>398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00"/>
      <c r="Q40" s="400"/>
      <c r="R40" s="400"/>
      <c r="S40" s="400"/>
    </row>
    <row r="41" spans="2:19" ht="9" customHeight="1"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00"/>
      <c r="Q41" s="400"/>
      <c r="R41" s="400"/>
      <c r="S41" s="400"/>
    </row>
    <row r="42" spans="1:15" ht="12.75">
      <c r="A42" s="419" t="s">
        <v>399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186"/>
      <c r="M42" s="186"/>
      <c r="N42" s="186"/>
      <c r="O42" s="186"/>
    </row>
    <row r="43" spans="1:15" ht="12.75">
      <c r="A43" s="414" t="s">
        <v>400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186"/>
      <c r="M43" s="186"/>
      <c r="N43" s="186"/>
      <c r="O43" s="186"/>
    </row>
    <row r="44" spans="1:15" ht="9" customHeight="1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186"/>
      <c r="M44" s="186"/>
      <c r="N44" s="186"/>
      <c r="O44" s="186"/>
    </row>
    <row r="45" spans="1:15" ht="12.75">
      <c r="A45" s="419" t="s">
        <v>401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186"/>
      <c r="M45" s="186"/>
      <c r="N45" s="186"/>
      <c r="O45" s="186"/>
    </row>
    <row r="46" spans="1:15" ht="12.75">
      <c r="A46" s="414" t="s">
        <v>402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186"/>
      <c r="M46" s="186"/>
      <c r="N46" s="186"/>
      <c r="O46" s="186"/>
    </row>
    <row r="47" spans="1:15" ht="9" customHeight="1">
      <c r="A47" s="414"/>
      <c r="B47" s="414"/>
      <c r="C47" s="414"/>
      <c r="D47" s="414">
        <v>675060</v>
      </c>
      <c r="E47" s="414"/>
      <c r="F47" s="414"/>
      <c r="G47" s="414"/>
      <c r="H47" s="414"/>
      <c r="I47" s="414"/>
      <c r="J47" s="414"/>
      <c r="K47" s="414"/>
      <c r="L47" s="186"/>
      <c r="M47" s="186"/>
      <c r="N47" s="186"/>
      <c r="O47" s="186"/>
    </row>
    <row r="48" spans="1:15" ht="12.75">
      <c r="A48" s="419" t="s">
        <v>403</v>
      </c>
      <c r="B48" s="414"/>
      <c r="C48" s="414"/>
      <c r="D48" s="414">
        <v>1163553</v>
      </c>
      <c r="E48" s="414"/>
      <c r="F48" s="414"/>
      <c r="G48" s="414"/>
      <c r="H48" s="414"/>
      <c r="I48" s="414"/>
      <c r="J48" s="414"/>
      <c r="K48" s="414"/>
      <c r="L48" s="186"/>
      <c r="M48" s="186"/>
      <c r="N48" s="186"/>
      <c r="O48" s="186"/>
    </row>
    <row r="49" spans="1:15" ht="12.75">
      <c r="A49" s="414" t="s">
        <v>404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186"/>
      <c r="M49" s="186"/>
      <c r="N49" s="186"/>
      <c r="O49" s="186"/>
    </row>
    <row r="50" spans="1:15" ht="9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186"/>
      <c r="M50" s="186"/>
      <c r="N50" s="186"/>
      <c r="O50" s="186"/>
    </row>
    <row r="51" spans="1:15" ht="12.75">
      <c r="A51" s="419" t="s">
        <v>405</v>
      </c>
      <c r="B51" s="414"/>
      <c r="C51" s="471"/>
      <c r="D51" s="414">
        <v>581776</v>
      </c>
      <c r="E51" s="414">
        <f>D51</f>
        <v>581776</v>
      </c>
      <c r="F51" s="414"/>
      <c r="G51" s="414"/>
      <c r="H51" s="414"/>
      <c r="I51" s="414"/>
      <c r="J51" s="414"/>
      <c r="K51" s="414"/>
      <c r="L51" s="186"/>
      <c r="M51" s="186"/>
      <c r="N51" s="186"/>
      <c r="O51" s="186"/>
    </row>
    <row r="52" spans="1:15" ht="12.75">
      <c r="A52" s="414" t="s">
        <v>402</v>
      </c>
      <c r="B52" s="414"/>
      <c r="C52" s="414"/>
      <c r="D52" s="414">
        <v>101113</v>
      </c>
      <c r="E52" s="414">
        <f>D52</f>
        <v>101113</v>
      </c>
      <c r="F52" s="414"/>
      <c r="G52" s="414"/>
      <c r="H52" s="414"/>
      <c r="I52" s="414"/>
      <c r="J52" s="414"/>
      <c r="K52" s="414"/>
      <c r="L52" s="186"/>
      <c r="M52" s="186"/>
      <c r="N52" s="186"/>
      <c r="O52" s="186"/>
    </row>
    <row r="53" spans="1:15" ht="9" customHeight="1">
      <c r="A53" s="419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186"/>
      <c r="M53" s="186"/>
      <c r="N53" s="186"/>
      <c r="O53" s="186"/>
    </row>
    <row r="54" spans="1:15" ht="12.75">
      <c r="A54" s="414" t="s">
        <v>406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186"/>
      <c r="M54" s="186"/>
      <c r="N54" s="186"/>
      <c r="O54" s="186"/>
    </row>
    <row r="55" spans="1:15" ht="9" customHeight="1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186"/>
      <c r="M55" s="186"/>
      <c r="N55" s="186"/>
      <c r="O55" s="186"/>
    </row>
    <row r="56" spans="1:15" ht="12.75" customHeight="1">
      <c r="A56" s="419" t="s">
        <v>407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186"/>
      <c r="M56" s="186"/>
      <c r="N56" s="186"/>
      <c r="O56" s="186"/>
    </row>
    <row r="57" spans="1:15" ht="9" customHeight="1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186"/>
      <c r="M57" s="186"/>
      <c r="N57" s="186"/>
      <c r="O57" s="186"/>
    </row>
    <row r="58" spans="1:15" ht="12.75">
      <c r="A58" s="414" t="s">
        <v>408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186"/>
      <c r="M58" s="186"/>
      <c r="N58" s="186"/>
      <c r="O58" s="186"/>
    </row>
    <row r="59" spans="1:15" ht="12.75">
      <c r="A59" s="414" t="s">
        <v>409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186"/>
      <c r="M59" s="186"/>
      <c r="N59" s="186"/>
      <c r="O59" s="186"/>
    </row>
    <row r="60" spans="1:15" ht="12.75">
      <c r="A60" s="414" t="s">
        <v>410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186"/>
      <c r="M60" s="186"/>
      <c r="N60" s="186"/>
      <c r="O60" s="186"/>
    </row>
    <row r="61" spans="1:15" ht="12.75">
      <c r="A61" s="414" t="s">
        <v>369</v>
      </c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186"/>
      <c r="M61" s="186"/>
      <c r="N61" s="186"/>
      <c r="O61" s="186"/>
    </row>
    <row r="62" spans="1:15" ht="9" customHeight="1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186"/>
      <c r="M62" s="186"/>
      <c r="N62" s="186"/>
      <c r="O62" s="186"/>
    </row>
    <row r="63" spans="1:15" ht="12.75">
      <c r="A63" s="414" t="s">
        <v>411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186"/>
      <c r="M63" s="186"/>
      <c r="N63" s="186"/>
      <c r="O63" s="186"/>
    </row>
    <row r="64" spans="1:15" ht="12.75">
      <c r="A64" s="414" t="s">
        <v>412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186"/>
      <c r="M64" s="186"/>
      <c r="N64" s="186"/>
      <c r="O64" s="186"/>
    </row>
    <row r="65" spans="1:15" ht="12.75">
      <c r="A65" s="414" t="s">
        <v>371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186"/>
      <c r="M65" s="186"/>
      <c r="N65" s="186"/>
      <c r="O65" s="186"/>
    </row>
    <row r="66" spans="1:15" ht="3.75" customHeight="1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186"/>
      <c r="M66" s="186"/>
      <c r="N66" s="186"/>
      <c r="O66" s="186"/>
    </row>
    <row r="67" spans="1:15" ht="12.75">
      <c r="A67" s="414" t="s">
        <v>370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186"/>
      <c r="M67" s="186"/>
      <c r="N67" s="186"/>
      <c r="O67" s="186"/>
    </row>
    <row r="68" spans="1:15" ht="12.75">
      <c r="A68" s="414" t="s">
        <v>372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186"/>
      <c r="M68" s="186"/>
      <c r="N68" s="186"/>
      <c r="O68" s="186"/>
    </row>
    <row r="69" spans="1:15" ht="3.75" customHeight="1">
      <c r="A69" s="414"/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186"/>
      <c r="M69" s="186"/>
      <c r="N69" s="186"/>
      <c r="O69" s="186"/>
    </row>
    <row r="70" spans="1:15" ht="12.75">
      <c r="A70" s="414" t="s">
        <v>413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186"/>
      <c r="M70" s="186"/>
      <c r="N70" s="186"/>
      <c r="O70" s="186"/>
    </row>
    <row r="71" spans="1:15" ht="12.75">
      <c r="A71" s="414" t="s">
        <v>414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186"/>
      <c r="M71" s="186"/>
      <c r="N71" s="186"/>
      <c r="O71" s="186"/>
    </row>
    <row r="72" spans="1:15" ht="12.75">
      <c r="A72" s="414" t="s">
        <v>415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186"/>
      <c r="M72" s="186"/>
      <c r="N72" s="186"/>
      <c r="O72" s="186"/>
    </row>
    <row r="73" spans="1:15" ht="9" customHeight="1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186"/>
      <c r="M73" s="186"/>
      <c r="N73" s="186"/>
      <c r="O73" s="186"/>
    </row>
    <row r="74" spans="1:15" ht="12.75" customHeight="1">
      <c r="A74" s="501" t="s">
        <v>444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14" t="s">
        <v>361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186"/>
      <c r="M75" s="186"/>
      <c r="N75" s="186"/>
      <c r="O75" s="186"/>
    </row>
    <row r="76" spans="1:15" ht="12.75">
      <c r="A76" s="186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186"/>
      <c r="M76" s="186"/>
      <c r="N76" s="186"/>
      <c r="O76" s="186"/>
    </row>
    <row r="77" spans="1:15" ht="12.75">
      <c r="A77" s="186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186"/>
      <c r="M77" s="186"/>
      <c r="N77" s="186"/>
      <c r="O77" s="186"/>
    </row>
    <row r="78" spans="1:17" ht="12.75">
      <c r="A78" s="186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186"/>
      <c r="O78" s="186"/>
      <c r="P78" s="186"/>
      <c r="Q78" s="186"/>
    </row>
    <row r="79" spans="1:17" ht="12.75">
      <c r="A79" s="186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186"/>
      <c r="O79" s="186"/>
      <c r="P79" s="186"/>
      <c r="Q79" s="186"/>
    </row>
    <row r="80" spans="1:17" ht="12.75">
      <c r="A80" s="186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186"/>
      <c r="O80" s="186"/>
      <c r="P80" s="186"/>
      <c r="Q80" s="186"/>
    </row>
    <row r="81" spans="1:17" ht="12.75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186"/>
      <c r="O81" s="186"/>
      <c r="P81" s="186"/>
      <c r="Q81" s="186"/>
    </row>
    <row r="82" spans="1:17" ht="12.75">
      <c r="A82" s="186"/>
      <c r="B82" s="186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186"/>
      <c r="O82" s="186"/>
      <c r="P82" s="186"/>
      <c r="Q82" s="186"/>
    </row>
    <row r="83" spans="1:17" ht="12.75">
      <c r="A83" s="186"/>
      <c r="B83" s="186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186"/>
      <c r="O83" s="186"/>
      <c r="P83" s="186"/>
      <c r="Q83" s="186"/>
    </row>
    <row r="84" spans="1:17" ht="12.75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186"/>
      <c r="O84" s="186"/>
      <c r="P84" s="186"/>
      <c r="Q84" s="186"/>
    </row>
    <row r="85" spans="1:17" ht="12.75">
      <c r="A85" s="186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186"/>
      <c r="O85" s="186"/>
      <c r="P85" s="186"/>
      <c r="Q85" s="186"/>
    </row>
    <row r="86" spans="1:17" ht="12.75">
      <c r="A86" s="186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186"/>
      <c r="O86" s="186"/>
      <c r="P86" s="186"/>
      <c r="Q86" s="186"/>
    </row>
    <row r="87" spans="1:17" ht="12.75">
      <c r="A87" s="186"/>
      <c r="B87" s="186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186"/>
      <c r="O87" s="186"/>
      <c r="P87" s="186"/>
      <c r="Q87" s="186"/>
    </row>
    <row r="88" spans="1:17" ht="12.75">
      <c r="A88" s="186"/>
      <c r="B88" s="186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186"/>
      <c r="O88" s="186"/>
      <c r="P88" s="186"/>
      <c r="Q88" s="186"/>
    </row>
    <row r="89" spans="1:17" ht="12.75">
      <c r="A89" s="186"/>
      <c r="B89" s="186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186"/>
      <c r="O89" s="186"/>
      <c r="P89" s="186"/>
      <c r="Q89" s="186"/>
    </row>
    <row r="90" spans="1:17" ht="12.75">
      <c r="A90" s="186"/>
      <c r="B90" s="186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186"/>
      <c r="O90" s="186"/>
      <c r="P90" s="186"/>
      <c r="Q90" s="186"/>
    </row>
    <row r="91" spans="1:17" ht="12.75">
      <c r="A91" s="186"/>
      <c r="B91" s="186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186"/>
      <c r="O91" s="186"/>
      <c r="P91" s="186"/>
      <c r="Q91" s="186"/>
    </row>
    <row r="92" spans="1:17" ht="12.75">
      <c r="A92" s="186"/>
      <c r="B92" s="186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6"/>
      <c r="B93" s="18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101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101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101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vogtsu</cp:lastModifiedBy>
  <cp:lastPrinted>2011-07-08T19:48:10Z</cp:lastPrinted>
  <dcterms:created xsi:type="dcterms:W3CDTF">2001-11-07T16:15:53Z</dcterms:created>
  <dcterms:modified xsi:type="dcterms:W3CDTF">2011-11-03T18:12:10Z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