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'TAXCALC'!$A$1:$H$208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<sst xmlns="http://schemas.openxmlformats.org/spreadsheetml/2006/main" count="878" uniqueCount="504">
  <si>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</si>
  <si>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</si>
  <si>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</si>
  <si>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</si>
  <si>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</si>
  <si>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</si>
  <si>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</si>
  <si>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</si>
  <si>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</si>
  <si>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</si>
  <si>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</si>
  <si>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</si>
  <si>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</si>
  <si>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</si>
  <si>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</si>
  <si>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</si>
  <si>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</si>
  <si>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</si>
  <si>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</si>
  <si>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</si>
  <si>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</si>
  <si>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</si>
  <si>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</si>
  <si>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</si>
  <si>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</si>
  <si>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</si>
  <si>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</si>
  <si>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</si>
  <si>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</si>
  <si>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</si>
  <si>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</si>
  <si>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</si>
  <si>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</si>
  <si>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</si>
  <si>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</si>
  <si>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</si>
  <si>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</si>
  <si>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</si>
  <si>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</si>
  <si>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</si>
  <si>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</si>
  <si>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</si>
  <si>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</si>
  <si>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</si>
  <si>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</si>
  <si>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</si>
  <si>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</si>
  <si>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</si>
  <si>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</si>
  <si>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</si>
  <si>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</si>
  <si>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</si>
  <si>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</si>
  <si>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</si>
  <si>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</si>
  <si>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</si>
  <si>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</si>
  <si>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</si>
  <si>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</si>
  <si>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</si>
  <si>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</si>
  <si>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</si>
  <si>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</si>
  <si>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</si>
  <si>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</si>
  <si>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</si>
  <si>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</si>
  <si>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</si>
  <si>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</si>
  <si>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</si>
  <si>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</si>
  <si>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</si>
  <si>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</si>
  <si>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</si>
  <si>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</si>
  <si>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</si>
  <si>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</si>
  <si>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</si>
  <si>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</si>
  <si>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</si>
  <si>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</si>
  <si>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</si>
  <si>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</si>
  <si>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</si>
  <si>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</si>
  <si>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</si>
  <si>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</si>
  <si>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</si>
  <si>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</si>
  <si>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</si>
  <si>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</si>
  <si>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</si>
  <si>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</si>
  <si>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</si>
  <si>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</si>
  <si>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</si>
  <si>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</si>
  <si>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</si>
  <si>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</si>
  <si>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</si>
  <si>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</si>
  <si>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</si>
  <si>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</si>
  <si>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</si>
  <si>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</si>
  <si>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</si>
  <si>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</si>
  <si>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</si>
  <si>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</si>
  <si>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</si>
  <si>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</si>
  <si>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</si>
  <si>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</si>
  <si>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</si>
  <si>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</si>
  <si>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</si>
  <si>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</si>
  <si>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</si>
  <si>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</si>
  <si>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</si>
  <si>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</si>
  <si>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</si>
  <si>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</si>
  <si>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</si>
  <si>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</si>
  <si>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</si>
  <si>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</si>
  <si>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</si>
  <si>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</si>
  <si>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</si>
  <si>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</si>
  <si>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</si>
  <si>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</si>
  <si>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</si>
  <si>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</si>
  <si>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</si>
  <si>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</si>
  <si>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</si>
  <si>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</si>
  <si>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</si>
  <si>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</si>
  <si>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</si>
  <si>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</si>
  <si>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</si>
  <si>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</si>
  <si>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</si>
  <si>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</si>
  <si>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</si>
  <si>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</si>
  <si>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</si>
  <si>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</si>
  <si>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</si>
  <si>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</si>
  <si>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</si>
  <si>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</si>
  <si>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</si>
  <si>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</si>
  <si>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</si>
  <si>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</si>
  <si>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</si>
  <si>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</si>
  <si>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</si>
  <si>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</si>
  <si>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</si>
  <si>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</si>
  <si>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</si>
  <si>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</si>
  <si>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</si>
  <si>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</si>
  <si>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</si>
  <si>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</si>
  <si>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</si>
  <si>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</si>
  <si>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</si>
  <si>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</si>
  <si>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</si>
  <si>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</si>
  <si>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</si>
  <si>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</si>
  <si>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</si>
  <si>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</si>
  <si>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</si>
  <si>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</si>
  <si>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</si>
  <si>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</si>
  <si>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</si>
  <si>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</si>
  <si>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</si>
  <si>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</si>
  <si>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</si>
  <si>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</si>
  <si>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</si>
  <si>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</si>
  <si>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</si>
  <si>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</si>
  <si>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</si>
  <si>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</si>
  <si>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</si>
  <si>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</si>
  <si>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</si>
  <si>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</si>
  <si>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</si>
  <si>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</si>
  <si>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</si>
  <si>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</si>
  <si>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</si>
  <si>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</si>
  <si>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</si>
  <si>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</si>
  <si>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</si>
  <si>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</si>
  <si>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</si>
  <si>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</si>
  <si>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</si>
  <si>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</si>
  <si>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</si>
  <si>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</si>
  <si>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</si>
  <si>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</si>
  <si>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</si>
  <si>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</si>
  <si>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</si>
  <si>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</si>
  <si>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</si>
  <si>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</si>
  <si>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</si>
  <si>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</si>
  <si>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</si>
  <si>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</si>
  <si>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</si>
  <si>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</si>
  <si>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</si>
  <si>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</si>
  <si>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</si>
  <si>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</si>
  <si>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</si>
  <si>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</si>
  <si>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</si>
  <si>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</si>
  <si>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</si>
  <si>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</si>
  <si>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</si>
  <si>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</si>
  <si>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</si>
  <si>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</si>
  <si>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</si>
  <si>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</si>
  <si>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</si>
  <si>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</si>
  <si>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</si>
  <si>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</si>
  <si>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</si>
  <si>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</si>
  <si>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</si>
  <si>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</si>
  <si>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</si>
  <si>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</si>
  <si>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</si>
  <si>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</si>
  <si>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</si>
  <si>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</si>
  <si>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</si>
  <si>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</si>
  <si>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</si>
  <si>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</si>
  <si>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</si>
  <si>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</si>
  <si>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</si>
  <si>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</si>
  <si>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</si>
  <si>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</si>
  <si>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</si>
  <si>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</si>
  <si>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</si>
  <si>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</si>
  <si>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</si>
  <si>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</si>
  <si>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</si>
  <si>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</si>
  <si>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</si>
  <si>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</si>
  <si>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</si>
  <si>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</si>
  <si>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</si>
  <si>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</si>
  <si>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</si>
  <si>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</si>
  <si>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</si>
  <si>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</si>
  <si>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</si>
  <si>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</si>
  <si>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</si>
  <si>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</si>
  <si>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</si>
  <si>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</si>
  <si>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</si>
  <si>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</si>
  <si>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</si>
  <si>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</si>
  <si>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</si>
  <si>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</si>
  <si>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</si>
  <si>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</si>
  <si>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</si>
  <si>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</si>
  <si>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</si>
  <si>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</si>
  <si>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</si>
  <si>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</si>
  <si>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</si>
  <si>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</si>
  <si>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</si>
  <si>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</si>
  <si>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</si>
  <si>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</si>
  <si>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</si>
  <si>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</si>
  <si>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</si>
  <si>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</si>
  <si>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</si>
  <si>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</si>
  <si>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</si>
  <si>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</si>
  <si>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</si>
  <si>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</si>
  <si>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</si>
  <si>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</si>
  <si>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</si>
  <si>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</si>
  <si>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</si>
  <si>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</si>
  <si>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</si>
  <si>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</si>
  <si>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</si>
  <si>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</si>
  <si>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</si>
  <si>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</si>
  <si>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</si>
  <si>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</si>
  <si>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</si>
  <si>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</si>
  <si>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</si>
  <si>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</si>
  <si>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</si>
  <si>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</si>
  <si>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</si>
  <si>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</si>
  <si>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</si>
  <si>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</si>
  <si>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</si>
  <si>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</si>
  <si>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</si>
  <si>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</si>
  <si>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</si>
  <si>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</si>
  <si>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</si>
  <si>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</si>
  <si>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</si>
  <si>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</si>
  <si>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</si>
  <si>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</si>
  <si>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</si>
  <si>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</si>
  <si>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</si>
  <si>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</si>
  <si>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</si>
  <si>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</si>
  <si>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</si>
  <si>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</si>
  <si>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</si>
  <si>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</si>
  <si>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</si>
  <si>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</si>
  <si>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</si>
  <si>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</si>
  <si>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</si>
  <si>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</si>
  <si>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</si>
  <si>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</si>
  <si>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</si>
  <si>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</si>
  <si>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</si>
  <si>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</si>
  <si>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</si>
  <si>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</si>
  <si>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</si>
  <si>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</si>
  <si>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</si>
  <si>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</si>
  <si>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</si>
  <si>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</si>
  <si>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</si>
  <si>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</si>
  <si>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</si>
  <si>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</si>
  <si>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</si>
  <si>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</si>
  <si>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</si>
  <si>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</si>
  <si>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</si>
  <si>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</si>
  <si>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</si>
  <si>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</si>
  <si>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</si>
  <si>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</si>
  <si>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</si>
  <si>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</si>
  <si>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</si>
  <si>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</si>
  <si>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</si>
  <si>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</si>
  <si>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</si>
  <si>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</si>
  <si>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</si>
  <si>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</si>
  <si>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</si>
  <si>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</si>
  <si>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</si>
  <si>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</si>
  <si>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</si>
  <si>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</si>
  <si>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</si>
  <si>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</si>
  <si>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</si>
  <si>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</si>
  <si>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</si>
  <si>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</si>
  <si>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</si>
  <si>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</si>
  <si>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</si>
  <si>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</si>
  <si>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</si>
  <si>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</si>
  <si>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</si>
  <si>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</si>
  <si>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</si>
  <si>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</si>
  <si>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</si>
  <si>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</si>
  <si>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</si>
  <si>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</si>
  <si>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</si>
  <si>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</si>
  <si>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</si>
  <si>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</si>
  <si>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</si>
  <si>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</si>
  <si>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</si>
  <si>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</si>
  <si>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</si>
  <si>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</si>
  <si>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</si>
  <si>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</si>
  <si>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</si>
  <si>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</si>
  <si>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</si>
  <si>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</si>
  <si>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</si>
  <si>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</si>
  <si>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</si>
  <si>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</si>
  <si>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</si>
  <si>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</si>
  <si>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</si>
  <si>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</si>
  <si>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</si>
  <si>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</si>
  <si>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</si>
  <si>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</si>
  <si>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</si>
  <si>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</si>
  <si>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</si>
  <si>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</si>
  <si>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</si>
  <si>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</si>
  <si>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</si>
  <si>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</si>
  <si>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</si>
  <si>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</si>
  <si>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</si>
  <si>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</si>
  <si>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</si>
  <si>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</si>
  <si>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</si>
  <si>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</si>
  <si>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</si>
  <si>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</si>
  <si>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</si>
  <si>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</si>
  <si>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</si>
  <si>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</si>
  <si>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</si>
  <si>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</si>
  <si>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</si>
  <si>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</si>
  <si>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</si>
  <si>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</si>
  <si>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Lakeland Power Distribution Ltd.</t>
  </si>
  <si>
    <t>RAM decision included error in formula - diff of $</t>
  </si>
  <si>
    <t xml:space="preserve">    Property taxes</t>
  </si>
  <si>
    <t>Deemed Interest</t>
  </si>
  <si>
    <t>Y</t>
  </si>
  <si>
    <t>N</t>
  </si>
  <si>
    <t>Does this include LCT? NO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</si>
</sst>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7" borderId="14" xfId="0" applyNumberFormat="1" applyFill="1" applyBorder="1" applyAlignment="1">
      <alignment vertical="top"/>
    </xf>
    <xf numFmtId="3" fontId="0" fillId="30" borderId="17" xfId="0" applyNumberFormat="1" applyFill="1" applyBorder="1" applyAlignment="1" applyProtection="1">
      <alignment horizontal="center" vertical="top"/>
      <protection locked="0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10" fontId="0" fillId="0" borderId="0" xfId="63" applyAlignment="1">
      <alignment vertical="top"/>
    </xf>
    <xf numFmtId="3" fontId="0" fillId="0" borderId="0" xfId="0" applyNumberFormat="1" applyAlignment="1">
      <alignment horizontal="center" vertical="top"/>
    </xf>
    <xf numFmtId="3" fontId="0" fillId="0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6" t="s">
        <v>446</v>
      </c>
      <c r="E3" s="8"/>
      <c r="F3" s="8"/>
      <c r="G3" s="8"/>
      <c r="H3" s="8"/>
    </row>
    <row r="4" spans="1:8" ht="12.75">
      <c r="A4" s="2" t="s">
        <v>484</v>
      </c>
      <c r="C4" s="8"/>
      <c r="D4" s="455" t="s">
        <v>441</v>
      </c>
      <c r="E4" s="429"/>
      <c r="H4" s="8"/>
    </row>
    <row r="5" spans="1:8" ht="12.75">
      <c r="A5" s="52"/>
      <c r="C5" s="8"/>
      <c r="D5" s="454" t="s">
        <v>442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495" t="s">
        <v>316</v>
      </c>
      <c r="B19" s="8" t="s">
        <v>313</v>
      </c>
      <c r="C19" s="8" t="s">
        <v>64</v>
      </c>
      <c r="D19" s="389" t="s">
        <v>501</v>
      </c>
    </row>
    <row r="20" spans="1:4" ht="13.5" thickBot="1">
      <c r="A20" s="496"/>
      <c r="B20" s="8" t="s">
        <v>314</v>
      </c>
      <c r="C20" s="8" t="s">
        <v>64</v>
      </c>
      <c r="D20" s="258" t="s">
        <v>501</v>
      </c>
    </row>
    <row r="21" spans="1:4" ht="12.75">
      <c r="A21" s="495" t="s">
        <v>312</v>
      </c>
      <c r="B21" s="8" t="s">
        <v>313</v>
      </c>
      <c r="C21" s="8"/>
      <c r="D21" s="424">
        <v>1</v>
      </c>
    </row>
    <row r="22" spans="1:4" ht="12.75">
      <c r="A22" s="495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15408892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1319771.5998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832386</v>
      </c>
      <c r="E43" s="388">
        <f>D43</f>
        <v>832386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487385.59979999997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162462</v>
      </c>
      <c r="E47" s="388">
        <f aca="true" t="shared" si="0" ref="E47:E53">D47</f>
        <v>162462</v>
      </c>
      <c r="H47" s="40"/>
      <c r="J47" s="5"/>
      <c r="K47" s="5"/>
    </row>
    <row r="48" spans="1:11" ht="12.75">
      <c r="A48" t="s">
        <v>290</v>
      </c>
      <c r="D48" s="427">
        <v>162462</v>
      </c>
      <c r="E48" s="388">
        <f>D48</f>
        <v>162462</v>
      </c>
      <c r="F48" s="22"/>
      <c r="H48" s="40"/>
      <c r="J48" s="5"/>
      <c r="K48" s="5"/>
    </row>
    <row r="49" spans="1:11" ht="12.75">
      <c r="A49" t="s">
        <v>291</v>
      </c>
      <c r="D49" s="428">
        <v>162462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1157310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7704446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761199.2648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7704446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558572.335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421053.59019264445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489813.04728546407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489813.04728546407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558572.335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Footer>&amp;L&amp;8&amp;D&amp;R&amp;"Arial,Bold"&amp;9&amp;A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35">
      <selection activeCell="E178" sqref="E178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Lakeland Power Distribution Ltd.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1157310</v>
      </c>
      <c r="D16" s="17"/>
      <c r="E16" s="267">
        <f>G16-C16</f>
        <v>708663</v>
      </c>
      <c r="F16" s="3"/>
      <c r="G16" s="267">
        <f>TAXREC!E50</f>
        <v>1865973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954310</v>
      </c>
      <c r="D20" s="18"/>
      <c r="E20" s="267">
        <f>G20-C20</f>
        <v>-102624</v>
      </c>
      <c r="F20" s="6"/>
      <c r="G20" s="267">
        <f>TAXREC!E61</f>
        <v>851686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135385</v>
      </c>
      <c r="D24" s="18"/>
      <c r="E24" s="267">
        <f>G24-C24</f>
        <v>-135385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394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667669</v>
      </c>
      <c r="D33" s="132"/>
      <c r="E33" s="267">
        <f aca="true" t="shared" si="0" ref="E33:E42">G33-C33</f>
        <v>148670</v>
      </c>
      <c r="F33" s="6"/>
      <c r="G33" s="267">
        <f>TAXREC!E97+TAXREC!E98</f>
        <v>816339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49439</v>
      </c>
      <c r="D36" s="132"/>
      <c r="E36" s="267">
        <f t="shared" si="0"/>
        <v>-49439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489813.04728546407</v>
      </c>
      <c r="D37" s="132"/>
      <c r="E37" s="267">
        <f t="shared" si="0"/>
        <v>-247460.04728546407</v>
      </c>
      <c r="F37" s="6"/>
      <c r="G37" s="267">
        <f>TAXREC!E51</f>
        <v>242353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394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1040083.9527145359</v>
      </c>
      <c r="D50" s="102"/>
      <c r="E50" s="263">
        <f>E16+SUM(E20:E30)-SUM(E33:E48)</f>
        <v>618883.0472854641</v>
      </c>
      <c r="F50" s="432"/>
      <c r="G50" s="263">
        <f>G16+SUM(G20:G30)-SUM(G33:G48)</f>
        <v>1658967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-0.0250011334764344</v>
      </c>
      <c r="F53" s="114"/>
      <c r="G53" s="474">
        <f>TAXREC!E151</f>
        <v>0.3611988665235656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401680.42253835377</v>
      </c>
      <c r="D55" s="102"/>
      <c r="E55" s="267">
        <f>G55-C55</f>
        <v>197536.57746164623</v>
      </c>
      <c r="F55" s="432" t="s">
        <v>367</v>
      </c>
      <c r="G55" s="264">
        <f>TAXREC!E144</f>
        <v>599217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401680.42253835377</v>
      </c>
      <c r="D60" s="133"/>
      <c r="E60" s="269">
        <f>+E55-E58</f>
        <v>197536.57746164623</v>
      </c>
      <c r="F60" s="432" t="s">
        <v>367</v>
      </c>
      <c r="G60" s="269">
        <f>+G55-G58</f>
        <v>599217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15408892</v>
      </c>
      <c r="D66" s="102"/>
      <c r="E66" s="267">
        <f>G66-C66</f>
        <v>19091058</v>
      </c>
      <c r="F66" s="6"/>
      <c r="G66" s="476">
        <v>34499950</v>
      </c>
      <c r="H66" s="151"/>
      <c r="I66" s="477" t="s">
        <v>474</v>
      </c>
    </row>
    <row r="67" spans="1:9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-315157</v>
      </c>
      <c r="F67" s="6"/>
      <c r="G67" s="267">
        <f>'Tax Rates'!C57</f>
        <v>4684843</v>
      </c>
      <c r="H67" s="151"/>
      <c r="I67" s="477" t="s">
        <v>474</v>
      </c>
    </row>
    <row r="68" spans="1:8" ht="12.75">
      <c r="A68" s="152" t="s">
        <v>42</v>
      </c>
      <c r="B68" s="125"/>
      <c r="C68" s="264">
        <f>IF((C66-C67)&gt;0,C66-C67,0)</f>
        <v>10408892</v>
      </c>
      <c r="D68" s="102"/>
      <c r="E68" s="267">
        <f>SUM(E66:E67)</f>
        <v>18775901</v>
      </c>
      <c r="F68" s="114"/>
      <c r="G68" s="264">
        <f>G66-G67</f>
        <v>29815107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31226.676</v>
      </c>
      <c r="D72" s="101"/>
      <c r="E72" s="267">
        <f>+G72-C72</f>
        <v>58218.645</v>
      </c>
      <c r="F72" s="478"/>
      <c r="G72" s="264">
        <f>IF(G68&gt;0,G68*G70,0)*REGINFO!$B$6/REGINFO!$B$7</f>
        <v>89445.321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15408892</v>
      </c>
      <c r="D75" s="102"/>
      <c r="E75" s="267">
        <f>+G75-C75</f>
        <v>13617879</v>
      </c>
      <c r="F75" s="6"/>
      <c r="G75" s="476">
        <v>29026771</v>
      </c>
      <c r="H75" s="151"/>
      <c r="I75" s="477" t="s">
        <v>474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35995000</v>
      </c>
      <c r="F76" s="6"/>
      <c r="G76" s="267">
        <f>'Tax Rates'!C58</f>
        <v>45995000</v>
      </c>
      <c r="H76" s="151"/>
      <c r="I76" s="477" t="s">
        <v>474</v>
      </c>
    </row>
    <row r="77" spans="1:8" ht="12.75">
      <c r="A77" s="152" t="s">
        <v>42</v>
      </c>
      <c r="B77" s="125"/>
      <c r="C77" s="264">
        <f>IF((C75-C76)&gt;0,C75-C76,0)</f>
        <v>5408892</v>
      </c>
      <c r="D77" s="19"/>
      <c r="E77" s="267">
        <f>SUM(E75:E76)</f>
        <v>49612879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12170.007</v>
      </c>
      <c r="D81" s="102"/>
      <c r="E81" s="267">
        <f>+G81-C81</f>
        <v>-12170.007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11648.940270402802</v>
      </c>
      <c r="D82" s="102"/>
      <c r="E82" s="267">
        <f>+G82-C82</f>
        <v>-11648.940270402802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521.066729597198</v>
      </c>
      <c r="D84" s="16"/>
      <c r="E84" s="267">
        <f>E81-E82</f>
        <v>-521.066729597198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Rates'!$C$16))+1.12%</f>
        <v>0.3974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4">
        <f>C60/(1-C88)</f>
        <v>666578.8624931194</v>
      </c>
      <c r="D90" s="20"/>
      <c r="E90" s="139"/>
      <c r="F90" s="431" t="s">
        <v>487</v>
      </c>
      <c r="G90" s="270">
        <f>TAXREC!E156</f>
        <v>599217</v>
      </c>
      <c r="H90" s="151"/>
    </row>
    <row r="91" spans="1:8" ht="12.75">
      <c r="A91" s="158" t="s">
        <v>369</v>
      </c>
      <c r="B91" s="127">
        <v>23</v>
      </c>
      <c r="C91" s="264">
        <f>C84/(1-C88)</f>
        <v>864.6975267129073</v>
      </c>
      <c r="D91" s="20"/>
      <c r="E91" s="139"/>
      <c r="F91" s="431" t="s">
        <v>487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31226.676</v>
      </c>
      <c r="D92" s="20"/>
      <c r="E92" s="139"/>
      <c r="F92" s="431" t="s">
        <v>487</v>
      </c>
      <c r="G92" s="270">
        <f>TAXREC!E157</f>
        <v>39543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9">
        <f>SUM(C90:C93)</f>
        <v>698670.2360198323</v>
      </c>
      <c r="D95" s="6"/>
      <c r="E95" s="139"/>
      <c r="F95" s="431" t="s">
        <v>487</v>
      </c>
      <c r="G95" s="414">
        <f>SUM(G90:G94)</f>
        <v>638760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 t="s">
        <v>498</v>
      </c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-135385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-49439</v>
      </c>
      <c r="F111" s="37"/>
      <c r="G111" s="201"/>
      <c r="H111" s="164"/>
    </row>
    <row r="112" spans="1:8" ht="12.75">
      <c r="A112" s="155" t="s">
        <v>482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-85946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0">
        <f>+'Tax Rates'!F52</f>
        <v>0.3612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-31043.695200000002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-31043.695200000002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0.3494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-47715.486012911155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1040083.9527145359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0.3606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375054.2733488616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375054.2733488616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401680.42253835377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-26626.149189492164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15408892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10408892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31226.676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31226.676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15408892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-34591108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521.066729597198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-521.066729597198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0.35000000000000003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-40963.30644537257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-864.6975267129073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-41828.00397208548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85">
        <f>E132</f>
        <v>-47715.486012911155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-89543.48998499663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558572.335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489813.04728546407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68759.2877145359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242353</v>
      </c>
      <c r="F201" s="3"/>
      <c r="G201" s="490"/>
      <c r="H201" s="164"/>
    </row>
    <row r="202" spans="1:8" ht="12.75">
      <c r="A202" s="155" t="s">
        <v>500</v>
      </c>
      <c r="B202" s="127"/>
      <c r="C202" s="112"/>
      <c r="D202" s="120"/>
      <c r="E202" s="494">
        <f>+E193</f>
        <v>558572.335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483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68759.2877145359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horizontalDpi="600" verticalDpi="600" orientation="portrait" scale="47" r:id="rId1"/>
  <headerFooter alignWithMargins="0">
    <oddFooter>&amp;L&amp;8&amp;D&amp;R&amp;"Arial,Bold"&amp;9&amp;A</oddFooter>
  </headerFooter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101">
      <selection activeCell="G156" sqref="G15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Lakeland Power Distribution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f>18571206-4152081</f>
        <v>14419125</v>
      </c>
      <c r="D31" s="286"/>
      <c r="E31" s="284">
        <f>C31-D31</f>
        <v>14419125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4152081</v>
      </c>
      <c r="D32" s="286"/>
      <c r="E32" s="284">
        <f>C32-D32</f>
        <v>4152081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f>171126+24345+248010</f>
        <v>443481</v>
      </c>
      <c r="D33" s="286"/>
      <c r="E33" s="284">
        <f>C33-D33</f>
        <v>443481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14419125</v>
      </c>
      <c r="D39" s="286"/>
      <c r="E39" s="284">
        <f>C39-D39</f>
        <v>14419125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639974</v>
      </c>
      <c r="D40" s="286"/>
      <c r="E40" s="284">
        <f aca="true" t="shared" si="0" ref="E40:E48">C40-D40</f>
        <v>639974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532011</v>
      </c>
      <c r="D41" s="286"/>
      <c r="E41" s="284">
        <f t="shared" si="0"/>
        <v>532011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f>15320+715425-77452</f>
        <v>653293</v>
      </c>
      <c r="D42" s="286"/>
      <c r="E42" s="284">
        <f t="shared" si="0"/>
        <v>653293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f>774234+77452</f>
        <v>851686</v>
      </c>
      <c r="D43" s="286"/>
      <c r="E43" s="284">
        <f t="shared" si="0"/>
        <v>851686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43225</v>
      </c>
      <c r="D44" s="286"/>
      <c r="E44" s="284">
        <f t="shared" si="0"/>
        <v>43225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499</v>
      </c>
      <c r="B46" s="23" t="s">
        <v>188</v>
      </c>
      <c r="C46" s="285">
        <v>9400</v>
      </c>
      <c r="D46" s="286"/>
      <c r="E46" s="284">
        <f t="shared" si="0"/>
        <v>9400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1865973</v>
      </c>
      <c r="D50" s="281">
        <f>SUM(D31:D36)-SUM(D39:D49)</f>
        <v>0</v>
      </c>
      <c r="E50" s="281">
        <f>SUM(E31:E35)-SUM(E39:E48)</f>
        <v>1865973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242353</v>
      </c>
      <c r="D51" s="285"/>
      <c r="E51" s="282">
        <f>+C51-D51</f>
        <v>242353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599217</v>
      </c>
      <c r="D52" s="285"/>
      <c r="E52" s="283">
        <f>+C52-D52</f>
        <v>599217</v>
      </c>
      <c r="F52" s="8"/>
      <c r="G52" s="416" t="s">
        <v>503</v>
      </c>
    </row>
    <row r="53" spans="1:6" ht="12.75">
      <c r="A53" s="2" t="s">
        <v>131</v>
      </c>
      <c r="B53" s="8" t="s">
        <v>189</v>
      </c>
      <c r="C53" s="281">
        <f>C50-C51-C52</f>
        <v>1024403</v>
      </c>
      <c r="D53" s="281">
        <f>D50-D51-D52</f>
        <v>0</v>
      </c>
      <c r="E53" s="281">
        <f>E50-E51-E52</f>
        <v>1024403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599217</v>
      </c>
      <c r="D59" s="287">
        <f>D52</f>
        <v>0</v>
      </c>
      <c r="E59" s="272">
        <f>+C59-D59</f>
        <v>599217</v>
      </c>
      <c r="F59" s="8"/>
      <c r="G59" s="416" t="s">
        <v>503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851686</v>
      </c>
      <c r="D61" s="287">
        <f>D43</f>
        <v>0</v>
      </c>
      <c r="E61" s="272">
        <f>+C61-D61</f>
        <v>851686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394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1450903</v>
      </c>
      <c r="D70" s="272">
        <f>SUM(D59:D68)</f>
        <v>0</v>
      </c>
      <c r="E70" s="272">
        <f>SUM(E59:E68)</f>
        <v>1450903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1450903</v>
      </c>
      <c r="D82" s="251">
        <f>D70+D80</f>
        <v>0</v>
      </c>
      <c r="E82" s="251">
        <f>E70+E80</f>
        <v>1450903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816339</v>
      </c>
      <c r="D97" s="294"/>
      <c r="E97" s="272">
        <f>+C97-D97</f>
        <v>816339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394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816339</v>
      </c>
      <c r="D113" s="251">
        <f>SUM(D97:D111)</f>
        <v>0</v>
      </c>
      <c r="E113" s="251">
        <f>SUM(E97:E111)</f>
        <v>816339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816339</v>
      </c>
      <c r="D122" s="251">
        <f>D113+D120</f>
        <v>0</v>
      </c>
      <c r="E122" s="251">
        <f>+E113+E120</f>
        <v>816339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1658967</v>
      </c>
      <c r="D134" s="251">
        <f>D53+D82-D122</f>
        <v>0</v>
      </c>
      <c r="E134" s="251">
        <f>E53+E82-E122</f>
        <v>1658967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1658967</v>
      </c>
      <c r="D139" s="252">
        <f>D134-D136-D137-D138</f>
        <v>0</v>
      </c>
      <c r="E139" s="252">
        <f>E134-E136-E137-E138</f>
        <v>1658967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366962</v>
      </c>
      <c r="D142" s="487">
        <f>D139*C149</f>
        <v>0</v>
      </c>
      <c r="E142" s="252">
        <f>C142-D142</f>
        <v>366962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232255</v>
      </c>
      <c r="D143" s="487">
        <f>D139*C150</f>
        <v>0</v>
      </c>
      <c r="E143" s="292">
        <f>C143-D143</f>
        <v>232255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599217</v>
      </c>
      <c r="D144" s="252">
        <f>D142+D143</f>
        <v>0</v>
      </c>
      <c r="E144" s="252">
        <f>E142+E143</f>
        <v>599217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7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599217</v>
      </c>
      <c r="D146" s="252">
        <f>D144-D145</f>
        <v>0</v>
      </c>
      <c r="E146" s="252">
        <f>E144-E145</f>
        <v>599217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0.2212</v>
      </c>
      <c r="D149" s="492"/>
      <c r="E149" s="406">
        <f>+C142/C139</f>
        <v>0.22119909558176865</v>
      </c>
      <c r="F149" s="8"/>
      <c r="G149" s="484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0.14</v>
      </c>
      <c r="D150" s="492"/>
      <c r="E150" s="406">
        <f>+C143/C139</f>
        <v>0.1399997709417969</v>
      </c>
      <c r="F150" s="8"/>
      <c r="G150" s="484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0.3612</v>
      </c>
      <c r="D151" s="5"/>
      <c r="E151" s="406">
        <f>SUM(E149:E150)</f>
        <v>0.3611988665235656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599217</v>
      </c>
      <c r="D156" s="251">
        <f>D146</f>
        <v>0</v>
      </c>
      <c r="E156" s="251">
        <f>E146</f>
        <v>599217</v>
      </c>
    </row>
    <row r="157" spans="1:5" ht="12.75">
      <c r="A157" t="s">
        <v>20</v>
      </c>
      <c r="B157" s="86" t="s">
        <v>187</v>
      </c>
      <c r="C157" s="480">
        <v>39543</v>
      </c>
      <c r="D157" s="251"/>
      <c r="E157" s="251">
        <f>C157+D157</f>
        <v>39543</v>
      </c>
    </row>
    <row r="158" spans="1:5" ht="12.75">
      <c r="A158" t="s">
        <v>218</v>
      </c>
      <c r="B158" s="86" t="s">
        <v>187</v>
      </c>
      <c r="C158" s="480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638760</v>
      </c>
      <c r="D160" s="251">
        <f>D156+D157+D158</f>
        <v>0</v>
      </c>
      <c r="E160" s="251">
        <f>E156+E157+E158</f>
        <v>638760</v>
      </c>
    </row>
    <row r="161" ht="12.75">
      <c r="C161" s="85"/>
    </row>
    <row r="162" ht="12.75">
      <c r="C162" s="493">
        <f>638760-C160</f>
        <v>0</v>
      </c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65" r:id="rId1"/>
  <headerFooter alignWithMargins="0">
    <oddFooter>&amp;L&amp;8&amp;D&amp;R&amp;"Arial,Bold"&amp;9&amp;A</oddFooter>
  </headerFooter>
  <rowBreaks count="1" manualBreakCount="1">
    <brk id="8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="60" zoomScaleNormal="75" zoomScalePageLayoutView="0" workbookViewId="0" topLeftCell="A1">
      <selection activeCell="C77" sqref="C7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Lakeland Power Distribution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448</v>
      </c>
      <c r="B18" s="61"/>
      <c r="C18" s="294"/>
      <c r="D18" s="294"/>
      <c r="E18" s="251">
        <f t="shared" si="0"/>
        <v>0</v>
      </c>
    </row>
    <row r="19" spans="1:5" ht="12.75">
      <c r="A19" s="61" t="s">
        <v>448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448</v>
      </c>
      <c r="B30" s="61"/>
      <c r="C30" s="294"/>
      <c r="D30" s="294"/>
      <c r="E30" s="251">
        <f t="shared" si="1"/>
        <v>0</v>
      </c>
    </row>
    <row r="31" spans="1:5" ht="12.75">
      <c r="A31" s="61" t="s">
        <v>448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448</v>
      </c>
      <c r="B47" s="61"/>
      <c r="C47" s="294"/>
      <c r="D47" s="294"/>
      <c r="E47" s="251">
        <f t="shared" si="2"/>
        <v>0</v>
      </c>
    </row>
    <row r="48" spans="1:5" ht="12.75">
      <c r="A48" s="61" t="s">
        <v>448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448</v>
      </c>
      <c r="B59" s="61"/>
      <c r="C59" s="294"/>
      <c r="D59" s="294"/>
      <c r="E59" s="251">
        <f t="shared" si="3"/>
        <v>0</v>
      </c>
    </row>
    <row r="60" spans="1:5" ht="12.75">
      <c r="A60" s="61" t="s">
        <v>448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Footer>&amp;L&amp;8&amp;D&amp;R&amp;"Arial,Bold"&amp;9&amp;A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zoomScaleNormal="75" zoomScalePageLayoutView="0" workbookViewId="0" topLeftCell="A1">
      <pane xSplit="1" ySplit="6" topLeftCell="B64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Lakeland Power Distribution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horizontalDpi="600" verticalDpi="600" orientation="portrait" scale="60" r:id="rId1"/>
  <headerFooter alignWithMargins="0">
    <oddFooter>&amp;L&amp;8&amp;D&amp;R&amp;"Arial,Bold"&amp;9&amp;A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2"/>
    </row>
    <row r="4" spans="1:6" ht="15.75">
      <c r="A4" s="465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Lakeland Power Distribution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390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454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389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388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/>
      <c r="D35" s="295"/>
      <c r="E35" s="313">
        <f t="shared" si="0"/>
        <v>0</v>
      </c>
    </row>
    <row r="36" spans="1:5" ht="12.75">
      <c r="A36" s="67" t="s">
        <v>434</v>
      </c>
      <c r="C36" s="295"/>
      <c r="D36" s="295"/>
      <c r="E36" s="313">
        <f t="shared" si="0"/>
        <v>0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81" t="s">
        <v>392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386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396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388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436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444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393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386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496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395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Footer>&amp;L&amp;8&amp;D&amp;R&amp;"Arial,Bold"&amp;9&amp;A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BreakPreview" zoomScale="60" zoomScaleNormal="75" zoomScalePageLayoutView="0" workbookViewId="0" topLeftCell="A25">
      <selection activeCell="C77" sqref="C7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Lakeland Power Distribution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3" t="s">
        <v>479</v>
      </c>
      <c r="B8" s="504"/>
      <c r="C8" s="504"/>
      <c r="D8" s="50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7" t="s">
        <v>494</v>
      </c>
      <c r="B23" s="498"/>
      <c r="C23" s="498"/>
      <c r="D23" s="498"/>
      <c r="E23" s="498"/>
      <c r="F23" s="498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3" t="s">
        <v>490</v>
      </c>
      <c r="B26" s="504"/>
      <c r="C26" s="504"/>
      <c r="D26" s="504"/>
      <c r="E26" s="504"/>
      <c r="F26" s="50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 t="s">
        <v>111</v>
      </c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491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492</v>
      </c>
      <c r="B40" s="408" t="s">
        <v>489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9" t="s">
        <v>335</v>
      </c>
      <c r="B41" s="498"/>
      <c r="C41" s="498"/>
      <c r="D41" s="498"/>
      <c r="E41" s="498"/>
      <c r="F41" s="49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0"/>
      <c r="B42" s="500"/>
      <c r="C42" s="500"/>
      <c r="D42" s="500"/>
      <c r="E42" s="500"/>
      <c r="F42" s="50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1">
        <v>0.2212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1">
        <v>0.14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1">
        <f>+H50+H51</f>
        <v>0.3612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472</v>
      </c>
      <c r="C57" s="362">
        <v>4684843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489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7" t="s">
        <v>351</v>
      </c>
      <c r="B59" s="501"/>
      <c r="C59" s="501"/>
      <c r="D59" s="501"/>
      <c r="E59" s="501"/>
      <c r="F59" s="50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2"/>
      <c r="B60" s="502"/>
      <c r="C60" s="502"/>
      <c r="D60" s="502"/>
      <c r="E60" s="502"/>
      <c r="F60" s="50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Footer>&amp;L&amp;8&amp;D&amp;R&amp;"Arial,Bold"&amp;9&amp;A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77" sqref="C7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Lakeland Power Distribution Ltd.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397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439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-47715.486012911155</v>
      </c>
      <c r="N15" s="392"/>
      <c r="O15" s="397">
        <f t="shared" si="0"/>
        <v>-47715.486012911155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-41828.00397208548</v>
      </c>
      <c r="N17" s="392"/>
      <c r="O17" s="397">
        <f t="shared" si="0"/>
        <v>-41828.00397208548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-89543.48998499663</v>
      </c>
      <c r="N22" s="391"/>
      <c r="O22" s="451">
        <f>SUM(O11:O20)</f>
        <v>-89543.48998499663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404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407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6" t="s">
        <v>408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421"/>
      <c r="Q33" s="421"/>
      <c r="R33" s="421"/>
      <c r="S33" s="421"/>
    </row>
    <row r="34" spans="1:19" ht="12.75">
      <c r="A34" s="505" t="s">
        <v>409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421"/>
      <c r="Q34" s="421"/>
      <c r="R34" s="421"/>
      <c r="S34" s="421"/>
    </row>
    <row r="35" spans="1:19" ht="12.75">
      <c r="A35" s="505" t="s">
        <v>430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421"/>
      <c r="Q35" s="421"/>
      <c r="R35" s="421"/>
      <c r="S35" s="421"/>
    </row>
    <row r="36" spans="1:19" ht="12.75">
      <c r="A36" s="505" t="s">
        <v>410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5" t="s">
        <v>459</v>
      </c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Margaret Maw</cp:lastModifiedBy>
  <cp:lastPrinted>2011-10-13T13:30:47Z</cp:lastPrinted>
  <dcterms:created xsi:type="dcterms:W3CDTF">2001-11-07T16:15:53Z</dcterms:created>
  <dcterms:modified xsi:type="dcterms:W3CDTF">2011-10-13T13:31:10Z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