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<sst xmlns="http://schemas.openxmlformats.org/spreadsheetml/2006/main" count="885" uniqueCount="513">
  <si>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</si>
  <si>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</si>
  <si>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</si>
  <si>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</si>
  <si>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</si>
  <si>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</si>
  <si>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</si>
  <si>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</si>
  <si>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</si>
  <si>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</si>
  <si>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</si>
  <si>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</si>
  <si>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</si>
  <si>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</si>
  <si>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</si>
  <si>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</si>
  <si>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</si>
  <si>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</si>
  <si>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</si>
  <si>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</si>
  <si>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</si>
  <si>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</si>
  <si>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</si>
  <si>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</si>
  <si>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</si>
  <si>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</si>
  <si>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</si>
  <si>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</si>
  <si>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</si>
  <si>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</si>
  <si>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</si>
  <si>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</si>
  <si>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</si>
  <si>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</si>
  <si>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</si>
  <si>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</si>
  <si>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</si>
  <si>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</si>
  <si>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</si>
  <si>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</si>
  <si>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</si>
  <si>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</si>
  <si>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</si>
  <si>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</si>
  <si>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</si>
  <si>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</si>
  <si>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</si>
  <si>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</si>
  <si>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</si>
  <si>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</si>
  <si>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</si>
  <si>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</si>
  <si>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</si>
  <si>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</si>
  <si>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</si>
  <si>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</si>
  <si>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</si>
  <si>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</si>
  <si>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</si>
  <si>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</si>
  <si>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</si>
  <si>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</si>
  <si>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</si>
  <si>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</si>
  <si>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</si>
  <si>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</si>
  <si>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</si>
  <si>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</si>
  <si>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</si>
  <si>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</si>
  <si>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</si>
  <si>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</si>
  <si>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</si>
  <si>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</si>
  <si>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</si>
  <si>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</si>
  <si>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</si>
  <si>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</si>
  <si>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</si>
  <si>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</si>
  <si>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</si>
  <si>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</si>
  <si>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</si>
  <si>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</si>
  <si>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</si>
  <si>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</si>
  <si>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</si>
  <si>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</si>
  <si>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</si>
  <si>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</si>
  <si>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</si>
  <si>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</si>
  <si>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</si>
  <si>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</si>
  <si>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</si>
  <si>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</si>
  <si>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</si>
  <si>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</si>
  <si>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</si>
  <si>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</si>
  <si>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</si>
  <si>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</si>
  <si>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</si>
  <si>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</si>
  <si>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</si>
  <si>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</si>
  <si>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</si>
  <si>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</si>
  <si>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</si>
  <si>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</si>
  <si>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</si>
  <si>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</si>
  <si>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</si>
  <si>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</si>
  <si>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</si>
  <si>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</si>
  <si>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</si>
  <si>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</si>
  <si>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</si>
  <si>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</si>
  <si>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</si>
  <si>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</si>
  <si>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</si>
  <si>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</si>
  <si>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</si>
  <si>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</si>
  <si>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</si>
  <si>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</si>
  <si>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</si>
  <si>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</si>
  <si>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</si>
  <si>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</si>
  <si>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</si>
  <si>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</si>
  <si>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</si>
  <si>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</si>
  <si>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</si>
  <si>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</si>
  <si>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</si>
  <si>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</si>
  <si>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</si>
  <si>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</si>
  <si>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</si>
  <si>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</si>
  <si>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</si>
  <si>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</si>
  <si>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</si>
  <si>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</si>
  <si>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</si>
  <si>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</si>
  <si>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</si>
  <si>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</si>
  <si>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</si>
  <si>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</si>
  <si>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</si>
  <si>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</si>
  <si>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</si>
  <si>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</si>
  <si>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</si>
  <si>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</si>
  <si>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</si>
  <si>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</si>
  <si>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</si>
  <si>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</si>
  <si>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</si>
  <si>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</si>
  <si>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</si>
  <si>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</si>
  <si>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</si>
  <si>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</si>
  <si>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</si>
  <si>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</si>
  <si>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</si>
  <si>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</si>
  <si>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</si>
  <si>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</si>
  <si>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</si>
  <si>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</si>
  <si>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</si>
  <si>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</si>
  <si>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</si>
  <si>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</si>
  <si>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</si>
  <si>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</si>
  <si>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</si>
  <si>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</si>
  <si>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</si>
  <si>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</si>
  <si>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</si>
  <si>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</si>
  <si>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</si>
  <si>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</si>
  <si>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</si>
  <si>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</si>
  <si>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</si>
  <si>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</si>
  <si>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</si>
  <si>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</si>
  <si>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</si>
  <si>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</si>
  <si>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</si>
  <si>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</si>
  <si>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</si>
  <si>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</si>
  <si>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</si>
  <si>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</si>
  <si>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</si>
  <si>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</si>
  <si>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</si>
  <si>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</si>
  <si>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</si>
  <si>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</si>
  <si>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</si>
  <si>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</si>
  <si>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</si>
  <si>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</si>
  <si>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</si>
  <si>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</si>
  <si>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</si>
  <si>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</si>
  <si>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</si>
  <si>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</si>
  <si>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</si>
  <si>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</si>
  <si>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</si>
  <si>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</si>
  <si>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</si>
  <si>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</si>
  <si>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</si>
  <si>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</si>
  <si>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</si>
  <si>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</si>
  <si>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</si>
  <si>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</si>
  <si>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</si>
  <si>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</si>
  <si>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</si>
  <si>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</si>
  <si>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</si>
  <si>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</si>
  <si>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</si>
  <si>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</si>
  <si>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</si>
  <si>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</si>
  <si>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</si>
  <si>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</si>
  <si>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</si>
  <si>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</si>
  <si>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</si>
  <si>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</si>
  <si>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</si>
  <si>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</si>
  <si>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</si>
  <si>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</si>
  <si>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</si>
  <si>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</si>
  <si>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</si>
  <si>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</si>
  <si>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</si>
  <si>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</si>
  <si>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</si>
  <si>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</si>
  <si>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</si>
  <si>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</si>
  <si>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</si>
  <si>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</si>
  <si>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</si>
  <si>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</si>
  <si>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</si>
  <si>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</si>
  <si>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</si>
  <si>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</si>
  <si>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</si>
  <si>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</si>
  <si>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</si>
  <si>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</si>
  <si>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</si>
  <si>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</si>
  <si>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</si>
  <si>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</si>
  <si>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</si>
  <si>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</si>
  <si>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</si>
  <si>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</si>
  <si>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</si>
  <si>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</si>
  <si>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</si>
  <si>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</si>
  <si>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</si>
  <si>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</si>
  <si>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</si>
  <si>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</si>
  <si>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</si>
  <si>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</si>
  <si>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</si>
  <si>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</si>
  <si>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</si>
  <si>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</si>
  <si>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</si>
  <si>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</si>
  <si>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</si>
  <si>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</si>
  <si>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</si>
  <si>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</si>
  <si>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</si>
  <si>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</si>
  <si>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</si>
  <si>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</si>
  <si>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</si>
  <si>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</si>
  <si>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</si>
  <si>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</si>
  <si>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</si>
  <si>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</si>
  <si>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</si>
  <si>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</si>
  <si>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</si>
  <si>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</si>
  <si>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</si>
  <si>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</si>
  <si>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</si>
  <si>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</si>
  <si>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</si>
  <si>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</si>
  <si>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</si>
  <si>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</si>
  <si>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</si>
  <si>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</si>
  <si>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</si>
  <si>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</si>
  <si>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</si>
  <si>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</si>
  <si>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</si>
  <si>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</si>
  <si>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</si>
  <si>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</si>
  <si>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</si>
  <si>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</si>
  <si>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</si>
  <si>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</si>
  <si>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</si>
  <si>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</si>
  <si>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</si>
  <si>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</si>
  <si>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</si>
  <si>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</si>
  <si>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</si>
  <si>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</si>
  <si>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</si>
  <si>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</si>
  <si>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</si>
  <si>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</si>
  <si>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</si>
  <si>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</si>
  <si>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</si>
  <si>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</si>
  <si>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</si>
  <si>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</si>
  <si>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</si>
  <si>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</si>
  <si>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</si>
  <si>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</si>
  <si>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</si>
  <si>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</si>
  <si>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</si>
  <si>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</si>
  <si>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</si>
  <si>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</si>
  <si>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</si>
  <si>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</si>
  <si>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</si>
  <si>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</si>
  <si>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</si>
  <si>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</si>
  <si>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</si>
  <si>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</si>
  <si>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</si>
  <si>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</si>
  <si>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</si>
  <si>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</si>
  <si>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</si>
  <si>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</si>
  <si>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</si>
  <si>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</si>
  <si>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</si>
  <si>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</si>
  <si>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</si>
  <si>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</si>
  <si>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</si>
  <si>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</si>
  <si>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</si>
  <si>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</si>
  <si>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</si>
  <si>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</si>
  <si>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</si>
  <si>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</si>
  <si>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</si>
  <si>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</si>
  <si>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</si>
  <si>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</si>
  <si>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</si>
  <si>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</si>
  <si>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</si>
  <si>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</si>
  <si>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</si>
  <si>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</si>
  <si>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</si>
  <si>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</si>
  <si>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</si>
  <si>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</si>
  <si>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</si>
  <si>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</si>
  <si>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</si>
  <si>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</si>
  <si>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</si>
  <si>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</si>
  <si>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</si>
  <si>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</si>
  <si>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</si>
  <si>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</si>
  <si>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</si>
  <si>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</si>
  <si>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</si>
  <si>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</si>
  <si>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</si>
  <si>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</si>
  <si>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</si>
  <si>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</si>
  <si>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</si>
  <si>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</si>
  <si>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</si>
  <si>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</si>
  <si>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</si>
  <si>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</si>
  <si>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</si>
  <si>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</si>
  <si>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</si>
  <si>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</si>
  <si>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</si>
  <si>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</si>
  <si>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</si>
  <si>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</si>
  <si>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</si>
  <si>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</si>
  <si>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</si>
  <si>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</si>
  <si>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</si>
  <si>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</si>
  <si>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</si>
  <si>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</si>
  <si>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</si>
  <si>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</si>
  <si>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</si>
  <si>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</si>
  <si>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</si>
  <si>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</si>
  <si>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</si>
  <si>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</si>
  <si>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</si>
  <si>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</si>
  <si>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</si>
  <si>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</si>
  <si>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</si>
  <si>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</si>
  <si>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</si>
  <si>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</si>
  <si>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</si>
  <si>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</si>
  <si>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</si>
  <si>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</si>
  <si>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</si>
  <si>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</si>
  <si>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</si>
  <si>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</si>
  <si>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</si>
  <si>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</si>
  <si>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</si>
  <si>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</si>
  <si>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</si>
  <si>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</si>
  <si>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</si>
  <si>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</si>
  <si>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</si>
  <si>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</si>
  <si>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</si>
  <si>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</si>
  <si>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</si>
  <si>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</si>
  <si>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</si>
  <si>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</si>
  <si>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</si>
  <si>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</si>
  <si>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</si>
  <si>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</si>
  <si>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</si>
  <si>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PILs TAXES - EB-2010-</t>
  </si>
  <si>
    <t>Utility Name: Hydro One Brampton Networks Inc.</t>
  </si>
  <si>
    <t>Other Liabilities (2405) - Allowance for doubtful accounts</t>
  </si>
  <si>
    <t>Amortization of debt discount</t>
  </si>
  <si>
    <t>Partnership income per T5013 (net of 2001 loss)</t>
  </si>
  <si>
    <t>Prospectus &amp; underwriting fees</t>
  </si>
  <si>
    <t>Income not earned on movement of Regulatory A/Cs</t>
  </si>
  <si>
    <t>Deferred cost deductible (market ready)</t>
  </si>
  <si>
    <t>RSVA Reserve (1580)</t>
  </si>
  <si>
    <t>Reserves for Transition Costs</t>
  </si>
  <si>
    <t>Reserves for rebate payment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</si>
  <si>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</si>
  <si>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</si>
  <si>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</si>
  <si>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</si>
  <si>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</si>
  <si>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</si>
  <si>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r>
      <t xml:space="preserve">Income Tax Rate (including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</si>
</sst>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6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6" borderId="14" xfId="63" applyNumberFormat="1" applyFont="1" applyFill="1" applyBorder="1" applyAlignment="1" applyProtection="1">
      <alignment vertical="top"/>
      <protection locked="0"/>
    </xf>
    <xf numFmtId="0" fontId="0" fillId="45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80" zoomScaleNormal="80" zoomScalePageLayoutView="0" workbookViewId="0" topLeftCell="A23">
      <selection activeCell="D47" sqref="D4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495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496</v>
      </c>
      <c r="C3" s="8"/>
      <c r="D3" s="450" t="s">
        <v>446</v>
      </c>
      <c r="E3" s="8"/>
      <c r="F3" s="8"/>
      <c r="G3" s="8"/>
      <c r="H3" s="8"/>
    </row>
    <row r="4" spans="1:8" ht="12.75">
      <c r="A4" s="2" t="s">
        <v>477</v>
      </c>
      <c r="C4" s="8"/>
      <c r="D4" s="449" t="s">
        <v>441</v>
      </c>
      <c r="E4" s="423"/>
      <c r="H4" s="8"/>
    </row>
    <row r="5" spans="1:8" ht="12.75">
      <c r="A5" s="52"/>
      <c r="C5" s="8"/>
      <c r="D5" s="448" t="s">
        <v>442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313</v>
      </c>
      <c r="C18" s="8"/>
      <c r="D18" s="8"/>
    </row>
    <row r="19" spans="1:4" ht="15" customHeight="1">
      <c r="A19" s="506" t="s">
        <v>314</v>
      </c>
      <c r="B19" s="8" t="s">
        <v>311</v>
      </c>
      <c r="C19" s="8" t="s">
        <v>64</v>
      </c>
      <c r="D19" s="389"/>
    </row>
    <row r="20" spans="1:4" ht="13.5" thickBot="1">
      <c r="A20" s="507"/>
      <c r="B20" s="8" t="s">
        <v>312</v>
      </c>
      <c r="C20" s="8" t="s">
        <v>64</v>
      </c>
      <c r="D20" s="258"/>
    </row>
    <row r="21" spans="1:4" ht="12.75">
      <c r="A21" s="506" t="s">
        <v>310</v>
      </c>
      <c r="B21" s="8" t="s">
        <v>311</v>
      </c>
      <c r="C21" s="8"/>
      <c r="D21" s="494">
        <v>0.02</v>
      </c>
    </row>
    <row r="22" spans="1:4" ht="12.75">
      <c r="A22" s="506"/>
      <c r="B22" s="8" t="s">
        <v>312</v>
      </c>
      <c r="C22" s="8"/>
      <c r="D22" s="494">
        <v>0.03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478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295</v>
      </c>
    </row>
    <row r="27" spans="1:5" ht="12.75">
      <c r="A27" s="256" t="s">
        <v>68</v>
      </c>
      <c r="C27" s="8"/>
      <c r="E27" s="439" t="s">
        <v>296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285</v>
      </c>
      <c r="D31" s="482">
        <v>211672968</v>
      </c>
      <c r="H31" s="5"/>
    </row>
    <row r="32" ht="6" customHeight="1"/>
    <row r="33" spans="1:8" ht="12.75">
      <c r="A33" t="s">
        <v>71</v>
      </c>
      <c r="D33" s="483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3">
        <v>0.0988</v>
      </c>
      <c r="H37" s="41"/>
    </row>
    <row r="38" ht="4.5" customHeight="1">
      <c r="H38" s="34"/>
    </row>
    <row r="39" spans="1:8" ht="12.75">
      <c r="A39" t="s">
        <v>74</v>
      </c>
      <c r="D39" s="483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7853867</v>
      </c>
      <c r="E43" s="388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4">
        <v>3235507</v>
      </c>
      <c r="E47" s="388">
        <f aca="true" t="shared" si="0" ref="E47:E53">D47</f>
        <v>3235507</v>
      </c>
      <c r="H47" s="40"/>
      <c r="J47" s="5"/>
      <c r="K47" s="5"/>
    </row>
    <row r="48" spans="1:11" ht="12.75">
      <c r="A48" t="s">
        <v>288</v>
      </c>
      <c r="D48" s="484">
        <v>3235507</v>
      </c>
      <c r="E48" s="388">
        <f>D48</f>
        <v>3235507</v>
      </c>
      <c r="F48" s="22"/>
      <c r="H48" s="40"/>
      <c r="J48" s="5"/>
      <c r="K48" s="5"/>
    </row>
    <row r="49" spans="1:11" ht="12.75">
      <c r="A49" t="s">
        <v>289</v>
      </c>
      <c r="D49" s="485"/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3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D51" s="423"/>
      <c r="E51" s="388">
        <f t="shared" si="0"/>
        <v>0</v>
      </c>
      <c r="H51" s="40"/>
      <c r="J51" s="5"/>
      <c r="K51" s="5"/>
    </row>
    <row r="52" spans="1:11" ht="12.75">
      <c r="A52" t="s">
        <v>461</v>
      </c>
      <c r="D52" s="423"/>
      <c r="E52" s="388">
        <f t="shared" si="0"/>
        <v>0</v>
      </c>
      <c r="H52" s="40"/>
      <c r="J52" s="5"/>
      <c r="K52" s="5"/>
    </row>
    <row r="53" spans="4:11" ht="12.75">
      <c r="D53" s="423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14324881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80">
      <selection activeCell="E122" sqref="E12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4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60">
        <f>REGINFO!E54</f>
        <v>14324881</v>
      </c>
      <c r="D16" s="17"/>
      <c r="E16" s="268">
        <f>G16-C16</f>
        <v>6183483</v>
      </c>
      <c r="F16" s="3"/>
      <c r="G16" s="268">
        <f>TAXREC!E50</f>
        <v>20508364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6">
        <v>9600202</v>
      </c>
      <c r="D20" s="18"/>
      <c r="E20" s="268">
        <f>G20-C20</f>
        <v>3093555</v>
      </c>
      <c r="F20" s="6"/>
      <c r="G20" s="268">
        <f>TAXREC!E61</f>
        <v>12693757</v>
      </c>
      <c r="H20" s="151"/>
    </row>
    <row r="21" spans="1:8" ht="12.75">
      <c r="A21" s="158" t="s">
        <v>56</v>
      </c>
      <c r="B21" s="127">
        <v>3</v>
      </c>
      <c r="C21" s="262">
        <v>263000</v>
      </c>
      <c r="D21" s="18"/>
      <c r="E21" s="268">
        <f>G21-C21</f>
        <v>201000</v>
      </c>
      <c r="F21" s="6"/>
      <c r="G21" s="268">
        <f>TAXREC!E62</f>
        <v>464000</v>
      </c>
      <c r="H21" s="151"/>
    </row>
    <row r="22" spans="1:8" ht="12.75">
      <c r="A22" s="158" t="s">
        <v>262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261</v>
      </c>
      <c r="B23" s="127">
        <v>4</v>
      </c>
      <c r="C23" s="262"/>
      <c r="D23" s="18"/>
      <c r="E23" s="268">
        <f>G23-C23</f>
        <v>144843</v>
      </c>
      <c r="F23" s="6"/>
      <c r="G23" s="268">
        <f>TAXREC!E64</f>
        <v>144843</v>
      </c>
      <c r="H23" s="151"/>
    </row>
    <row r="24" spans="1:8" ht="12.75">
      <c r="A24" s="158" t="s">
        <v>263</v>
      </c>
      <c r="B24" s="127">
        <v>5</v>
      </c>
      <c r="C24" s="486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17817</v>
      </c>
      <c r="F27" s="6"/>
      <c r="G27" s="268">
        <f>TAXREC!E93</f>
        <v>17817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8" t="s">
        <v>394</v>
      </c>
      <c r="B30" s="127"/>
      <c r="C30" s="260"/>
      <c r="D30" s="18"/>
      <c r="E30" s="268">
        <f>G30-C30</f>
        <v>387782</v>
      </c>
      <c r="F30" s="6"/>
      <c r="G30" s="268">
        <f>TAXREC!E66</f>
        <v>387782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6">
        <v>7215016</v>
      </c>
      <c r="D33" s="132"/>
      <c r="E33" s="268">
        <f aca="true" t="shared" si="0" ref="E33:E42">G33-C33</f>
        <v>4937046</v>
      </c>
      <c r="F33" s="6"/>
      <c r="G33" s="268">
        <f>TAXREC!E97+TAXREC!E98</f>
        <v>12152062</v>
      </c>
      <c r="H33" s="151"/>
    </row>
    <row r="34" spans="1:8" ht="12.75">
      <c r="A34" s="158" t="s">
        <v>57</v>
      </c>
      <c r="B34" s="127">
        <v>8</v>
      </c>
      <c r="C34" s="262">
        <v>90000</v>
      </c>
      <c r="D34" s="132"/>
      <c r="E34" s="268">
        <f t="shared" si="0"/>
        <v>-90000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264</v>
      </c>
      <c r="B36" s="127">
        <v>10</v>
      </c>
      <c r="C36" s="486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6647877.5132594025</v>
      </c>
      <c r="D37" s="132"/>
      <c r="E37" s="268">
        <f t="shared" si="0"/>
        <v>2793122.4867405975</v>
      </c>
      <c r="F37" s="6"/>
      <c r="G37" s="268">
        <f>TAXREC!E51</f>
        <v>9441000</v>
      </c>
      <c r="H37" s="151"/>
    </row>
    <row r="38" spans="1:8" ht="12.75">
      <c r="A38" s="155" t="s">
        <v>260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259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410765</v>
      </c>
      <c r="F42" s="6"/>
      <c r="G42" s="268">
        <f>TAXREC!E109</f>
        <v>410765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84731</v>
      </c>
      <c r="F47" s="6"/>
      <c r="G47" s="251">
        <f>TAXREC!E111</f>
        <v>84731</v>
      </c>
      <c r="H47" s="151"/>
    </row>
    <row r="48" spans="1:8" ht="15.75">
      <c r="A48" s="478" t="s">
        <v>394</v>
      </c>
      <c r="B48" s="127"/>
      <c r="C48" s="260"/>
      <c r="D48" s="132"/>
      <c r="E48" s="268">
        <f>G48-C48</f>
        <v>9035466</v>
      </c>
      <c r="F48" s="6"/>
      <c r="G48" s="251">
        <f>TAXREC!E108</f>
        <v>9035466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4">
        <f>C16+SUM(C20:C30)-SUM(C33:C48)</f>
        <v>10235189.486740597</v>
      </c>
      <c r="D50" s="102"/>
      <c r="E50" s="264">
        <f>E16+SUM(E20:E30)-SUM(E33:E48)</f>
        <v>-7142650.486740597</v>
      </c>
      <c r="F50" s="426" t="s">
        <v>366</v>
      </c>
      <c r="G50" s="264">
        <f>G16+SUM(G20:G30)-SUM(G33:G48)</f>
        <v>3092539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-6.040344197044689E-08</v>
      </c>
      <c r="F53" s="114"/>
      <c r="G53" s="468">
        <f>TAXREC!E151</f>
        <v>0.386199939596558</v>
      </c>
      <c r="H53" s="151"/>
      <c r="I53" s="465" t="s">
        <v>473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3952830.1797792185</v>
      </c>
      <c r="D55" s="102"/>
      <c r="E55" s="268">
        <f>G55-C55</f>
        <v>-2702364.1797792185</v>
      </c>
      <c r="F55" s="426" t="s">
        <v>367</v>
      </c>
      <c r="G55" s="265">
        <f>TAXREC!E144</f>
        <v>1250466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367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3952830.1797792185</v>
      </c>
      <c r="D60" s="133"/>
      <c r="E60" s="270">
        <f>+E55-E58</f>
        <v>-2702364.1797792185</v>
      </c>
      <c r="F60" s="426" t="s">
        <v>367</v>
      </c>
      <c r="G60" s="270">
        <f>+G55-G58</f>
        <v>1250466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211672968</v>
      </c>
      <c r="D66" s="102"/>
      <c r="E66" s="268">
        <f>G66-C66</f>
        <v>61381991</v>
      </c>
      <c r="F66" s="6"/>
      <c r="G66" s="487">
        <v>273054959</v>
      </c>
      <c r="H66" s="151"/>
      <c r="I66" s="471" t="s">
        <v>474</v>
      </c>
    </row>
    <row r="67" spans="1:10" ht="12.75">
      <c r="A67" s="152" t="s">
        <v>359</v>
      </c>
      <c r="B67" s="125">
        <v>16</v>
      </c>
      <c r="C67" s="261">
        <f>IF(C66&gt;0,'Tax Rates'!C21,0)</f>
        <v>100000</v>
      </c>
      <c r="D67" s="102"/>
      <c r="E67" s="268">
        <f>G67-C67</f>
        <v>43644</v>
      </c>
      <c r="F67" s="6"/>
      <c r="G67" s="470">
        <v>143644</v>
      </c>
      <c r="H67" s="151"/>
      <c r="I67" s="471" t="s">
        <v>474</v>
      </c>
      <c r="J67" s="472" t="s">
        <v>475</v>
      </c>
    </row>
    <row r="68" spans="1:8" ht="12.75">
      <c r="A68" s="152" t="s">
        <v>42</v>
      </c>
      <c r="B68" s="125"/>
      <c r="C68" s="265">
        <f>IF((C66-C67)&gt;0,C66-C67,0)</f>
        <v>211572968</v>
      </c>
      <c r="D68" s="102"/>
      <c r="E68" s="268">
        <f>SUM(E66:E67)</f>
        <v>61425635</v>
      </c>
      <c r="F68" s="114"/>
      <c r="G68" s="265">
        <f>G66-G67</f>
        <v>272911315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5">
        <f>IF(C68&gt;0,C68*C70,0)*REGINFO!$B$6/REGINFO!$B$7</f>
        <v>634718.904</v>
      </c>
      <c r="D72" s="101"/>
      <c r="E72" s="268">
        <f>+G72-C72</f>
        <v>184015.04100000008</v>
      </c>
      <c r="F72" s="473" t="s">
        <v>476</v>
      </c>
      <c r="G72" s="265">
        <f>IF(G68&gt;0,G68*G70,0)*REGINFO!$B$6/REGINFO!$B$7</f>
        <v>818733.9450000001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211672968</v>
      </c>
      <c r="D75" s="102"/>
      <c r="E75" s="268">
        <f>+G75-C75</f>
        <v>74673361</v>
      </c>
      <c r="F75" s="6"/>
      <c r="G75" s="487">
        <v>286346329</v>
      </c>
      <c r="H75" s="151"/>
      <c r="I75" s="471" t="s">
        <v>474</v>
      </c>
    </row>
    <row r="76" spans="1:9" ht="12.75">
      <c r="A76" s="152" t="s">
        <v>359</v>
      </c>
      <c r="B76" s="125">
        <v>19</v>
      </c>
      <c r="C76" s="261">
        <f>IF(C75&gt;0,'Tax Rates'!C22,0)</f>
        <v>300000</v>
      </c>
      <c r="D76" s="18"/>
      <c r="E76" s="268">
        <f>+G76-C76</f>
        <v>-300000</v>
      </c>
      <c r="F76" s="6"/>
      <c r="G76" s="487">
        <v>0</v>
      </c>
      <c r="H76" s="151"/>
      <c r="I76" s="471" t="s">
        <v>474</v>
      </c>
    </row>
    <row r="77" spans="1:8" ht="12.75">
      <c r="A77" s="152" t="s">
        <v>42</v>
      </c>
      <c r="B77" s="125"/>
      <c r="C77" s="265">
        <f>IF((C75-C76)&gt;0,C75-C76,0)</f>
        <v>211372968</v>
      </c>
      <c r="D77" s="19"/>
      <c r="E77" s="268">
        <f>SUM(E75:E76)</f>
        <v>74373361</v>
      </c>
      <c r="F77" s="114"/>
      <c r="G77" s="265">
        <f>G75-G76</f>
        <v>286346329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5">
        <f>IF(C77&gt;0,C77*C79,0)*REGINFO!$B$6/REGINFO!$B$7</f>
        <v>475589.178</v>
      </c>
      <c r="D81" s="102"/>
      <c r="E81" s="268">
        <f>+G81-C81</f>
        <v>168690.0622499999</v>
      </c>
      <c r="F81" s="6"/>
      <c r="G81" s="265">
        <f>G77*G79*B9/B10</f>
        <v>644279.2402499999</v>
      </c>
      <c r="H81" s="151"/>
    </row>
    <row r="82" spans="1:8" ht="12.75">
      <c r="A82" s="152" t="s">
        <v>317</v>
      </c>
      <c r="B82" s="125">
        <v>21</v>
      </c>
      <c r="C82" s="301">
        <f>IF(C77&gt;0,IF(C60&gt;0,C50*'Tax Rates'!C20,0),0)</f>
        <v>114634.12225149469</v>
      </c>
      <c r="D82" s="102"/>
      <c r="E82" s="268">
        <f>+G82-C82</f>
        <v>-114634.12225149469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360955.05574850534</v>
      </c>
      <c r="D84" s="16"/>
      <c r="E84" s="268">
        <f>E81-E82</f>
        <v>283324.1845014946</v>
      </c>
      <c r="F84" s="103"/>
      <c r="G84" s="265">
        <f>G81-G82</f>
        <v>644279.2402499999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5">
        <f>C60/(1-C88)</f>
        <v>6324528.28764675</v>
      </c>
      <c r="D90" s="20"/>
      <c r="E90" s="139"/>
      <c r="F90" s="425" t="s">
        <v>487</v>
      </c>
      <c r="G90" s="271">
        <f>TAXREC!E156</f>
        <v>1250466</v>
      </c>
      <c r="H90" s="151"/>
    </row>
    <row r="91" spans="1:8" ht="12.75">
      <c r="A91" s="158" t="s">
        <v>369</v>
      </c>
      <c r="B91" s="127">
        <v>23</v>
      </c>
      <c r="C91" s="265">
        <f>C84/(1-C88)</f>
        <v>577528.0891976085</v>
      </c>
      <c r="D91" s="20"/>
      <c r="E91" s="139"/>
      <c r="F91" s="425" t="s">
        <v>487</v>
      </c>
      <c r="G91" s="271">
        <f>TAXREC!E158</f>
        <v>609643</v>
      </c>
      <c r="H91" s="151"/>
    </row>
    <row r="92" spans="1:8" ht="12.75">
      <c r="A92" s="158" t="s">
        <v>347</v>
      </c>
      <c r="B92" s="127">
        <v>24</v>
      </c>
      <c r="C92" s="265">
        <f>C72</f>
        <v>634718.904</v>
      </c>
      <c r="D92" s="20"/>
      <c r="E92" s="139"/>
      <c r="F92" s="425" t="s">
        <v>487</v>
      </c>
      <c r="G92" s="271">
        <f>TAXREC!E157</f>
        <v>818734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488</v>
      </c>
      <c r="B95" s="125">
        <v>25</v>
      </c>
      <c r="C95" s="270">
        <f>SUM(C90:C93)</f>
        <v>7536775.280844359</v>
      </c>
      <c r="D95" s="6"/>
      <c r="E95" s="139"/>
      <c r="F95" s="425" t="s">
        <v>487</v>
      </c>
      <c r="G95" s="413">
        <f>SUM(G90:G94)</f>
        <v>2678843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345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201000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144843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-90000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3" t="s">
        <v>511</v>
      </c>
      <c r="B112" s="127">
        <v>11</v>
      </c>
      <c r="C112" s="112"/>
      <c r="D112" s="3"/>
      <c r="E112" s="467">
        <f>E206</f>
        <v>1702355.731999999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-1266512.731999999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512</v>
      </c>
      <c r="B122" s="127"/>
      <c r="C122" s="112"/>
      <c r="D122" s="3" t="s">
        <v>231</v>
      </c>
      <c r="E122" s="464">
        <f>IF((E120+G50)&gt;'Tax Rates'!$E$47,'Tax Rates'!$F$52,IF((E120+G50)&gt;'Tax Rates'!$D$47,'Tax Rates'!$E$52,IF((E120+G50)&gt;'Tax Rates'!$C$47,'Tax Rates'!$D$52,'Tax Rates'!$C$52)))</f>
        <v>0.386199939596558</v>
      </c>
      <c r="F122" s="465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-489127.14059667126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-489127.14059667126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4">
        <f>IF((E120+C50)&gt;'Tax Rates'!$E$47,'Tax Rates'!$F$52-1.12%,IF((E120+C50)&gt;'Tax Rates'!$D$47,'Tax Rates'!$E$52-1.12%,IF((E120+C50)&gt;'Tax Rates'!$C$47,'Tax Rates'!$D$52-1.12%,'Tax Rates'!$C$52-1.12%)))</f>
        <v>0.37499993959655803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264">
        <f>E128/(1-E130)</f>
        <v>-782603.3493195764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10235189.486740597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4">
        <f>IF((E120+E136)&gt;'Tax Rates'!E47,'Tax Rates'!F52,IF((E120+E136)&gt;'Tax Rates'!D47,'Tax Rates'!E52,IF((E120+E136)&gt;'Tax Rates'!C47,'Tax Rates'!D52,'Tax Rates'!C52)))</f>
        <v>0.386199939596558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3952829.561538544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3952829.561538544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3952830.1797792185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E144-E146+0.6</f>
        <v>-0.018240674491971753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7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211672968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6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634718.904</v>
      </c>
      <c r="F157" s="37"/>
      <c r="G157" s="201"/>
      <c r="H157" s="164"/>
    </row>
    <row r="158" spans="1:8" ht="25.5">
      <c r="A158" s="171" t="s">
        <v>307</v>
      </c>
      <c r="B158" s="130"/>
      <c r="C158" s="112"/>
      <c r="D158" s="118" t="s">
        <v>188</v>
      </c>
      <c r="E158" s="306">
        <f>C72</f>
        <v>634718.904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9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211672968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6">
        <f>IF(E162&gt;0,'Tax Rates'!C40,0)</f>
        <v>300000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211372968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475589.178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188</v>
      </c>
      <c r="E169" s="308">
        <f>IF(E164&gt;0,IF(E144&gt;0,E136*'Tax Rates'!C56,0),0)</f>
        <v>114634.12225149469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360955.05574850534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346</v>
      </c>
      <c r="B172" s="130"/>
      <c r="C172" s="112"/>
      <c r="D172" s="118" t="s">
        <v>188</v>
      </c>
      <c r="E172" s="306">
        <f>C84</f>
        <v>360955.05574850534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9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64">
        <f>IF((E120+G50)&gt;'Tax Rates'!E47,'Tax Rates'!F52-1.12%,IF((E120+G50)&gt;'Tax Rates'!D47,'Tax Rates'!E52-1.12%,IF((E120+G50)&gt;'Tax Rates'!C47,'Tax Rates'!D52,'Tax Rates'!C52-1.12%)))</f>
        <v>0.37499993959655803</v>
      </c>
      <c r="F175" s="465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-0.029185076366548296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303">
        <f>SUM(E177:E179)</f>
        <v>-0.029185076366548296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344</v>
      </c>
      <c r="B183" s="130"/>
      <c r="C183" s="112"/>
      <c r="D183" s="119" t="s">
        <v>187</v>
      </c>
      <c r="E183" s="303">
        <f>E132</f>
        <v>-782603.3493195764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303">
        <f>E181+E183</f>
        <v>-782603.3785046528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8149409.268000001</v>
      </c>
      <c r="F193" s="3"/>
      <c r="G193" s="123"/>
      <c r="H193" s="164"/>
    </row>
    <row r="194" spans="1:8" ht="12.75">
      <c r="A194" s="503" t="s">
        <v>508</v>
      </c>
      <c r="B194" s="127"/>
      <c r="C194" s="112"/>
      <c r="D194" s="120"/>
      <c r="E194" s="309">
        <f>C37</f>
        <v>6647877.5132594025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9">
        <f>E193-E194</f>
        <v>1501531.7547405986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1"/>
      <c r="H200" s="164"/>
    </row>
    <row r="201" spans="1:8" ht="12.75">
      <c r="A201" s="503" t="s">
        <v>509</v>
      </c>
      <c r="B201" s="127"/>
      <c r="C201" s="112"/>
      <c r="D201" s="120"/>
      <c r="E201" s="309">
        <f>G37+G42</f>
        <v>9851765</v>
      </c>
      <c r="F201" s="3"/>
      <c r="G201" s="481"/>
      <c r="H201" s="164"/>
    </row>
    <row r="202" spans="1:8" ht="12.75">
      <c r="A202" s="503" t="s">
        <v>506</v>
      </c>
      <c r="B202" s="127"/>
      <c r="C202" s="112"/>
      <c r="D202" s="120"/>
      <c r="E202" s="309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1702355.731999999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510</v>
      </c>
      <c r="B206" s="127"/>
      <c r="C206" s="112"/>
      <c r="D206" s="120"/>
      <c r="E206" s="466">
        <f>IF((E201-E202)&gt;0,E201-E202,0)</f>
        <v>1702355.731999999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-200823.9772594003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3">
      <selection activeCell="D21" sqref="D2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0.25%*Ratebase*REGINFO!D33</f>
        <v>238132.08900000004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187</v>
      </c>
      <c r="C31" s="488">
        <v>230184000</v>
      </c>
      <c r="D31" s="287"/>
      <c r="E31" s="285">
        <f>C31-D31</f>
        <v>230184000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8">
        <v>45674000</v>
      </c>
      <c r="D32" s="287"/>
      <c r="E32" s="285">
        <f>C32-D32</f>
        <v>45674000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1882000</v>
      </c>
      <c r="D33" s="287"/>
      <c r="E33" s="285">
        <f>C33-D33</f>
        <v>1882000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8">
        <v>230184000</v>
      </c>
      <c r="D39" s="287"/>
      <c r="E39" s="285">
        <f>C39-D39</f>
        <v>230184000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8">
        <v>5513879</v>
      </c>
      <c r="D40" s="287"/>
      <c r="E40" s="285">
        <f aca="true" t="shared" si="0" ref="E40:E48">C40-D40</f>
        <v>5513879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6">
        <v>2843000</v>
      </c>
      <c r="D41" s="287"/>
      <c r="E41" s="285">
        <f t="shared" si="0"/>
        <v>2843000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6">
        <v>5179000</v>
      </c>
      <c r="D42" s="287"/>
      <c r="E42" s="285">
        <f t="shared" si="0"/>
        <v>5179000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88">
        <v>12693757</v>
      </c>
      <c r="D43" s="287"/>
      <c r="E43" s="285">
        <f t="shared" si="0"/>
        <v>12693757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88">
        <v>818000</v>
      </c>
      <c r="D44" s="287"/>
      <c r="E44" s="285">
        <f t="shared" si="0"/>
        <v>818000</v>
      </c>
      <c r="F44" s="11"/>
      <c r="G44" s="11"/>
      <c r="H44" s="6"/>
      <c r="I44" s="6"/>
    </row>
    <row r="45" spans="1:11" ht="12.75">
      <c r="A45" s="4" t="s">
        <v>493</v>
      </c>
      <c r="B45" s="23" t="s">
        <v>188</v>
      </c>
      <c r="C45" s="488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20508364</v>
      </c>
      <c r="D50" s="282">
        <f>SUM(D31:D36)-SUM(D39:D49)</f>
        <v>0</v>
      </c>
      <c r="E50" s="282">
        <f>SUM(E31:E35)-SUM(E39:E48)</f>
        <v>20508364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8">
        <v>9441000</v>
      </c>
      <c r="D51" s="286"/>
      <c r="E51" s="283">
        <f>+C51-D51</f>
        <v>9441000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8">
        <v>4888016</v>
      </c>
      <c r="D52" s="286"/>
      <c r="E52" s="284">
        <f>+C52-D52</f>
        <v>4888016</v>
      </c>
      <c r="F52" s="8"/>
    </row>
    <row r="53" spans="1:6" ht="12.75">
      <c r="A53" s="2" t="s">
        <v>131</v>
      </c>
      <c r="B53" s="8" t="s">
        <v>189</v>
      </c>
      <c r="C53" s="282">
        <f>C50-C51-C52</f>
        <v>6179348</v>
      </c>
      <c r="D53" s="282">
        <f>D50-D51-D52</f>
        <v>0</v>
      </c>
      <c r="E53" s="282">
        <f>E50-E51-E52</f>
        <v>6179348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4888016</v>
      </c>
      <c r="D59" s="288">
        <f>D52</f>
        <v>0</v>
      </c>
      <c r="E59" s="273">
        <f>+C59-D59</f>
        <v>4888016</v>
      </c>
      <c r="F59" s="8"/>
    </row>
    <row r="60" spans="1:6" ht="12.75">
      <c r="A60" s="4" t="s">
        <v>325</v>
      </c>
      <c r="B60" s="8" t="s">
        <v>187</v>
      </c>
      <c r="C60" s="489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74">
        <f>C43</f>
        <v>12693757</v>
      </c>
      <c r="D61" s="288">
        <f>D43</f>
        <v>0</v>
      </c>
      <c r="E61" s="273">
        <f>+C61-D61</f>
        <v>12693757</v>
      </c>
      <c r="F61" s="8"/>
      <c r="G61" s="415"/>
    </row>
    <row r="62" spans="1:6" ht="12.75">
      <c r="A62" t="s">
        <v>6</v>
      </c>
      <c r="B62" s="8" t="s">
        <v>187</v>
      </c>
      <c r="C62" s="489">
        <v>464000</v>
      </c>
      <c r="D62" s="288">
        <v>0</v>
      </c>
      <c r="E62" s="273">
        <f>+C62-D62</f>
        <v>464000</v>
      </c>
      <c r="F62" s="8"/>
    </row>
    <row r="63" spans="1:6" ht="12.75">
      <c r="A63" s="31" t="s">
        <v>277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144843</v>
      </c>
      <c r="D64" s="317">
        <f>'Tax Reserves'!D63</f>
        <v>0</v>
      </c>
      <c r="E64" s="273">
        <f>+C64-D64</f>
        <v>144843</v>
      </c>
      <c r="F64" s="8"/>
    </row>
    <row r="65" spans="1:6" ht="12.75">
      <c r="A65" t="s">
        <v>443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2" t="s">
        <v>394</v>
      </c>
      <c r="B66" s="8"/>
      <c r="C66" s="441">
        <f>'TAXREC 3 No True-up'!C50</f>
        <v>387782</v>
      </c>
      <c r="D66" s="441">
        <f>'TAXREC 3 No True-up'!D50</f>
        <v>0</v>
      </c>
      <c r="E66" s="273">
        <f>+C66-D66</f>
        <v>387782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18578398</v>
      </c>
      <c r="D70" s="273">
        <f>SUM(D59:D68)</f>
        <v>0</v>
      </c>
      <c r="E70" s="273">
        <f>SUM(E59:E68)</f>
        <v>18578398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17817</v>
      </c>
      <c r="D74" s="295"/>
      <c r="E74" s="273">
        <f t="shared" si="1"/>
        <v>17817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481</v>
      </c>
      <c r="B76" s="8" t="s">
        <v>187</v>
      </c>
      <c r="C76" s="475"/>
      <c r="D76" s="295"/>
      <c r="E76" s="476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17817</v>
      </c>
      <c r="D80" s="251">
        <f>SUM(D73:D79)</f>
        <v>0</v>
      </c>
      <c r="E80" s="251">
        <f>SUM(E73:E79)</f>
        <v>17817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18596215</v>
      </c>
      <c r="D82" s="251">
        <f>D70+D80</f>
        <v>0</v>
      </c>
      <c r="E82" s="251">
        <f>E70+E80</f>
        <v>18596215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431</v>
      </c>
      <c r="B93" s="274"/>
      <c r="C93" s="251">
        <f>C80-C92</f>
        <v>17817</v>
      </c>
      <c r="D93" s="251">
        <f>D80-D92</f>
        <v>0</v>
      </c>
      <c r="E93" s="251">
        <f>E80-E92</f>
        <v>17817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17817</v>
      </c>
      <c r="D94" s="251">
        <f>D92+D93</f>
        <v>0</v>
      </c>
      <c r="E94" s="251">
        <f>E92+E93</f>
        <v>17817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0">
        <v>9148530</v>
      </c>
      <c r="D97" s="295"/>
      <c r="E97" s="273">
        <f>+C97-D97</f>
        <v>9148530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3003532</v>
      </c>
      <c r="D98" s="295"/>
      <c r="E98" s="273">
        <f>+C98-D98</f>
        <v>3003532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0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394</v>
      </c>
      <c r="B108" s="8"/>
      <c r="C108" s="254">
        <f>'TAXREC 3 No True-up'!C76</f>
        <v>9035466</v>
      </c>
      <c r="D108" s="254">
        <f>'TAXREC 3 No True-up'!D76</f>
        <v>0</v>
      </c>
      <c r="E108" s="273">
        <f t="shared" si="5"/>
        <v>9035466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>
        <v>410765</v>
      </c>
      <c r="D109" s="295"/>
      <c r="E109" s="284">
        <f t="shared" si="5"/>
        <v>410765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84731</v>
      </c>
      <c r="D111" s="251">
        <f>'TAXREC 2'!D120</f>
        <v>0</v>
      </c>
      <c r="E111" s="251">
        <f>'TAXREC 2'!E120</f>
        <v>84731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21683024</v>
      </c>
      <c r="D113" s="251">
        <f>SUM(D97:D111)</f>
        <v>0</v>
      </c>
      <c r="E113" s="251">
        <f>SUM(E97:E111)</f>
        <v>21683024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21683024</v>
      </c>
      <c r="D122" s="251">
        <f>D113+D120</f>
        <v>0</v>
      </c>
      <c r="E122" s="251">
        <f>+E113+E120</f>
        <v>21683024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3092539</v>
      </c>
      <c r="D134" s="251">
        <f>D53+D82-D122</f>
        <v>0</v>
      </c>
      <c r="E134" s="251">
        <f>E53+E82-E122</f>
        <v>3092539</v>
      </c>
      <c r="F134" s="8"/>
      <c r="G134" s="30">
        <f>E134-3092539</f>
        <v>0</v>
      </c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>
        <f>G134/2</f>
        <v>0</v>
      </c>
      <c r="H135" s="45"/>
      <c r="I135" s="480"/>
      <c r="J135" s="45"/>
      <c r="K135" s="45"/>
    </row>
    <row r="136" spans="1:11" ht="12.75">
      <c r="A136" s="12" t="s">
        <v>374</v>
      </c>
      <c r="B136" s="8" t="s">
        <v>188</v>
      </c>
      <c r="C136" s="490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375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3092539</v>
      </c>
      <c r="D139" s="252">
        <f>D134-D136-D137-D138</f>
        <v>0</v>
      </c>
      <c r="E139" s="252">
        <f>E134-E136-E137-E138</f>
        <v>3092539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187</v>
      </c>
      <c r="C142" s="491">
        <v>807771</v>
      </c>
      <c r="D142" s="299"/>
      <c r="E142" s="252">
        <f>C142-D142</f>
        <v>807771</v>
      </c>
      <c r="F142" s="8"/>
      <c r="G142" s="45" t="s">
        <v>494</v>
      </c>
      <c r="H142" s="45"/>
      <c r="I142" s="45"/>
      <c r="J142" s="45"/>
      <c r="K142" s="45"/>
    </row>
    <row r="143" spans="1:11" ht="12.75">
      <c r="A143" s="46" t="s">
        <v>320</v>
      </c>
      <c r="B143" s="8" t="s">
        <v>187</v>
      </c>
      <c r="C143" s="491">
        <f>386642+56053</f>
        <v>442695</v>
      </c>
      <c r="D143" s="299"/>
      <c r="E143" s="293">
        <f>C143-D143</f>
        <v>442695</v>
      </c>
      <c r="F143" s="8"/>
      <c r="G143" s="45" t="s">
        <v>494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1250466</v>
      </c>
      <c r="D144" s="252">
        <f>D142+D143</f>
        <v>0</v>
      </c>
      <c r="E144" s="252">
        <f>E142+E143</f>
        <v>1250466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1250466</v>
      </c>
      <c r="D146" s="252">
        <f>D144-D145</f>
        <v>0</v>
      </c>
      <c r="E146" s="252">
        <f>E144-E145</f>
        <v>1250466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405">
        <f>C142/C139</f>
        <v>0.261199939596558</v>
      </c>
      <c r="D149" s="5"/>
      <c r="E149" s="502">
        <f>C149</f>
        <v>0.261199939596558</v>
      </c>
      <c r="F149" s="8"/>
      <c r="G149" s="45" t="s">
        <v>468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05">
        <v>0.125</v>
      </c>
      <c r="D150" s="5"/>
      <c r="E150" s="502">
        <f>C150</f>
        <v>0.125</v>
      </c>
      <c r="F150" s="8"/>
      <c r="G150" s="45" t="s">
        <v>469</v>
      </c>
      <c r="H150" s="45"/>
      <c r="I150" s="45"/>
      <c r="J150" s="45"/>
      <c r="K150" s="45"/>
    </row>
    <row r="151" spans="1:11" ht="12.75">
      <c r="A151" t="s">
        <v>329</v>
      </c>
      <c r="B151" s="8"/>
      <c r="C151" s="504">
        <f>SUM(C149:C150)</f>
        <v>0.386199939596558</v>
      </c>
      <c r="D151" s="479" t="s">
        <v>489</v>
      </c>
      <c r="E151" s="504">
        <f>SUM(E149:E150)</f>
        <v>0.386199939596558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486</v>
      </c>
      <c r="B155" s="8"/>
    </row>
    <row r="156" spans="1:5" ht="12.75">
      <c r="A156" t="s">
        <v>219</v>
      </c>
      <c r="B156" s="86" t="s">
        <v>187</v>
      </c>
      <c r="C156" s="251">
        <f>C146</f>
        <v>1250466</v>
      </c>
      <c r="D156" s="251">
        <f>D146</f>
        <v>0</v>
      </c>
      <c r="E156" s="251">
        <f>E146</f>
        <v>1250466</v>
      </c>
    </row>
    <row r="157" spans="1:5" ht="12.75">
      <c r="A157" t="s">
        <v>20</v>
      </c>
      <c r="B157" s="86" t="s">
        <v>187</v>
      </c>
      <c r="C157" s="492">
        <v>818734</v>
      </c>
      <c r="D157" s="251"/>
      <c r="E157" s="251">
        <f>C157+D157</f>
        <v>818734</v>
      </c>
    </row>
    <row r="158" spans="1:5" ht="12.75">
      <c r="A158" t="s">
        <v>218</v>
      </c>
      <c r="B158" s="86" t="s">
        <v>187</v>
      </c>
      <c r="C158" s="492">
        <v>609643</v>
      </c>
      <c r="D158" s="251"/>
      <c r="E158" s="251">
        <f>C158+D158</f>
        <v>609643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1">
        <f>C156+C157+C158</f>
        <v>2678843</v>
      </c>
      <c r="D160" s="251">
        <f>D156+D157+D158</f>
        <v>0</v>
      </c>
      <c r="E160" s="251">
        <f>E156+E157+E158</f>
        <v>2678843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30">
      <selection activeCell="C56" sqref="C56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271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279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5"/>
      <c r="D15" s="295"/>
      <c r="E15" s="251">
        <f t="shared" si="0"/>
        <v>0</v>
      </c>
    </row>
    <row r="16" spans="1:5" ht="12.75">
      <c r="A16" s="61" t="s">
        <v>281</v>
      </c>
      <c r="B16" s="61"/>
      <c r="C16" s="295"/>
      <c r="D16" s="295"/>
      <c r="E16" s="251">
        <f t="shared" si="0"/>
        <v>0</v>
      </c>
    </row>
    <row r="17" spans="1:5" ht="12.75">
      <c r="A17" s="61" t="s">
        <v>282</v>
      </c>
      <c r="B17" s="61"/>
      <c r="C17" s="295"/>
      <c r="D17" s="295"/>
      <c r="E17" s="251">
        <f t="shared" si="0"/>
        <v>0</v>
      </c>
    </row>
    <row r="18" spans="1:5" ht="12.75">
      <c r="A18" s="61" t="s">
        <v>448</v>
      </c>
      <c r="B18" s="61"/>
      <c r="C18" s="295"/>
      <c r="D18" s="295"/>
      <c r="E18" s="251">
        <f t="shared" si="0"/>
        <v>0</v>
      </c>
    </row>
    <row r="19" spans="1:5" ht="12.75">
      <c r="A19" s="61" t="s">
        <v>448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279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5"/>
      <c r="D27" s="295"/>
      <c r="E27" s="251">
        <f t="shared" si="1"/>
        <v>0</v>
      </c>
    </row>
    <row r="28" spans="1:5" ht="12.75">
      <c r="A28" s="61" t="s">
        <v>281</v>
      </c>
      <c r="B28" s="61"/>
      <c r="C28" s="295"/>
      <c r="D28" s="295"/>
      <c r="E28" s="251">
        <f t="shared" si="1"/>
        <v>0</v>
      </c>
    </row>
    <row r="29" spans="1:5" ht="12.75">
      <c r="A29" s="61" t="s">
        <v>282</v>
      </c>
      <c r="B29" s="61"/>
      <c r="C29" s="295"/>
      <c r="D29" s="295"/>
      <c r="E29" s="251">
        <f t="shared" si="1"/>
        <v>0</v>
      </c>
    </row>
    <row r="30" spans="1:5" ht="12.75">
      <c r="A30" s="61" t="s">
        <v>448</v>
      </c>
      <c r="B30" s="61"/>
      <c r="C30" s="295"/>
      <c r="D30" s="295"/>
      <c r="E30" s="251">
        <f t="shared" si="1"/>
        <v>0</v>
      </c>
    </row>
    <row r="31" spans="1:5" ht="12.75">
      <c r="A31" s="61" t="s">
        <v>448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5"/>
      <c r="D43" s="295"/>
      <c r="E43" s="251">
        <f t="shared" si="2"/>
        <v>0</v>
      </c>
    </row>
    <row r="44" spans="1:5" ht="12.75">
      <c r="A44" s="61" t="s">
        <v>266</v>
      </c>
      <c r="B44" s="61"/>
      <c r="C44" s="295"/>
      <c r="D44" s="295"/>
      <c r="E44" s="251">
        <f t="shared" si="2"/>
        <v>0</v>
      </c>
    </row>
    <row r="45" spans="1:5" ht="12.75">
      <c r="A45" s="61" t="s">
        <v>267</v>
      </c>
      <c r="B45" s="61"/>
      <c r="C45" s="295"/>
      <c r="D45" s="295"/>
      <c r="E45" s="251">
        <f t="shared" si="2"/>
        <v>0</v>
      </c>
    </row>
    <row r="46" spans="1:5" ht="12.75">
      <c r="A46" s="61" t="s">
        <v>268</v>
      </c>
      <c r="B46" s="61"/>
      <c r="C46" s="295"/>
      <c r="D46" s="295"/>
      <c r="E46" s="251">
        <f t="shared" si="2"/>
        <v>0</v>
      </c>
    </row>
    <row r="47" spans="1:5" ht="12.75">
      <c r="A47" s="61" t="s">
        <v>448</v>
      </c>
      <c r="B47" s="61"/>
      <c r="C47" s="295"/>
      <c r="D47" s="295"/>
      <c r="E47" s="251">
        <f t="shared" si="2"/>
        <v>0</v>
      </c>
    </row>
    <row r="48" spans="1:5" ht="12.75">
      <c r="A48" s="61" t="s">
        <v>448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5"/>
      <c r="D55" s="295"/>
      <c r="E55" s="251">
        <f t="shared" si="3"/>
        <v>0</v>
      </c>
    </row>
    <row r="56" spans="1:5" ht="12.75">
      <c r="A56" s="495" t="s">
        <v>497</v>
      </c>
      <c r="B56" s="61"/>
      <c r="C56" s="295">
        <v>144843</v>
      </c>
      <c r="D56" s="295"/>
      <c r="E56" s="251">
        <f t="shared" si="3"/>
        <v>144843</v>
      </c>
    </row>
    <row r="57" spans="1:5" ht="12.75">
      <c r="A57" s="246" t="s">
        <v>267</v>
      </c>
      <c r="B57" s="61"/>
      <c r="C57" s="295"/>
      <c r="D57" s="295"/>
      <c r="E57" s="251">
        <f t="shared" si="3"/>
        <v>0</v>
      </c>
    </row>
    <row r="58" spans="1:5" ht="12.75">
      <c r="A58" s="246" t="s">
        <v>268</v>
      </c>
      <c r="B58" s="61"/>
      <c r="C58" s="295"/>
      <c r="D58" s="295"/>
      <c r="E58" s="251">
        <f t="shared" si="3"/>
        <v>0</v>
      </c>
    </row>
    <row r="59" spans="1:5" ht="12.75">
      <c r="A59" s="61" t="s">
        <v>448</v>
      </c>
      <c r="B59" s="61"/>
      <c r="C59" s="295"/>
      <c r="D59" s="295"/>
      <c r="E59" s="251">
        <f t="shared" si="3"/>
        <v>0</v>
      </c>
    </row>
    <row r="60" spans="1:5" ht="12.75">
      <c r="A60" s="61" t="s">
        <v>448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144843</v>
      </c>
      <c r="D63" s="251">
        <f>SUM(D53:D61)</f>
        <v>0</v>
      </c>
      <c r="E63" s="251">
        <f>SUM(E53:E61)</f>
        <v>144843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90" zoomScaleNormal="90" zoomScalePageLayoutView="0" workbookViewId="0" topLeftCell="A1">
      <pane xSplit="1" ySplit="6" topLeftCell="B80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99" sqref="C9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465</v>
      </c>
      <c r="B5" s="8"/>
      <c r="C5" s="8" t="s">
        <v>2</v>
      </c>
      <c r="D5" s="8"/>
      <c r="E5" s="8"/>
      <c r="F5" s="8"/>
    </row>
    <row r="6" spans="1:6" ht="12.75">
      <c r="A6" s="415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238132.08900000004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251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449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479</v>
      </c>
      <c r="B36" t="s">
        <v>187</v>
      </c>
      <c r="C36" s="493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501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>
        <v>19450</v>
      </c>
      <c r="D82" s="295"/>
      <c r="E82" s="251">
        <f>C82-D82</f>
        <v>19450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490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6"/>
      <c r="B92" s="8" t="s">
        <v>188</v>
      </c>
      <c r="C92" s="295"/>
      <c r="D92" s="295"/>
      <c r="E92" s="251"/>
    </row>
    <row r="93" spans="1:5" ht="12.75">
      <c r="A93" s="496" t="s">
        <v>507</v>
      </c>
      <c r="B93" s="8" t="s">
        <v>188</v>
      </c>
      <c r="C93" s="295">
        <v>65281</v>
      </c>
      <c r="D93" s="295"/>
      <c r="E93" s="251">
        <f t="shared" si="5"/>
        <v>65281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490"/>
      <c r="D96" s="295"/>
      <c r="E96" s="251">
        <f t="shared" si="5"/>
        <v>0</v>
      </c>
    </row>
    <row r="97" spans="1:5" ht="12.75">
      <c r="A97" s="67" t="s">
        <v>500</v>
      </c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84731</v>
      </c>
      <c r="D99" s="251">
        <f>SUM(D82:D98)</f>
        <v>0</v>
      </c>
      <c r="E99" s="251">
        <f>SUM(E82:E98)</f>
        <v>84731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IF($E93&gt;$C$11,A93,"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84731</v>
      </c>
      <c r="D120" s="251">
        <f>D99-D119</f>
        <v>0</v>
      </c>
      <c r="E120" s="251">
        <f>E99-E119</f>
        <v>84731</v>
      </c>
    </row>
    <row r="121" spans="1:5" ht="12.75">
      <c r="A121" s="279" t="s">
        <v>171</v>
      </c>
      <c r="B121" s="274"/>
      <c r="C121" s="251">
        <f>C119+C120</f>
        <v>84731</v>
      </c>
      <c r="D121" s="251">
        <f>D119+D120</f>
        <v>0</v>
      </c>
      <c r="E121" s="251">
        <f>E119+E120</f>
        <v>84731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5"/>
  <sheetViews>
    <sheetView zoomScale="90" zoomScaleNormal="90" zoomScalePageLayoutView="0" workbookViewId="0" topLeftCell="A1">
      <pane xSplit="1" ySplit="8" topLeftCell="B6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7" activeCellId="1" sqref="C72 C6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384</v>
      </c>
      <c r="E3" s="92"/>
    </row>
    <row r="4" spans="1:6" ht="15.75">
      <c r="A4" s="459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387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453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390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391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454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389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388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432</v>
      </c>
      <c r="B32" t="s">
        <v>187</v>
      </c>
      <c r="C32" s="493"/>
      <c r="D32" s="296"/>
      <c r="E32" s="313">
        <f t="shared" si="0"/>
        <v>0</v>
      </c>
    </row>
    <row r="33" spans="1:5" ht="12.75">
      <c r="A33" s="67" t="s">
        <v>433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450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451</v>
      </c>
      <c r="C35" s="493"/>
      <c r="D35" s="296"/>
      <c r="E35" s="313">
        <f t="shared" si="0"/>
        <v>0</v>
      </c>
    </row>
    <row r="36" spans="1:5" ht="12.75">
      <c r="A36" s="67" t="s">
        <v>434</v>
      </c>
      <c r="C36" s="296"/>
      <c r="D36" s="296"/>
      <c r="E36" s="313">
        <f t="shared" si="0"/>
        <v>0</v>
      </c>
    </row>
    <row r="37" spans="1:5" ht="12.75">
      <c r="A37" s="67" t="s">
        <v>435</v>
      </c>
      <c r="C37" s="296"/>
      <c r="D37" s="296"/>
      <c r="E37" s="313">
        <f t="shared" si="0"/>
        <v>0</v>
      </c>
    </row>
    <row r="38" spans="1:5" ht="12.75">
      <c r="A38" s="67" t="s">
        <v>457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392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386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1:5" ht="12.75">
      <c r="A44" s="498" t="s">
        <v>499</v>
      </c>
      <c r="B44" t="s">
        <v>187</v>
      </c>
      <c r="C44" s="295">
        <v>3261</v>
      </c>
      <c r="D44" s="295"/>
      <c r="E44" s="251">
        <f t="shared" si="0"/>
        <v>3261</v>
      </c>
    </row>
    <row r="45" spans="1:5" ht="12.75">
      <c r="A45" s="497" t="s">
        <v>498</v>
      </c>
      <c r="B45" t="s">
        <v>187</v>
      </c>
      <c r="C45" s="295">
        <v>25920</v>
      </c>
      <c r="D45" s="295"/>
      <c r="E45" s="251">
        <f t="shared" si="0"/>
        <v>25920</v>
      </c>
    </row>
    <row r="46" spans="1:5" ht="12.75">
      <c r="A46" s="497" t="s">
        <v>503</v>
      </c>
      <c r="C46" s="295">
        <v>64024</v>
      </c>
      <c r="D46" s="295"/>
      <c r="E46" s="280"/>
    </row>
    <row r="47" spans="1:5" ht="12.75">
      <c r="A47" s="497" t="s">
        <v>504</v>
      </c>
      <c r="C47" s="295">
        <v>200000</v>
      </c>
      <c r="D47" s="295"/>
      <c r="E47" s="280"/>
    </row>
    <row r="48" spans="1:5" ht="12.75">
      <c r="A48" s="497" t="s">
        <v>505</v>
      </c>
      <c r="C48" s="295">
        <v>94577</v>
      </c>
      <c r="D48" s="295"/>
      <c r="E48" s="280"/>
    </row>
    <row r="49" spans="1:5" ht="12.75">
      <c r="A49" s="67"/>
      <c r="B49" t="s">
        <v>187</v>
      </c>
      <c r="C49" s="295"/>
      <c r="D49" s="295"/>
      <c r="E49" s="280"/>
    </row>
    <row r="50" spans="1:5" ht="12.75">
      <c r="A50" s="444" t="s">
        <v>396</v>
      </c>
      <c r="B50" t="s">
        <v>189</v>
      </c>
      <c r="C50" s="251">
        <f>SUM(C19:C49)</f>
        <v>387782</v>
      </c>
      <c r="D50" s="251">
        <f>SUM(D19:D49)</f>
        <v>0</v>
      </c>
      <c r="E50" s="251">
        <f>SUM(E19:E49)</f>
        <v>29181</v>
      </c>
    </row>
    <row r="51" ht="12.75">
      <c r="A51" s="67"/>
    </row>
    <row r="52" ht="12.75">
      <c r="A52" s="81" t="s">
        <v>145</v>
      </c>
    </row>
    <row r="54" spans="1:5" ht="12.75">
      <c r="A54" s="71" t="s">
        <v>387</v>
      </c>
      <c r="B54" s="8" t="s">
        <v>188</v>
      </c>
      <c r="C54" s="295"/>
      <c r="D54" s="295"/>
      <c r="E54" s="251">
        <f aca="true" t="shared" si="1" ref="E54:E64">C54-D54</f>
        <v>0</v>
      </c>
    </row>
    <row r="55" spans="1:5" ht="12.75">
      <c r="A55" s="67" t="s">
        <v>453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t="s">
        <v>388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t="s">
        <v>436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444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 t="s">
        <v>456</v>
      </c>
      <c r="B59" s="8" t="s">
        <v>188</v>
      </c>
      <c r="C59" s="295"/>
      <c r="D59" s="295"/>
      <c r="E59" s="251">
        <f t="shared" si="1"/>
        <v>0</v>
      </c>
    </row>
    <row r="60" spans="1:5" ht="12.75">
      <c r="A60" s="2" t="s">
        <v>452</v>
      </c>
      <c r="B60" s="8" t="s">
        <v>188</v>
      </c>
      <c r="C60" s="295"/>
      <c r="D60" s="295"/>
      <c r="E60" s="251">
        <f t="shared" si="1"/>
        <v>0</v>
      </c>
    </row>
    <row r="61" spans="1:5" ht="12.75">
      <c r="A61" s="67" t="s">
        <v>455</v>
      </c>
      <c r="B61" s="8" t="s">
        <v>188</v>
      </c>
      <c r="C61" s="295"/>
      <c r="D61" s="295"/>
      <c r="E61" s="251">
        <f t="shared" si="1"/>
        <v>0</v>
      </c>
    </row>
    <row r="62" spans="1:5" ht="12.75">
      <c r="A62" s="67"/>
      <c r="B62" s="8" t="s">
        <v>188</v>
      </c>
      <c r="C62" s="295"/>
      <c r="D62" s="295"/>
      <c r="E62" s="251">
        <f t="shared" si="1"/>
        <v>0</v>
      </c>
    </row>
    <row r="63" spans="2:5" ht="12.75">
      <c r="B63" s="8" t="s">
        <v>188</v>
      </c>
      <c r="C63" s="295"/>
      <c r="D63" s="295"/>
      <c r="E63" s="251">
        <f t="shared" si="1"/>
        <v>0</v>
      </c>
    </row>
    <row r="64" spans="2:5" ht="12.75">
      <c r="B64" s="8" t="s">
        <v>188</v>
      </c>
      <c r="C64" s="295"/>
      <c r="D64" s="295"/>
      <c r="E64" s="251">
        <f t="shared" si="1"/>
        <v>0</v>
      </c>
    </row>
    <row r="65" spans="2:5" ht="12.75">
      <c r="B65" s="8" t="s">
        <v>188</v>
      </c>
      <c r="C65" s="295"/>
      <c r="D65" s="295"/>
      <c r="E65" s="251">
        <f aca="true" t="shared" si="2" ref="E65:E75">C65-D65</f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463" t="s">
        <v>393</v>
      </c>
      <c r="B67" s="8" t="s">
        <v>188</v>
      </c>
      <c r="C67" s="295">
        <v>734</v>
      </c>
      <c r="D67" s="295"/>
      <c r="E67" s="251">
        <f t="shared" si="2"/>
        <v>734</v>
      </c>
    </row>
    <row r="68" spans="2:5" ht="12.75">
      <c r="B68" s="8" t="s">
        <v>188</v>
      </c>
      <c r="C68" s="295"/>
      <c r="D68" s="295"/>
      <c r="E68" s="251">
        <f t="shared" si="2"/>
        <v>0</v>
      </c>
    </row>
    <row r="69" spans="1:5" ht="12.75">
      <c r="A69" s="463" t="s">
        <v>386</v>
      </c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8" t="s">
        <v>205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505" t="s">
        <v>500</v>
      </c>
      <c r="B72" s="8" t="s">
        <v>188</v>
      </c>
      <c r="C72" s="295">
        <v>154670</v>
      </c>
      <c r="D72" s="295"/>
      <c r="E72" s="251">
        <f t="shared" si="2"/>
        <v>154670</v>
      </c>
    </row>
    <row r="73" spans="1:5" ht="12.75">
      <c r="A73" s="497" t="s">
        <v>501</v>
      </c>
      <c r="B73" s="8" t="s">
        <v>188</v>
      </c>
      <c r="C73" s="295">
        <v>8421505</v>
      </c>
      <c r="D73" s="295"/>
      <c r="E73" s="251">
        <f t="shared" si="2"/>
        <v>8421505</v>
      </c>
    </row>
    <row r="74" spans="1:5" ht="12.75">
      <c r="A74" s="497" t="s">
        <v>502</v>
      </c>
      <c r="B74" s="8" t="s">
        <v>188</v>
      </c>
      <c r="C74" s="295">
        <v>458557</v>
      </c>
      <c r="D74" s="295"/>
      <c r="E74" s="251">
        <f t="shared" si="2"/>
        <v>458557</v>
      </c>
    </row>
    <row r="75" spans="1:5" ht="12.75">
      <c r="A75" s="67"/>
      <c r="B75" s="8" t="s">
        <v>188</v>
      </c>
      <c r="C75" s="295"/>
      <c r="D75" s="295"/>
      <c r="E75" s="280">
        <f t="shared" si="2"/>
        <v>0</v>
      </c>
    </row>
    <row r="76" spans="1:5" ht="12.75">
      <c r="A76" s="443" t="s">
        <v>395</v>
      </c>
      <c r="B76" s="8" t="s">
        <v>189</v>
      </c>
      <c r="C76" s="251">
        <f>SUM(C54:C75)</f>
        <v>9035466</v>
      </c>
      <c r="D76" s="251">
        <f>SUM(D54:D75)</f>
        <v>0</v>
      </c>
      <c r="E76" s="251">
        <f>SUM(E54:E75)</f>
        <v>9035466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39">
      <selection activeCell="C57" sqref="C5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4" t="s">
        <v>490</v>
      </c>
      <c r="B8" s="515"/>
      <c r="C8" s="515"/>
      <c r="D8" s="515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467</v>
      </c>
      <c r="B10" s="327"/>
      <c r="C10" s="376" t="s">
        <v>111</v>
      </c>
      <c r="D10" s="376"/>
      <c r="E10" s="376" t="s">
        <v>111</v>
      </c>
      <c r="F10" s="377" t="s">
        <v>491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6" t="s">
        <v>471</v>
      </c>
      <c r="C21" s="362">
        <f>5000000*REGINFO!D21</f>
        <v>100000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331</v>
      </c>
      <c r="B22" s="407" t="s">
        <v>472</v>
      </c>
      <c r="C22" s="363">
        <f>10000000*REGINFO!D22</f>
        <v>300000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8" t="s">
        <v>492</v>
      </c>
      <c r="B23" s="509"/>
      <c r="C23" s="509"/>
      <c r="D23" s="509"/>
      <c r="E23" s="509"/>
      <c r="F23" s="509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6" t="s">
        <v>485</v>
      </c>
      <c r="B26" s="517"/>
      <c r="C26" s="517"/>
      <c r="D26" s="517"/>
      <c r="E26" s="517"/>
      <c r="F26" s="51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70" t="s">
        <v>111</v>
      </c>
      <c r="D28" s="370"/>
      <c r="E28" s="370" t="s">
        <v>111</v>
      </c>
      <c r="F28" s="371" t="s">
        <v>491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09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09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482</v>
      </c>
      <c r="B39" s="406" t="s">
        <v>471</v>
      </c>
      <c r="C39" s="362">
        <f>5000000*REGINFO!D21</f>
        <v>100000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483</v>
      </c>
      <c r="B40" s="407" t="s">
        <v>472</v>
      </c>
      <c r="C40" s="363">
        <f>10000000*REGINFO!D22</f>
        <v>300000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0" t="s">
        <v>333</v>
      </c>
      <c r="B41" s="509"/>
      <c r="C41" s="509"/>
      <c r="D41" s="509"/>
      <c r="E41" s="509"/>
      <c r="F41" s="50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1"/>
      <c r="B42" s="511"/>
      <c r="C42" s="511"/>
      <c r="D42" s="511"/>
      <c r="E42" s="511"/>
      <c r="F42" s="51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484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491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>
        <v>0.1312</v>
      </c>
      <c r="D50" s="352"/>
      <c r="E50" s="353">
        <v>0.2212</v>
      </c>
      <c r="F50" s="353">
        <f>TAXREC!C149</f>
        <v>0.261199939596558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0.386199939596558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348</v>
      </c>
      <c r="B57" s="406" t="s">
        <v>471</v>
      </c>
      <c r="C57" s="499">
        <v>143455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349</v>
      </c>
      <c r="B58" s="407" t="s">
        <v>472</v>
      </c>
      <c r="C58" s="500">
        <v>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8" t="s">
        <v>350</v>
      </c>
      <c r="B59" s="512"/>
      <c r="C59" s="512"/>
      <c r="D59" s="512"/>
      <c r="E59" s="512"/>
      <c r="F59" s="51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3"/>
      <c r="B60" s="513"/>
      <c r="C60" s="513"/>
      <c r="D60" s="513"/>
      <c r="E60" s="513"/>
      <c r="F60" s="51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B6">
      <selection activeCell="M15" sqref="M15: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Hydro One Brampton Networks Inc.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319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397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439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5.5">
      <c r="A14" s="81" t="s">
        <v>398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399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-782603.3493195764</v>
      </c>
      <c r="N15" s="392"/>
      <c r="O15" s="397">
        <f t="shared" si="0"/>
        <v>-782603.3493195764</v>
      </c>
    </row>
    <row r="16" spans="1:15" ht="27" customHeight="1">
      <c r="A16" s="81" t="s">
        <v>400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401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-0.029185076366548296</v>
      </c>
      <c r="N17" s="392"/>
      <c r="O17" s="397">
        <f t="shared" si="0"/>
        <v>-0.029185076366548296</v>
      </c>
    </row>
    <row r="18" spans="1:15" ht="25.5">
      <c r="A18" s="81" t="s">
        <v>402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7" t="s">
        <v>403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470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373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-782603.3785046528</v>
      </c>
      <c r="N22" s="391"/>
      <c r="O22" s="445">
        <f>SUM(O11:O20)</f>
        <v>-782603.3785046528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404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405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406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407</v>
      </c>
      <c r="B31" s="80"/>
      <c r="C31" s="80"/>
      <c r="D31" s="80"/>
      <c r="E31" s="80"/>
      <c r="F31" s="80"/>
      <c r="G31" s="80"/>
      <c r="H31" s="80"/>
      <c r="I31" s="442"/>
      <c r="J31" s="442"/>
      <c r="K31" s="442"/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19" t="s">
        <v>408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420"/>
      <c r="Q33" s="420"/>
      <c r="R33" s="420"/>
      <c r="S33" s="420"/>
    </row>
    <row r="34" spans="1:19" ht="12.75">
      <c r="A34" s="518" t="s">
        <v>409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420"/>
      <c r="Q34" s="420"/>
      <c r="R34" s="420"/>
      <c r="S34" s="420"/>
    </row>
    <row r="35" spans="1:19" ht="12.75">
      <c r="A35" s="518" t="s">
        <v>430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420"/>
      <c r="Q35" s="420"/>
      <c r="R35" s="420"/>
      <c r="S35" s="420"/>
    </row>
    <row r="36" spans="1:19" ht="12.75">
      <c r="A36" s="518" t="s">
        <v>410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420"/>
      <c r="Q36" s="420"/>
      <c r="R36" s="420"/>
      <c r="S36" s="420"/>
    </row>
    <row r="37" spans="1:19" ht="12.75">
      <c r="A37" s="432" t="s">
        <v>370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371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411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412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413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414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415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416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417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418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419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416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420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421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422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423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424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380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425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426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382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381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383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427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428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429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8" t="s">
        <v>459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</row>
    <row r="75" spans="1:15" ht="12.75">
      <c r="A75" s="429" t="s">
        <v>372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2010-08-24T19:37:30Z</cp:lastPrinted>
  <dcterms:created xsi:type="dcterms:W3CDTF">2001-11-07T16:15:53Z</dcterms:created>
  <dcterms:modified xsi:type="dcterms:W3CDTF">2011-11-08T14:34:23Z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