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<sst xmlns="http://schemas.openxmlformats.org/spreadsheetml/2006/main" count="873" uniqueCount="499">
  <si>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</si>
  <si>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</si>
  <si>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</si>
  <si>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</si>
  <si>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</si>
  <si>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</si>
  <si>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</si>
  <si>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</si>
  <si>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</si>
  <si>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</si>
  <si>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</si>
  <si>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</si>
  <si>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</si>
  <si>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</si>
  <si>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</si>
  <si>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</si>
  <si>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</si>
  <si>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</si>
  <si>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</si>
  <si>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</si>
  <si>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</si>
  <si>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</si>
  <si>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</si>
  <si>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</si>
  <si>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</si>
  <si>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</si>
  <si>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</si>
  <si>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</si>
  <si>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</si>
  <si>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</si>
  <si>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</si>
  <si>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</si>
  <si>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</si>
  <si>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</si>
  <si>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</si>
  <si>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</si>
  <si>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</si>
  <si>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</si>
  <si>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</si>
  <si>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</si>
  <si>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</si>
  <si>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</si>
  <si>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</si>
  <si>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</si>
  <si>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</si>
  <si>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</si>
  <si>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</si>
  <si>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</si>
  <si>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</si>
  <si>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</si>
  <si>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</si>
  <si>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</si>
  <si>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</si>
  <si>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</si>
  <si>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</si>
  <si>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</si>
  <si>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</si>
  <si>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</si>
  <si>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</si>
  <si>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</si>
  <si>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</si>
  <si>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</si>
  <si>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</si>
  <si>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</si>
  <si>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</si>
  <si>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</si>
  <si>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</si>
  <si>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</si>
  <si>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</si>
  <si>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</si>
  <si>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</si>
  <si>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</si>
  <si>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</si>
  <si>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</si>
  <si>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</si>
  <si>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</si>
  <si>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</si>
  <si>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</si>
  <si>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</si>
  <si>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</si>
  <si>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</si>
  <si>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</si>
  <si>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</si>
  <si>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</si>
  <si>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</si>
  <si>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</si>
  <si>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</si>
  <si>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</si>
  <si>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</si>
  <si>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</si>
  <si>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</si>
  <si>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</si>
  <si>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</si>
  <si>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</si>
  <si>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</si>
  <si>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</si>
  <si>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</si>
  <si>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</si>
  <si>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</si>
  <si>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</si>
  <si>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</si>
  <si>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</si>
  <si>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</si>
  <si>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</si>
  <si>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</si>
  <si>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</si>
  <si>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</si>
  <si>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</si>
  <si>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</si>
  <si>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</si>
  <si>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</si>
  <si>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</si>
  <si>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</si>
  <si>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</si>
  <si>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</si>
  <si>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</si>
  <si>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</si>
  <si>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</si>
  <si>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</si>
  <si>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</si>
  <si>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</si>
  <si>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</si>
  <si>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</si>
  <si>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</si>
  <si>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</si>
  <si>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</si>
  <si>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</si>
  <si>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</si>
  <si>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</si>
  <si>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</si>
  <si>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</si>
  <si>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</si>
  <si>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</si>
  <si>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</si>
  <si>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</si>
  <si>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</si>
  <si>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</si>
  <si>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</si>
  <si>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</si>
  <si>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</si>
  <si>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</si>
  <si>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</si>
  <si>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</si>
  <si>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</si>
  <si>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</si>
  <si>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</si>
  <si>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</si>
  <si>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</si>
  <si>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</si>
  <si>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</si>
  <si>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</si>
  <si>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</si>
  <si>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</si>
  <si>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</si>
  <si>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</si>
  <si>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</si>
  <si>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</si>
  <si>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</si>
  <si>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</si>
  <si>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</si>
  <si>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</si>
  <si>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</si>
  <si>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</si>
  <si>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</si>
  <si>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</si>
  <si>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</si>
  <si>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</si>
  <si>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</si>
  <si>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</si>
  <si>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</si>
  <si>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</si>
  <si>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</si>
  <si>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</si>
  <si>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</si>
  <si>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</si>
  <si>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</si>
  <si>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</si>
  <si>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</si>
  <si>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</si>
  <si>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</si>
  <si>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</si>
  <si>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</si>
  <si>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</si>
  <si>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</si>
  <si>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</si>
  <si>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</si>
  <si>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</si>
  <si>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</si>
  <si>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</si>
  <si>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</si>
  <si>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</si>
  <si>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</si>
  <si>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</si>
  <si>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</si>
  <si>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</si>
  <si>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</si>
  <si>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</si>
  <si>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</si>
  <si>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</si>
  <si>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</si>
  <si>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</si>
  <si>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</si>
  <si>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</si>
  <si>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</si>
  <si>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</si>
  <si>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</si>
  <si>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</si>
  <si>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</si>
  <si>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</si>
  <si>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</si>
  <si>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</si>
  <si>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</si>
  <si>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</si>
  <si>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</si>
  <si>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</si>
  <si>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</si>
  <si>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</si>
  <si>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</si>
  <si>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</si>
  <si>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</si>
  <si>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</si>
  <si>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</si>
  <si>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</si>
  <si>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</si>
  <si>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</si>
  <si>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</si>
  <si>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</si>
  <si>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</si>
  <si>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</si>
  <si>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</si>
  <si>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</si>
  <si>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</si>
  <si>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</si>
  <si>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</si>
  <si>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</si>
  <si>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</si>
  <si>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</si>
  <si>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</si>
  <si>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</si>
  <si>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</si>
  <si>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</si>
  <si>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</si>
  <si>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</si>
  <si>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</si>
  <si>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</si>
  <si>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</si>
  <si>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</si>
  <si>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</si>
  <si>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</si>
  <si>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</si>
  <si>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</si>
  <si>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</si>
  <si>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</si>
  <si>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</si>
  <si>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</si>
  <si>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</si>
  <si>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</si>
  <si>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</si>
  <si>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</si>
  <si>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</si>
  <si>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</si>
  <si>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</si>
  <si>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</si>
  <si>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</si>
  <si>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</si>
  <si>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</si>
  <si>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</si>
  <si>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</si>
  <si>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</si>
  <si>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</si>
  <si>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</si>
  <si>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</si>
  <si>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</si>
  <si>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</si>
  <si>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</si>
  <si>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</si>
  <si>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</si>
  <si>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</si>
  <si>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</si>
  <si>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</si>
  <si>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</si>
  <si>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</si>
  <si>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</si>
  <si>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</si>
  <si>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</si>
  <si>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</si>
  <si>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</si>
  <si>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</si>
  <si>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</si>
  <si>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</si>
  <si>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</si>
  <si>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</si>
  <si>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</si>
  <si>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</si>
  <si>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</si>
  <si>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</si>
  <si>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</si>
  <si>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</si>
  <si>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</si>
  <si>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</si>
  <si>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</si>
  <si>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</si>
  <si>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</si>
  <si>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</si>
  <si>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</si>
  <si>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</si>
  <si>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</si>
  <si>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</si>
  <si>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</si>
  <si>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</si>
  <si>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</si>
  <si>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</si>
  <si>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</si>
  <si>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</si>
  <si>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</si>
  <si>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</si>
  <si>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</si>
  <si>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</si>
  <si>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</si>
  <si>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</si>
  <si>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</si>
  <si>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</si>
  <si>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</si>
  <si>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</si>
  <si>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</si>
  <si>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</si>
  <si>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</si>
  <si>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</si>
  <si>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</si>
  <si>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</si>
  <si>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</si>
  <si>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</si>
  <si>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</si>
  <si>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</si>
  <si>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</si>
  <si>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</si>
  <si>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</si>
  <si>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</si>
  <si>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</si>
  <si>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</si>
  <si>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</si>
  <si>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</si>
  <si>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</si>
  <si>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</si>
  <si>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</si>
  <si>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</si>
  <si>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</si>
  <si>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</si>
  <si>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</si>
  <si>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</si>
  <si>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</si>
  <si>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</si>
  <si>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</si>
  <si>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</si>
  <si>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</si>
  <si>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</si>
  <si>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</si>
  <si>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</si>
  <si>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</si>
  <si>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</si>
  <si>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</si>
  <si>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</si>
  <si>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</si>
  <si>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</si>
  <si>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</si>
  <si>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</si>
  <si>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</si>
  <si>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</si>
  <si>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</si>
  <si>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</si>
  <si>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</si>
  <si>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</si>
  <si>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</si>
  <si>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</si>
  <si>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</si>
  <si>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</si>
  <si>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</si>
  <si>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</si>
  <si>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</si>
  <si>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</si>
  <si>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</si>
  <si>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</si>
  <si>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</si>
  <si>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</si>
  <si>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</si>
  <si>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</si>
  <si>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</si>
  <si>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</si>
  <si>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</si>
  <si>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</si>
  <si>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</si>
  <si>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</si>
  <si>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</si>
  <si>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</si>
  <si>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</si>
  <si>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</si>
  <si>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</si>
  <si>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</si>
  <si>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</si>
  <si>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</si>
  <si>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</si>
  <si>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</si>
  <si>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</si>
  <si>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</si>
  <si>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</si>
  <si>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</si>
  <si>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</si>
  <si>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</si>
  <si>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</si>
  <si>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</si>
  <si>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</si>
  <si>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</si>
  <si>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</si>
  <si>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</si>
  <si>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</si>
  <si>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</si>
  <si>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</si>
  <si>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</si>
  <si>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</si>
  <si>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</si>
  <si>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</si>
  <si>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</si>
  <si>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</si>
  <si>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</si>
  <si>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</si>
  <si>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</si>
  <si>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</si>
  <si>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</si>
  <si>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</si>
  <si>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</si>
  <si>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</si>
  <si>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</si>
  <si>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</si>
  <si>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</si>
  <si>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</si>
  <si>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</si>
  <si>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</si>
  <si>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</si>
  <si>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</si>
  <si>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</si>
  <si>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</si>
  <si>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</si>
  <si>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</si>
  <si>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</si>
  <si>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</si>
  <si>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</si>
  <si>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</si>
  <si>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</si>
  <si>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</si>
  <si>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</si>
  <si>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</si>
  <si>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</si>
  <si>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</si>
  <si>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</si>
  <si>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</si>
  <si>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</si>
  <si>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</si>
  <si>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</si>
  <si>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</si>
  <si>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</si>
  <si>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</si>
  <si>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</si>
  <si>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</si>
  <si>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</si>
  <si>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</si>
  <si>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</si>
  <si>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</si>
  <si>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</si>
  <si>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</si>
  <si>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</si>
  <si>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</si>
  <si>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</si>
  <si>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</si>
  <si>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</si>
  <si>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</si>
  <si>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</si>
  <si>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</si>
  <si>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</si>
  <si>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</si>
  <si>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</si>
  <si>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</si>
  <si>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</si>
  <si>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</si>
  <si>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</si>
  <si>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</si>
  <si>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</si>
  <si>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</si>
  <si>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</si>
  <si>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PILs TAXES - EB-2010-</t>
  </si>
  <si>
    <t>Utility Name: Hydro One Brampton Networks Inc.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</si>
  <si>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</si>
  <si>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</si>
  <si>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</si>
  <si>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</si>
  <si>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>Total deemed interest  (REGINFO CELL D62)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</si>
  <si>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</si>
  <si>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</si>
  <si>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</si>
  <si>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r>
      <t xml:space="preserve">Income Tax Rate (including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</si>
</sst>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44" borderId="0" xfId="0" applyNumberFormat="1" applyFill="1" applyAlignment="1">
      <alignment horizontal="center" vertical="top"/>
    </xf>
    <xf numFmtId="1" fontId="0" fillId="37" borderId="14" xfId="0" applyNumberFormat="1" applyFill="1" applyBorder="1" applyAlignment="1" applyProtection="1">
      <alignment horizontal="center" vertical="top"/>
      <protection locked="0"/>
    </xf>
    <xf numFmtId="1" fontId="0" fillId="36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1" fontId="0" fillId="36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488</v>
      </c>
      <c r="C1" s="8"/>
      <c r="E1" s="2" t="s">
        <v>453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489</v>
      </c>
      <c r="C3" s="8"/>
      <c r="D3" s="449" t="s">
        <v>439</v>
      </c>
      <c r="E3" s="8"/>
      <c r="F3" s="8"/>
      <c r="G3" s="8"/>
      <c r="H3" s="8"/>
    </row>
    <row r="4" spans="1:8" ht="12.75">
      <c r="A4" s="2" t="s">
        <v>464</v>
      </c>
      <c r="C4" s="8"/>
      <c r="D4" s="448" t="s">
        <v>434</v>
      </c>
      <c r="E4" s="423"/>
      <c r="H4" s="8"/>
    </row>
    <row r="5" spans="1:8" ht="12.75">
      <c r="A5" s="52"/>
      <c r="C5" s="8"/>
      <c r="D5" s="447" t="s">
        <v>435</v>
      </c>
      <c r="E5" s="398"/>
      <c r="H5" s="8"/>
    </row>
    <row r="6" spans="1:8" ht="12.75">
      <c r="A6" s="2" t="s">
        <v>126</v>
      </c>
      <c r="B6" s="478">
        <v>152.083333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89" t="s">
        <v>310</v>
      </c>
      <c r="C18" s="8"/>
      <c r="D18" s="8"/>
    </row>
    <row r="19" spans="1:4" ht="15" customHeight="1">
      <c r="A19" s="499" t="s">
        <v>311</v>
      </c>
      <c r="B19" s="8" t="s">
        <v>308</v>
      </c>
      <c r="C19" s="8" t="s">
        <v>64</v>
      </c>
      <c r="D19" s="388"/>
    </row>
    <row r="20" spans="1:4" ht="13.5" thickBot="1">
      <c r="A20" s="500"/>
      <c r="B20" s="8" t="s">
        <v>309</v>
      </c>
      <c r="C20" s="8" t="s">
        <v>64</v>
      </c>
      <c r="D20" s="258"/>
    </row>
    <row r="21" spans="1:4" ht="12.75">
      <c r="A21" s="499" t="s">
        <v>307</v>
      </c>
      <c r="B21" s="8" t="s">
        <v>308</v>
      </c>
      <c r="C21" s="8"/>
      <c r="D21" s="482">
        <v>0.02</v>
      </c>
    </row>
    <row r="22" spans="1:4" ht="12.75">
      <c r="A22" s="499"/>
      <c r="B22" s="8" t="s">
        <v>309</v>
      </c>
      <c r="C22" s="8"/>
      <c r="D22" s="482">
        <v>0.03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1" t="s">
        <v>465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293</v>
      </c>
    </row>
    <row r="27" spans="1:5" ht="12.75">
      <c r="A27" s="256" t="s">
        <v>68</v>
      </c>
      <c r="C27" s="8"/>
      <c r="E27" s="439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473">
        <v>211672968</v>
      </c>
      <c r="H31" s="5"/>
    </row>
    <row r="32" ht="6" customHeight="1"/>
    <row r="33" spans="1:8" ht="12.75">
      <c r="A33" t="s">
        <v>71</v>
      </c>
      <c r="D33" s="47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2">
        <v>0.0988</v>
      </c>
      <c r="H37" s="41"/>
    </row>
    <row r="38" ht="4.5" customHeight="1">
      <c r="H38" s="34"/>
    </row>
    <row r="39" spans="1:8" ht="12.75">
      <c r="A39" t="s">
        <v>74</v>
      </c>
      <c r="D39" s="47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7853867</v>
      </c>
      <c r="E43" s="387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74">
        <v>3235507</v>
      </c>
      <c r="E47" s="387">
        <f aca="true" t="shared" si="0" ref="E47:E53">D47</f>
        <v>3235507</v>
      </c>
      <c r="H47" s="40"/>
      <c r="J47" s="5"/>
      <c r="K47" s="5"/>
    </row>
    <row r="48" spans="1:11" ht="12.75">
      <c r="A48" t="s">
        <v>286</v>
      </c>
      <c r="D48" s="474">
        <v>3235507</v>
      </c>
      <c r="E48" s="387">
        <v>0</v>
      </c>
      <c r="F48" s="22"/>
      <c r="H48" s="40"/>
      <c r="J48" s="5"/>
      <c r="K48" s="5"/>
    </row>
    <row r="49" spans="1:11" ht="12.75">
      <c r="A49" t="s">
        <v>287</v>
      </c>
      <c r="D49" s="475"/>
      <c r="E49" s="387">
        <v>0</v>
      </c>
      <c r="F49" s="22"/>
      <c r="H49" s="40"/>
      <c r="J49" s="5"/>
      <c r="K49" s="5"/>
    </row>
    <row r="50" spans="1:11" ht="12.75">
      <c r="A50" t="s">
        <v>288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431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454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11089374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440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02">
      <selection activeCell="E122" sqref="E12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456</v>
      </c>
      <c r="H1" s="210"/>
    </row>
    <row r="2" spans="1:8" ht="12.75">
      <c r="A2" s="211" t="s">
        <v>455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487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9">
        <f>REGINFO!B6</f>
        <v>152.083333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60">
        <f>REGINFO!E54/12*5</f>
        <v>4620572.5</v>
      </c>
      <c r="D16" s="17"/>
      <c r="E16" s="268">
        <f>G16-C16</f>
        <v>400455.5</v>
      </c>
      <c r="F16" s="3"/>
      <c r="G16" s="268">
        <f>TAXREC!E50</f>
        <v>5021028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76">
        <v>3808703</v>
      </c>
      <c r="D20" s="18"/>
      <c r="E20" s="268">
        <f>G20-C20</f>
        <v>952405</v>
      </c>
      <c r="F20" s="6"/>
      <c r="G20" s="268">
        <f>TAXREC!E61</f>
        <v>4761108</v>
      </c>
      <c r="H20" s="151"/>
    </row>
    <row r="21" spans="1:8" ht="12.75">
      <c r="A21" s="158" t="s">
        <v>56</v>
      </c>
      <c r="B21" s="127">
        <v>3</v>
      </c>
      <c r="C21" s="262">
        <v>109583</v>
      </c>
      <c r="D21" s="18"/>
      <c r="E21" s="268">
        <f>G21-C21</f>
        <v>10417</v>
      </c>
      <c r="F21" s="6"/>
      <c r="G21" s="268">
        <f>TAXREC!E62</f>
        <v>120000</v>
      </c>
      <c r="H21" s="151"/>
    </row>
    <row r="22" spans="1:8" ht="12.75">
      <c r="A22" s="158" t="s">
        <v>260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259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261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45989</v>
      </c>
      <c r="F27" s="6"/>
      <c r="G27" s="268">
        <f>TAXREC!E93</f>
        <v>45989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387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76">
        <v>1542156</v>
      </c>
      <c r="D33" s="132"/>
      <c r="E33" s="268">
        <f aca="true" t="shared" si="0" ref="E33:E42">G33-C33</f>
        <v>3243151</v>
      </c>
      <c r="F33" s="6"/>
      <c r="G33" s="268">
        <f>TAXREC!E97+TAXREC!E98</f>
        <v>4785307</v>
      </c>
      <c r="H33" s="151"/>
    </row>
    <row r="34" spans="1:8" ht="12.75">
      <c r="A34" s="158" t="s">
        <v>57</v>
      </c>
      <c r="B34" s="127">
        <v>8</v>
      </c>
      <c r="C34" s="262">
        <v>37500</v>
      </c>
      <c r="D34" s="132"/>
      <c r="E34" s="268">
        <f t="shared" si="0"/>
        <v>-37500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262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REGINFO!D64/12*5</f>
        <v>2144311.0083172615</v>
      </c>
      <c r="D37" s="132"/>
      <c r="E37" s="268">
        <f t="shared" si="0"/>
        <v>-996112.0083172615</v>
      </c>
      <c r="F37" s="6"/>
      <c r="G37" s="268">
        <f>TAXREC!E51</f>
        <v>1148199</v>
      </c>
      <c r="H37" s="151"/>
    </row>
    <row r="38" spans="1:8" ht="12.75">
      <c r="A38" s="155" t="s">
        <v>258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257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229306</v>
      </c>
      <c r="F42" s="6"/>
      <c r="G42" s="268">
        <f>TAXREC!E109</f>
        <v>229306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89386</v>
      </c>
      <c r="F47" s="6"/>
      <c r="G47" s="251">
        <f>TAXREC!E111</f>
        <v>89386</v>
      </c>
      <c r="H47" s="151"/>
    </row>
    <row r="48" spans="1:8" ht="12.75">
      <c r="A48" s="403" t="s">
        <v>387</v>
      </c>
      <c r="B48" s="127"/>
      <c r="C48" s="260"/>
      <c r="D48" s="132"/>
      <c r="E48" s="268">
        <f>G48-C48</f>
        <v>1046316</v>
      </c>
      <c r="F48" s="6"/>
      <c r="G48" s="251">
        <f>TAXREC!E108</f>
        <v>1046316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4">
        <f>C16+SUM(C20:C30)-SUM(C33:C48)</f>
        <v>4814891.491682738</v>
      </c>
      <c r="D50" s="102"/>
      <c r="E50" s="264">
        <f>E16+SUM(E20:E30)-SUM(E33:E48)</f>
        <v>-2165280.4916827385</v>
      </c>
      <c r="F50" s="426"/>
      <c r="G50" s="264">
        <f>G16+SUM(G20:G30)-SUM(G33:G48)</f>
        <v>2649611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3">
        <f>IF($C$50&gt;'Tax Rates'!$E$11,'Tax Rates'!$F$16,IF($C$50&gt;'Tax Rates'!$C$11,'Tax Rates'!$E$16,'Tax Rates'!$C$16))</f>
        <v>0.4062</v>
      </c>
      <c r="D53" s="102"/>
      <c r="E53" s="269">
        <f>+G53-C53</f>
        <v>1.459836934669667E-07</v>
      </c>
      <c r="F53" s="114"/>
      <c r="G53" s="467">
        <f>TAXREC!E151</f>
        <v>0.4062001459836935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1955808.9239215283</v>
      </c>
      <c r="D55" s="102"/>
      <c r="E55" s="268">
        <f>G55-C55</f>
        <v>-864800.9239215283</v>
      </c>
      <c r="F55" s="426" t="s">
        <v>362</v>
      </c>
      <c r="G55" s="265">
        <f>TAXREC!E144</f>
        <v>1091008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362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1955808.9239215283</v>
      </c>
      <c r="D60" s="133"/>
      <c r="E60" s="270">
        <f>+E55-E58</f>
        <v>-864800.9239215283</v>
      </c>
      <c r="F60" s="426" t="s">
        <v>362</v>
      </c>
      <c r="G60" s="270">
        <f>+G55-G58</f>
        <v>1091008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211672968</v>
      </c>
      <c r="D66" s="102"/>
      <c r="E66" s="268">
        <f>G66-C66</f>
        <v>50481551</v>
      </c>
      <c r="F66" s="6"/>
      <c r="G66" s="477">
        <v>262154519</v>
      </c>
      <c r="H66" s="151"/>
      <c r="I66" s="469" t="s">
        <v>477</v>
      </c>
    </row>
    <row r="67" spans="1:10" ht="12.75">
      <c r="A67" s="152" t="s">
        <v>355</v>
      </c>
      <c r="B67" s="125">
        <v>16</v>
      </c>
      <c r="C67" s="261">
        <f>IF(C66&gt;0,'Tax Rates'!C21,0)</f>
        <v>100000</v>
      </c>
      <c r="D67" s="102"/>
      <c r="E67" s="268">
        <f>G67-C67</f>
        <v>4900000</v>
      </c>
      <c r="F67" s="6"/>
      <c r="G67" s="268">
        <f>'Tax Rates'!C57</f>
        <v>5000000</v>
      </c>
      <c r="H67" s="151"/>
      <c r="I67" s="469" t="s">
        <v>477</v>
      </c>
      <c r="J67" s="495"/>
    </row>
    <row r="68" spans="1:8" ht="12.75">
      <c r="A68" s="152" t="s">
        <v>42</v>
      </c>
      <c r="B68" s="125"/>
      <c r="C68" s="265">
        <f>IF((C66-C67)&gt;0,C66-C67,0)</f>
        <v>211572968</v>
      </c>
      <c r="D68" s="102"/>
      <c r="E68" s="268">
        <f>SUM(E66:E67)</f>
        <v>55381551</v>
      </c>
      <c r="F68" s="114"/>
      <c r="G68" s="265">
        <f>G66-G67</f>
        <v>257154519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356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5">
        <f>IF(C68&gt;0,C68*C70,0)*REGINFO!$B$6/REGINFO!$B$7</f>
        <v>264466.20942034805</v>
      </c>
      <c r="D72" s="101"/>
      <c r="E72" s="268">
        <f>+G72-C72</f>
        <v>61421.25419882999</v>
      </c>
      <c r="F72" s="470"/>
      <c r="G72" s="265">
        <f>IF(G68&gt;0,((G68*G70*92/B10)+(G66*G70*61/B10)),0)</f>
        <v>325887.46361917804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211672968</v>
      </c>
      <c r="D75" s="102"/>
      <c r="E75" s="268">
        <f>+G75-C75</f>
        <v>51018932</v>
      </c>
      <c r="F75" s="6"/>
      <c r="G75" s="477">
        <v>262691900</v>
      </c>
      <c r="H75" s="151"/>
      <c r="I75" s="469" t="s">
        <v>477</v>
      </c>
    </row>
    <row r="76" spans="1:9" ht="12.75">
      <c r="A76" s="152" t="s">
        <v>355</v>
      </c>
      <c r="B76" s="125">
        <v>19</v>
      </c>
      <c r="C76" s="261">
        <f>IF(C75&gt;0,'Tax Rates'!C22,0)</f>
        <v>300000</v>
      </c>
      <c r="D76" s="18"/>
      <c r="E76" s="268">
        <f>+G76-C76</f>
        <v>-300000</v>
      </c>
      <c r="F76" s="6"/>
      <c r="G76" s="268">
        <f>'Tax Rates'!C58</f>
        <v>0</v>
      </c>
      <c r="H76" s="151"/>
      <c r="I76" s="469" t="s">
        <v>477</v>
      </c>
    </row>
    <row r="77" spans="1:8" ht="12.75">
      <c r="A77" s="152" t="s">
        <v>42</v>
      </c>
      <c r="B77" s="125"/>
      <c r="C77" s="265">
        <f>IF((C75-C76)&gt;0,C75-C76,0)</f>
        <v>211372968</v>
      </c>
      <c r="D77" s="19"/>
      <c r="E77" s="268">
        <f>SUM(E75:E76)</f>
        <v>50718932</v>
      </c>
      <c r="F77" s="114"/>
      <c r="G77" s="265">
        <f>G75-G76</f>
        <v>262691900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356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5">
        <f>IF(C77&gt;0,C77*C79,0)*REGINFO!$B$6/REGINFO!$B$7</f>
        <v>198162.15706567196</v>
      </c>
      <c r="D81" s="102"/>
      <c r="E81" s="268">
        <f>+G81-C81</f>
        <v>49595.88834528692</v>
      </c>
      <c r="F81" s="6"/>
      <c r="G81" s="265">
        <f>G77*G79*153/B10</f>
        <v>247758.04541095888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53926.784706846665</v>
      </c>
      <c r="D82" s="102"/>
      <c r="E82" s="268">
        <f>+G82-C82</f>
        <v>-24251.141506846667</v>
      </c>
      <c r="F82" s="6"/>
      <c r="G82" s="300">
        <f>IF(G77&gt;0,IF(G60&gt;0,G50*'Tax Rates'!C20,0),0)</f>
        <v>29675.6432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144235.3723588253</v>
      </c>
      <c r="D84" s="16"/>
      <c r="E84" s="268">
        <f>E81-E82</f>
        <v>73847.0298521336</v>
      </c>
      <c r="F84" s="103"/>
      <c r="G84" s="265">
        <f>G81-G82</f>
        <v>218082.40221095888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0.395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363</v>
      </c>
      <c r="B90" s="127">
        <v>22</v>
      </c>
      <c r="C90" s="265">
        <f>C60/(1-C88)</f>
        <v>3232742.023010791</v>
      </c>
      <c r="D90" s="20"/>
      <c r="E90" s="139"/>
      <c r="F90" s="425" t="s">
        <v>466</v>
      </c>
      <c r="G90" s="271">
        <f>TAXREC!E156</f>
        <v>1091008</v>
      </c>
      <c r="H90" s="151"/>
    </row>
    <row r="91" spans="1:8" ht="12.75">
      <c r="A91" s="158" t="s">
        <v>364</v>
      </c>
      <c r="B91" s="127">
        <v>23</v>
      </c>
      <c r="C91" s="265">
        <f>C84/(1-C88)</f>
        <v>238405.57414681866</v>
      </c>
      <c r="D91" s="20"/>
      <c r="E91" s="139"/>
      <c r="F91" s="425" t="s">
        <v>466</v>
      </c>
      <c r="G91" s="271">
        <f>TAXREC!E158</f>
        <v>218082</v>
      </c>
      <c r="H91" s="151"/>
    </row>
    <row r="92" spans="1:8" ht="12.75">
      <c r="A92" s="158" t="s">
        <v>343</v>
      </c>
      <c r="B92" s="127">
        <v>24</v>
      </c>
      <c r="C92" s="265">
        <f>C72</f>
        <v>264466.20942034805</v>
      </c>
      <c r="D92" s="20"/>
      <c r="E92" s="139"/>
      <c r="F92" s="425" t="s">
        <v>466</v>
      </c>
      <c r="G92" s="271">
        <f>TAXREC!E157</f>
        <v>325887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467</v>
      </c>
      <c r="B95" s="125">
        <v>25</v>
      </c>
      <c r="C95" s="270">
        <f>SUM(C90:C93)</f>
        <v>3735613.8065779577</v>
      </c>
      <c r="D95" s="6"/>
      <c r="E95" s="139"/>
      <c r="F95" s="425" t="s">
        <v>466</v>
      </c>
      <c r="G95" s="413">
        <f>SUM(G90:G94)</f>
        <v>1634977</v>
      </c>
      <c r="H95" s="164"/>
    </row>
    <row r="96" spans="1:8" ht="12.75">
      <c r="A96" s="403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342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10417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358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359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357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-37500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94" t="s">
        <v>497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360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361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47917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498</v>
      </c>
      <c r="B122" s="127"/>
      <c r="C122" s="112"/>
      <c r="D122" s="3" t="s">
        <v>231</v>
      </c>
      <c r="E122" s="463">
        <f>IF((E120+G50)&gt;'Tax Rates'!$E$47,'Tax Rates'!$F$52,IF((E120+G50)&gt;'Tax Rates'!$D$47,'Tax Rates'!$E$52,IF((E120+G50)&gt;'Tax Rates'!$C$47,'Tax Rates'!$D$52,'Tax Rates'!$C$52)))</f>
        <v>0.4062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19463.8854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19463.8854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347</v>
      </c>
      <c r="B132" s="130"/>
      <c r="C132" s="112"/>
      <c r="D132" s="3"/>
      <c r="E132" s="264">
        <f>E128/(1-E130)</f>
        <v>32171.711404958678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350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4814891.491682738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1955808.9239215283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1955808.9239215283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482</v>
      </c>
      <c r="B146" s="130"/>
      <c r="C146" s="112"/>
      <c r="D146" s="118" t="s">
        <v>188</v>
      </c>
      <c r="E146" s="302">
        <f>C60</f>
        <v>1955808.9239215283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211672968</v>
      </c>
      <c r="F151" s="37"/>
      <c r="G151" s="201"/>
      <c r="H151" s="164"/>
    </row>
    <row r="152" spans="1:8" ht="12.75">
      <c r="A152" s="171" t="s">
        <v>353</v>
      </c>
      <c r="B152" s="130"/>
      <c r="C152" s="112"/>
      <c r="D152" s="118" t="s">
        <v>188</v>
      </c>
      <c r="E152" s="305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354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264466.20942034805</v>
      </c>
      <c r="F157" s="37"/>
      <c r="G157" s="201"/>
      <c r="H157" s="164"/>
    </row>
    <row r="158" spans="1:8" ht="25.5">
      <c r="A158" s="171" t="s">
        <v>483</v>
      </c>
      <c r="B158" s="130"/>
      <c r="C158" s="112"/>
      <c r="D158" s="118" t="s">
        <v>188</v>
      </c>
      <c r="E158" s="305">
        <f>C72</f>
        <v>264466.20942034805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211672968</v>
      </c>
      <c r="F162" s="37"/>
      <c r="G162" s="201"/>
      <c r="H162" s="164"/>
    </row>
    <row r="163" spans="1:8" ht="12.75">
      <c r="A163" s="171" t="s">
        <v>352</v>
      </c>
      <c r="B163" s="130"/>
      <c r="C163" s="112"/>
      <c r="D163" s="118" t="s">
        <v>188</v>
      </c>
      <c r="E163" s="305">
        <f>IF(E162&gt;0,'Tax Rates'!C40,0)</f>
        <v>300000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211372968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198162.15706567196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7">
        <f>IF(E164&gt;0,IF(E144&gt;0,E136*'Tax Rates'!C56,0),0)</f>
        <v>53926.784706846665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144235.3723588253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484</v>
      </c>
      <c r="B172" s="130"/>
      <c r="C172" s="112"/>
      <c r="D172" s="118" t="s">
        <v>188</v>
      </c>
      <c r="E172" s="305">
        <f>C84</f>
        <v>144235.3723588253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3">
        <f>IF((E120+G50)&gt;'Tax Rates'!E47,'Tax Rates'!F52-1.12%,IF((E120+G50)&gt;'Tax Rates'!D47,'Tax Rates'!E52-1.12%,IF((E120+G50)&gt;'Tax Rates'!C47,'Tax Rates'!D52,'Tax Rates'!C52-1.12%)))</f>
        <v>0.395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348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302">
        <f>E132</f>
        <v>32171.711404958678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349</v>
      </c>
      <c r="B185" s="130"/>
      <c r="C185" s="112"/>
      <c r="D185" s="119" t="s">
        <v>189</v>
      </c>
      <c r="E185" s="302">
        <f>E181+E183</f>
        <v>32171.711404958678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8149409.268000001</v>
      </c>
      <c r="F193" s="3"/>
      <c r="G193" s="123"/>
      <c r="H193" s="164"/>
    </row>
    <row r="194" spans="1:8" ht="12.75">
      <c r="A194" s="155" t="s">
        <v>486</v>
      </c>
      <c r="B194" s="127"/>
      <c r="C194" s="112"/>
      <c r="D194" s="120"/>
      <c r="E194" s="308">
        <f>C37</f>
        <v>2144311.0083172615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8">
        <f>E193-E194</f>
        <v>6005098.259682739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94" t="s">
        <v>495</v>
      </c>
      <c r="B201" s="127"/>
      <c r="C201" s="112"/>
      <c r="D201" s="120"/>
      <c r="E201" s="308">
        <f>G37+G42</f>
        <v>1377505</v>
      </c>
      <c r="F201" s="3"/>
      <c r="G201" s="123"/>
      <c r="H201" s="164"/>
    </row>
    <row r="202" spans="1:8" ht="12.75">
      <c r="A202" s="494" t="s">
        <v>494</v>
      </c>
      <c r="B202" s="127"/>
      <c r="C202" s="112"/>
      <c r="D202" s="120"/>
      <c r="E202" s="308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496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6005098.259682739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49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79">
      <selection activeCell="C51" sqref="C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89">
        <f>REGINFO!B6</f>
        <v>152.083333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0.25%*Ratebase*REGINFO!D33*152/365</f>
        <v>99167.3356931507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321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255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319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320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270</v>
      </c>
      <c r="B31" s="23" t="s">
        <v>187</v>
      </c>
      <c r="C31" s="485">
        <v>96092241</v>
      </c>
      <c r="D31" s="286"/>
      <c r="E31" s="284">
        <f>C31-D31</f>
        <v>96092241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13620302</v>
      </c>
      <c r="D32" s="286"/>
      <c r="E32" s="284">
        <f>C32-D32</f>
        <v>13620302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/>
      <c r="D33" s="286"/>
      <c r="E33" s="284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695545</v>
      </c>
      <c r="D34" s="286"/>
      <c r="E34" s="284">
        <f>C34-D34</f>
        <v>695545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5">
        <v>96092241</v>
      </c>
      <c r="D39" s="286"/>
      <c r="E39" s="284">
        <f>C39-D39</f>
        <v>96092241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5">
        <v>1608262</v>
      </c>
      <c r="D40" s="286"/>
      <c r="E40" s="284">
        <f aca="true" t="shared" si="0" ref="E40:E48">C40-D40</f>
        <v>1608262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5">
        <v>1101112</v>
      </c>
      <c r="D41" s="286"/>
      <c r="E41" s="284">
        <f t="shared" si="0"/>
        <v>1101112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5">
        <v>1824337</v>
      </c>
      <c r="D42" s="286"/>
      <c r="E42" s="284">
        <f t="shared" si="0"/>
        <v>1824337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485">
        <v>4761108</v>
      </c>
      <c r="D43" s="286"/>
      <c r="E43" s="284">
        <f t="shared" si="0"/>
        <v>4761108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5021028</v>
      </c>
      <c r="D50" s="281">
        <f>SUM(D31:D36)-SUM(D39:D49)</f>
        <v>0</v>
      </c>
      <c r="E50" s="281">
        <f>SUM(E31:E35)-SUM(E39:E48)</f>
        <v>5021028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5">
        <v>1148199</v>
      </c>
      <c r="D51" s="285"/>
      <c r="E51" s="282">
        <f>+C51-D51</f>
        <v>1148199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3872829</v>
      </c>
      <c r="D53" s="281">
        <f>D50-D51-D52</f>
        <v>0</v>
      </c>
      <c r="E53" s="281">
        <f>E50-E51-E52</f>
        <v>3872829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0</v>
      </c>
      <c r="D59" s="287">
        <f>D52</f>
        <v>0</v>
      </c>
      <c r="E59" s="272">
        <f>+C59-D59</f>
        <v>0</v>
      </c>
      <c r="F59" s="8"/>
    </row>
    <row r="60" spans="1:6" ht="12.75">
      <c r="A60" s="4" t="s">
        <v>322</v>
      </c>
      <c r="B60" s="8" t="s">
        <v>187</v>
      </c>
      <c r="C60" s="486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287">
        <f>C43</f>
        <v>4761108</v>
      </c>
      <c r="D61" s="287">
        <f>D43</f>
        <v>0</v>
      </c>
      <c r="E61" s="272">
        <f>+C61-D61</f>
        <v>4761108</v>
      </c>
      <c r="F61" s="8"/>
    </row>
    <row r="62" spans="1:6" ht="12.75">
      <c r="A62" t="s">
        <v>6</v>
      </c>
      <c r="B62" s="8" t="s">
        <v>187</v>
      </c>
      <c r="C62" s="486">
        <v>120000</v>
      </c>
      <c r="D62" s="287">
        <v>0</v>
      </c>
      <c r="E62" s="272">
        <f>+C62-D62</f>
        <v>120000</v>
      </c>
      <c r="F62" s="8"/>
    </row>
    <row r="63" spans="1:6" ht="12.75">
      <c r="A63" s="31" t="s">
        <v>275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436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387</v>
      </c>
      <c r="B66" s="8"/>
      <c r="C66" s="440">
        <f>'TAXREC 3'!C47</f>
        <v>0</v>
      </c>
      <c r="D66" s="440">
        <f>'TAXREC 3'!D47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4881108</v>
      </c>
      <c r="D70" s="272">
        <f>SUM(D59:D68)</f>
        <v>0</v>
      </c>
      <c r="E70" s="272">
        <f>SUM(E59:E68)</f>
        <v>4881108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12440</v>
      </c>
      <c r="D74" s="294"/>
      <c r="E74" s="272">
        <f t="shared" si="1"/>
        <v>12440</v>
      </c>
      <c r="F74" s="8"/>
      <c r="G74" s="76"/>
      <c r="H74" s="77"/>
      <c r="I74" s="78"/>
      <c r="J74" s="77"/>
      <c r="K74" s="77"/>
    </row>
    <row r="75" spans="1:11" ht="12.75">
      <c r="A75" s="490" t="s">
        <v>491</v>
      </c>
      <c r="B75" s="8" t="s">
        <v>187</v>
      </c>
      <c r="C75" s="294">
        <v>33549</v>
      </c>
      <c r="D75" s="294"/>
      <c r="E75" s="272">
        <f t="shared" si="1"/>
        <v>33549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45989</v>
      </c>
      <c r="D80" s="251">
        <f>SUM(D73:D79)</f>
        <v>0</v>
      </c>
      <c r="E80" s="251">
        <f>SUM(E73:E79)</f>
        <v>45989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4927097</v>
      </c>
      <c r="D82" s="251">
        <f>D70+D80</f>
        <v>0</v>
      </c>
      <c r="E82" s="251">
        <f>E70+E80</f>
        <v>4927097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424</v>
      </c>
      <c r="B93" s="273"/>
      <c r="C93" s="251">
        <f>C80-C92</f>
        <v>45989</v>
      </c>
      <c r="D93" s="251">
        <f>D80-D92</f>
        <v>0</v>
      </c>
      <c r="E93" s="251">
        <f>E80-E92</f>
        <v>45989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45989</v>
      </c>
      <c r="D94" s="251">
        <f>D92+D93</f>
        <v>0</v>
      </c>
      <c r="E94" s="251">
        <f>E92+E93</f>
        <v>45989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7">
        <v>3497596</v>
      </c>
      <c r="D97" s="294"/>
      <c r="E97" s="272">
        <f>+C97-D97</f>
        <v>3497596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1287711</v>
      </c>
      <c r="D98" s="294"/>
      <c r="E98" s="272">
        <f>+C98-D98</f>
        <v>1287711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7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387</v>
      </c>
      <c r="B108" s="8"/>
      <c r="C108" s="254">
        <f>'TAXREC 3'!C73</f>
        <v>1046316</v>
      </c>
      <c r="D108" s="254">
        <f>'TAXREC 3'!D73</f>
        <v>0</v>
      </c>
      <c r="E108" s="272">
        <f t="shared" si="5"/>
        <v>1046316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>
        <v>229306</v>
      </c>
      <c r="D109" s="294"/>
      <c r="E109" s="283">
        <f t="shared" si="5"/>
        <v>229306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89386</v>
      </c>
      <c r="D111" s="251">
        <f>'TAXREC 2'!D120</f>
        <v>0</v>
      </c>
      <c r="E111" s="251">
        <f>'TAXREC 2'!E120</f>
        <v>89386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6150315</v>
      </c>
      <c r="D113" s="251">
        <f>SUM(D97:D111)</f>
        <v>0</v>
      </c>
      <c r="E113" s="251">
        <f>SUM(E97:E111)</f>
        <v>6150315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6150315</v>
      </c>
      <c r="D122" s="251">
        <f>D113+D120</f>
        <v>0</v>
      </c>
      <c r="E122" s="251">
        <f>+E113+E120</f>
        <v>6150315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2649611</v>
      </c>
      <c r="D134" s="251">
        <f>D53+D82-D122</f>
        <v>0</v>
      </c>
      <c r="E134" s="251">
        <f>E53+E82-E122</f>
        <v>2649611</v>
      </c>
      <c r="F134" s="8"/>
      <c r="G134" s="497"/>
      <c r="H134" s="497"/>
      <c r="I134" s="497"/>
      <c r="J134" s="497"/>
      <c r="K134" s="45"/>
    </row>
    <row r="135" spans="1:11" ht="12.75">
      <c r="A135" s="12" t="s">
        <v>46</v>
      </c>
      <c r="B135" s="8"/>
      <c r="D135" s="30"/>
      <c r="E135" s="30"/>
      <c r="F135" s="8"/>
      <c r="G135" s="497"/>
      <c r="H135" s="497"/>
      <c r="I135" s="497"/>
      <c r="J135" s="497"/>
      <c r="K135" s="45"/>
    </row>
    <row r="136" spans="1:11" ht="12.75">
      <c r="A136" s="12" t="s">
        <v>369</v>
      </c>
      <c r="B136" s="8" t="s">
        <v>188</v>
      </c>
      <c r="C136" s="294"/>
      <c r="D136" s="294"/>
      <c r="E136" s="265">
        <f>C136-D136</f>
        <v>0</v>
      </c>
      <c r="F136" s="8"/>
      <c r="G136" s="497"/>
      <c r="H136" s="497"/>
      <c r="I136" s="497"/>
      <c r="J136" s="497"/>
      <c r="K136" s="45"/>
    </row>
    <row r="137" spans="1:11" ht="12.75">
      <c r="A137" s="46" t="s">
        <v>370</v>
      </c>
      <c r="B137" s="8" t="s">
        <v>188</v>
      </c>
      <c r="C137" s="310"/>
      <c r="D137" s="310"/>
      <c r="E137" s="393">
        <f>C137-D137</f>
        <v>0</v>
      </c>
      <c r="F137" s="8"/>
      <c r="G137" s="498"/>
      <c r="H137" s="497"/>
      <c r="I137" s="498"/>
      <c r="J137" s="497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7"/>
      <c r="H138" s="497"/>
      <c r="I138" s="497"/>
      <c r="J138" s="497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2649611</v>
      </c>
      <c r="D139" s="252">
        <f>D134-D136-D137-D138</f>
        <v>0</v>
      </c>
      <c r="E139" s="252">
        <f>E134-E136-E137-E138</f>
        <v>2649611</v>
      </c>
      <c r="F139" s="8"/>
      <c r="G139" s="497"/>
      <c r="H139" s="497"/>
      <c r="I139" s="497"/>
      <c r="J139" s="497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187</v>
      </c>
      <c r="C142" s="298">
        <v>745071</v>
      </c>
      <c r="D142" s="298"/>
      <c r="E142" s="252">
        <f>C142-D142</f>
        <v>745071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187</v>
      </c>
      <c r="C143" s="298">
        <v>345937</v>
      </c>
      <c r="D143" s="298"/>
      <c r="E143" s="292">
        <f>C143-D143</f>
        <v>345937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1091008</v>
      </c>
      <c r="D144" s="252">
        <f>D142+D143</f>
        <v>0</v>
      </c>
      <c r="E144" s="252">
        <f>E142+E143</f>
        <v>1091008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1091008</v>
      </c>
      <c r="D146" s="252">
        <f>D144-D145</f>
        <v>0</v>
      </c>
      <c r="E146" s="252">
        <f>E144-E145</f>
        <v>1091008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4">
        <f>C142/C139</f>
        <v>0.2812001459836935</v>
      </c>
      <c r="D149" s="5"/>
      <c r="E149" s="405">
        <f>C149</f>
        <v>0.2812001459836935</v>
      </c>
      <c r="F149" s="8"/>
      <c r="G149" s="45" t="s">
        <v>461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04">
        <v>0.125</v>
      </c>
      <c r="D150" s="5"/>
      <c r="E150" s="405">
        <f>C150</f>
        <v>0.125</v>
      </c>
      <c r="F150" s="8"/>
      <c r="G150" s="45" t="s">
        <v>462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5">
        <f>SUM(C149:C150)</f>
        <v>0.4062001459836935</v>
      </c>
      <c r="D151" s="5"/>
      <c r="E151" s="405">
        <f>SUM(E149:E150)</f>
        <v>0.4062001459836935</v>
      </c>
      <c r="F151" s="8"/>
      <c r="G151" s="45"/>
      <c r="H151" s="45"/>
      <c r="I151" s="45"/>
      <c r="J151" s="45"/>
      <c r="K151" s="45"/>
    </row>
    <row r="152" spans="2:11" ht="12.75">
      <c r="B152" s="8"/>
      <c r="C152" s="496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219</v>
      </c>
      <c r="B156" s="86" t="s">
        <v>187</v>
      </c>
      <c r="C156" s="251">
        <f>C146</f>
        <v>1091008</v>
      </c>
      <c r="D156" s="251">
        <f>D146</f>
        <v>0</v>
      </c>
      <c r="E156" s="251">
        <f>E146</f>
        <v>1091008</v>
      </c>
    </row>
    <row r="157" spans="1:5" ht="12.75">
      <c r="A157" t="s">
        <v>20</v>
      </c>
      <c r="B157" s="86" t="s">
        <v>187</v>
      </c>
      <c r="C157" s="488">
        <v>325887</v>
      </c>
      <c r="D157" s="251"/>
      <c r="E157" s="251">
        <f>C157+D157</f>
        <v>325887</v>
      </c>
    </row>
    <row r="158" spans="1:5" ht="12.75">
      <c r="A158" t="s">
        <v>218</v>
      </c>
      <c r="B158" s="86" t="s">
        <v>187</v>
      </c>
      <c r="C158" s="488">
        <v>218082</v>
      </c>
      <c r="D158" s="251"/>
      <c r="E158" s="251">
        <f>C158+D158</f>
        <v>218082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1">
        <f>C156+C157+C158</f>
        <v>1634977</v>
      </c>
      <c r="D160" s="251">
        <f>D156+D157+D158</f>
        <v>0</v>
      </c>
      <c r="E160" s="251">
        <f>E156+E157+E158</f>
        <v>1634977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4">
      <selection activeCell="A42" sqref="A4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269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277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1">
        <f t="shared" si="0"/>
        <v>0</v>
      </c>
    </row>
    <row r="16" spans="1:5" ht="12.75">
      <c r="A16" s="61" t="s">
        <v>279</v>
      </c>
      <c r="B16" s="61"/>
      <c r="C16" s="294"/>
      <c r="D16" s="294"/>
      <c r="E16" s="251">
        <f t="shared" si="0"/>
        <v>0</v>
      </c>
    </row>
    <row r="17" spans="1:5" ht="12.75">
      <c r="A17" s="61" t="s">
        <v>280</v>
      </c>
      <c r="B17" s="61"/>
      <c r="C17" s="294"/>
      <c r="D17" s="294"/>
      <c r="E17" s="251">
        <f t="shared" si="0"/>
        <v>0</v>
      </c>
    </row>
    <row r="18" spans="1:5" ht="12.75">
      <c r="A18" s="61" t="s">
        <v>441</v>
      </c>
      <c r="B18" s="61"/>
      <c r="C18" s="294"/>
      <c r="D18" s="294"/>
      <c r="E18" s="251">
        <f t="shared" si="0"/>
        <v>0</v>
      </c>
    </row>
    <row r="19" spans="1:5" ht="12.75">
      <c r="A19" s="61" t="s">
        <v>441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268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277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1">
        <f t="shared" si="1"/>
        <v>0</v>
      </c>
    </row>
    <row r="28" spans="1:5" ht="12.75">
      <c r="A28" s="61" t="s">
        <v>279</v>
      </c>
      <c r="B28" s="61"/>
      <c r="C28" s="294"/>
      <c r="D28" s="294"/>
      <c r="E28" s="251">
        <f t="shared" si="1"/>
        <v>0</v>
      </c>
    </row>
    <row r="29" spans="1:5" ht="12.75">
      <c r="A29" s="61" t="s">
        <v>280</v>
      </c>
      <c r="B29" s="61"/>
      <c r="C29" s="294"/>
      <c r="D29" s="294"/>
      <c r="E29" s="251">
        <f t="shared" si="1"/>
        <v>0</v>
      </c>
    </row>
    <row r="30" spans="1:5" ht="12.75">
      <c r="A30" s="61" t="s">
        <v>441</v>
      </c>
      <c r="B30" s="61"/>
      <c r="C30" s="294"/>
      <c r="D30" s="294"/>
      <c r="E30" s="251">
        <f t="shared" si="1"/>
        <v>0</v>
      </c>
    </row>
    <row r="31" spans="1:5" ht="12.75">
      <c r="A31" s="61" t="s">
        <v>441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269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4"/>
      <c r="D43" s="294"/>
      <c r="E43" s="251">
        <f t="shared" si="2"/>
        <v>0</v>
      </c>
    </row>
    <row r="44" spans="1:5" ht="12.75">
      <c r="A44" s="61" t="s">
        <v>264</v>
      </c>
      <c r="B44" s="61"/>
      <c r="C44" s="294"/>
      <c r="D44" s="294"/>
      <c r="E44" s="251">
        <f t="shared" si="2"/>
        <v>0</v>
      </c>
    </row>
    <row r="45" spans="1:5" ht="12.75">
      <c r="A45" s="61" t="s">
        <v>265</v>
      </c>
      <c r="B45" s="61"/>
      <c r="C45" s="294"/>
      <c r="D45" s="294"/>
      <c r="E45" s="251">
        <f t="shared" si="2"/>
        <v>0</v>
      </c>
    </row>
    <row r="46" spans="1:5" ht="12.75">
      <c r="A46" s="61" t="s">
        <v>266</v>
      </c>
      <c r="B46" s="61"/>
      <c r="C46" s="294"/>
      <c r="D46" s="294"/>
      <c r="E46" s="251">
        <f t="shared" si="2"/>
        <v>0</v>
      </c>
    </row>
    <row r="47" spans="1:5" ht="12.75">
      <c r="A47" s="61" t="s">
        <v>441</v>
      </c>
      <c r="B47" s="61"/>
      <c r="C47" s="294"/>
      <c r="D47" s="294"/>
      <c r="E47" s="251">
        <f t="shared" si="2"/>
        <v>0</v>
      </c>
    </row>
    <row r="48" spans="1:5" ht="12.75">
      <c r="A48" s="61" t="s">
        <v>441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268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4"/>
      <c r="D55" s="294"/>
      <c r="E55" s="251">
        <f t="shared" si="3"/>
        <v>0</v>
      </c>
    </row>
    <row r="56" spans="1:5" ht="12.75">
      <c r="A56" s="246" t="s">
        <v>264</v>
      </c>
      <c r="B56" s="61"/>
      <c r="C56" s="294"/>
      <c r="D56" s="294"/>
      <c r="E56" s="251">
        <f t="shared" si="3"/>
        <v>0</v>
      </c>
    </row>
    <row r="57" spans="1:5" ht="12.75">
      <c r="A57" s="246" t="s">
        <v>265</v>
      </c>
      <c r="B57" s="61"/>
      <c r="C57" s="294"/>
      <c r="D57" s="294"/>
      <c r="E57" s="251">
        <f t="shared" si="3"/>
        <v>0</v>
      </c>
    </row>
    <row r="58" spans="1:5" ht="12.75">
      <c r="A58" s="246" t="s">
        <v>266</v>
      </c>
      <c r="B58" s="61"/>
      <c r="C58" s="294"/>
      <c r="D58" s="294"/>
      <c r="E58" s="251">
        <f t="shared" si="3"/>
        <v>0</v>
      </c>
    </row>
    <row r="59" spans="1:5" ht="12.75">
      <c r="A59" s="61" t="s">
        <v>441</v>
      </c>
      <c r="B59" s="61"/>
      <c r="C59" s="294"/>
      <c r="D59" s="294"/>
      <c r="E59" s="251">
        <f t="shared" si="3"/>
        <v>0</v>
      </c>
    </row>
    <row r="60" spans="1:5" ht="12.75">
      <c r="A60" s="61" t="s">
        <v>441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97" sqref="A9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458</v>
      </c>
      <c r="B5" s="8"/>
      <c r="C5" s="8" t="s">
        <v>2</v>
      </c>
      <c r="D5" s="8"/>
      <c r="E5" s="8"/>
      <c r="F5" s="8"/>
    </row>
    <row r="6" spans="1:6" ht="12.75">
      <c r="A6" s="415" t="s">
        <v>438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80">
        <f>TAXREC!C11</f>
        <v>152.083333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99167.3356931507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442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/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>
        <v>89386</v>
      </c>
      <c r="D82" s="294"/>
      <c r="E82" s="251">
        <f>C82-D82</f>
        <v>89386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371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92"/>
      <c r="B92" s="8" t="s">
        <v>188</v>
      </c>
      <c r="C92" s="294"/>
      <c r="D92" s="294"/>
      <c r="E92" s="251"/>
    </row>
    <row r="93" spans="1:5" ht="12.75">
      <c r="A93" s="492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491"/>
      <c r="B96" s="8" t="s">
        <v>188</v>
      </c>
      <c r="C96" s="294"/>
      <c r="D96" s="294"/>
      <c r="E96" s="251">
        <f t="shared" si="5"/>
        <v>0</v>
      </c>
    </row>
    <row r="97" spans="1:5" ht="12.75">
      <c r="A97" s="491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89386</v>
      </c>
      <c r="D99" s="251">
        <f>SUM(D82:D98)</f>
        <v>0</v>
      </c>
      <c r="E99" s="251">
        <f>SUM(E82:E98)</f>
        <v>89386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89386</v>
      </c>
      <c r="D120" s="251">
        <f>D99-D119</f>
        <v>0</v>
      </c>
      <c r="E120" s="251">
        <f>E99-E119</f>
        <v>89386</v>
      </c>
    </row>
    <row r="121" spans="1:5" ht="12.75">
      <c r="A121" s="278" t="s">
        <v>171</v>
      </c>
      <c r="B121" s="273"/>
      <c r="C121" s="251">
        <f>C119+C120</f>
        <v>89386</v>
      </c>
      <c r="D121" s="251">
        <f>D119+D120</f>
        <v>0</v>
      </c>
      <c r="E121" s="251">
        <f>E119+E120</f>
        <v>89386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72" sqref="A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379</v>
      </c>
      <c r="E3" s="92"/>
    </row>
    <row r="4" spans="1:6" ht="15.75">
      <c r="A4" s="458" t="s">
        <v>438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80">
        <f>TAXREC!C11</f>
        <v>152.083333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382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446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385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386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447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430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383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425</v>
      </c>
      <c r="B32" t="s">
        <v>187</v>
      </c>
      <c r="C32" s="481"/>
      <c r="D32" s="295"/>
      <c r="E32" s="313">
        <f t="shared" si="0"/>
        <v>0</v>
      </c>
    </row>
    <row r="33" spans="1:5" ht="12.75">
      <c r="A33" s="67" t="s">
        <v>426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444</v>
      </c>
      <c r="B35" t="s">
        <v>187</v>
      </c>
      <c r="C35" s="295"/>
      <c r="D35" s="295"/>
      <c r="E35" s="313"/>
    </row>
    <row r="36" spans="1:5" ht="12.75">
      <c r="A36" s="67" t="s">
        <v>427</v>
      </c>
      <c r="B36" t="s">
        <v>187</v>
      </c>
      <c r="C36" s="295"/>
      <c r="D36" s="295"/>
      <c r="E36" s="313"/>
    </row>
    <row r="37" spans="1:5" ht="12.75">
      <c r="A37" s="67" t="s">
        <v>428</v>
      </c>
      <c r="B37" t="s">
        <v>187</v>
      </c>
      <c r="C37" s="295"/>
      <c r="D37" s="295"/>
      <c r="E37" s="313"/>
    </row>
    <row r="38" spans="1:5" ht="12.75">
      <c r="A38" s="81" t="s">
        <v>479</v>
      </c>
      <c r="B38" t="s">
        <v>187</v>
      </c>
      <c r="C38" s="295"/>
      <c r="D38" s="295"/>
      <c r="E38" s="313"/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381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450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478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3" t="s">
        <v>389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382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383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429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437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449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448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2" t="s">
        <v>480</v>
      </c>
      <c r="B60" s="8" t="s">
        <v>188</v>
      </c>
      <c r="C60" s="294">
        <v>325887</v>
      </c>
      <c r="D60" s="294"/>
      <c r="E60" s="251">
        <f t="shared" si="1"/>
        <v>325887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381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90"/>
      <c r="B64" s="8" t="s">
        <v>188</v>
      </c>
      <c r="C64" s="294"/>
      <c r="D64" s="294"/>
      <c r="E64" s="251">
        <f t="shared" si="2"/>
        <v>0</v>
      </c>
    </row>
    <row r="65" spans="1:5" ht="12.75">
      <c r="A65" s="490"/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 t="s">
        <v>481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491" t="s">
        <v>490</v>
      </c>
      <c r="B70" s="8" t="s">
        <v>188</v>
      </c>
      <c r="C70" s="294">
        <v>64807</v>
      </c>
      <c r="D70" s="294"/>
      <c r="E70" s="251">
        <f t="shared" si="2"/>
        <v>64807</v>
      </c>
    </row>
    <row r="71" spans="1:5" ht="12.75">
      <c r="A71" s="493" t="s">
        <v>492</v>
      </c>
      <c r="B71" s="8" t="s">
        <v>188</v>
      </c>
      <c r="C71" s="294"/>
      <c r="D71" s="294"/>
      <c r="E71" s="251">
        <f t="shared" si="2"/>
        <v>0</v>
      </c>
    </row>
    <row r="72" spans="1:5" ht="12.75">
      <c r="A72" s="493" t="s">
        <v>493</v>
      </c>
      <c r="B72" s="8" t="s">
        <v>188</v>
      </c>
      <c r="C72" s="294">
        <v>655622</v>
      </c>
      <c r="D72" s="294"/>
      <c r="E72" s="279">
        <f t="shared" si="2"/>
        <v>655622</v>
      </c>
    </row>
    <row r="73" spans="1:5" ht="12.75">
      <c r="A73" s="442" t="s">
        <v>388</v>
      </c>
      <c r="B73" s="8" t="s">
        <v>189</v>
      </c>
      <c r="C73" s="251">
        <f>SUM(C51:C72)</f>
        <v>1046316</v>
      </c>
      <c r="D73" s="251">
        <f>SUM(D51:D72)</f>
        <v>0</v>
      </c>
      <c r="E73" s="251">
        <f>SUM(E51:E72)</f>
        <v>1046316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EB-2010-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303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7" t="s">
        <v>474</v>
      </c>
      <c r="B8" s="508"/>
      <c r="C8" s="508"/>
      <c r="D8" s="508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460</v>
      </c>
      <c r="B10" s="327"/>
      <c r="C10" s="375" t="s">
        <v>111</v>
      </c>
      <c r="D10" s="375"/>
      <c r="E10" s="375" t="s">
        <v>111</v>
      </c>
      <c r="F10" s="376" t="s">
        <v>469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296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295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300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256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327</v>
      </c>
      <c r="B21" s="406" t="s">
        <v>470</v>
      </c>
      <c r="C21" s="483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328</v>
      </c>
      <c r="B22" s="407" t="s">
        <v>471</v>
      </c>
      <c r="C22" s="484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1" t="s">
        <v>468</v>
      </c>
      <c r="B23" s="502"/>
      <c r="C23" s="502"/>
      <c r="D23" s="502"/>
      <c r="E23" s="502"/>
      <c r="F23" s="502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472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433</v>
      </c>
      <c r="B28" s="327"/>
      <c r="C28" s="369" t="s">
        <v>111</v>
      </c>
      <c r="D28" s="369"/>
      <c r="E28" s="369" t="s">
        <v>111</v>
      </c>
      <c r="F28" s="370" t="s">
        <v>469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295</v>
      </c>
      <c r="B32" s="409">
        <v>2001</v>
      </c>
      <c r="C32" s="328">
        <v>0.1312</v>
      </c>
      <c r="D32" s="328"/>
      <c r="E32" s="329">
        <v>0.2812</v>
      </c>
      <c r="F32" s="329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256</v>
      </c>
      <c r="B34" s="409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475</v>
      </c>
      <c r="B39" s="406" t="s">
        <v>470</v>
      </c>
      <c r="C39" s="483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476</v>
      </c>
      <c r="B40" s="407" t="s">
        <v>471</v>
      </c>
      <c r="C40" s="484">
        <f>10000000*REGINFO!D22</f>
        <v>300000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3" t="s">
        <v>331</v>
      </c>
      <c r="B41" s="502"/>
      <c r="C41" s="502"/>
      <c r="D41" s="502"/>
      <c r="E41" s="502"/>
      <c r="F41" s="50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4"/>
      <c r="B42" s="504"/>
      <c r="C42" s="504"/>
      <c r="D42" s="504"/>
      <c r="E42" s="504"/>
      <c r="F42" s="50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473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111</v>
      </c>
      <c r="D46" s="369"/>
      <c r="E46" s="369" t="s">
        <v>111</v>
      </c>
      <c r="F46" s="370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295</v>
      </c>
      <c r="B50" s="245"/>
      <c r="C50" s="352">
        <v>0.1312</v>
      </c>
      <c r="D50" s="352"/>
      <c r="E50" s="353">
        <v>0.2212</v>
      </c>
      <c r="F50" s="353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256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344</v>
      </c>
      <c r="B57" s="406" t="s">
        <v>470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345</v>
      </c>
      <c r="B58" s="407" t="s">
        <v>471</v>
      </c>
      <c r="C58" s="484">
        <v>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1" t="s">
        <v>346</v>
      </c>
      <c r="B59" s="505"/>
      <c r="C59" s="505"/>
      <c r="D59" s="505"/>
      <c r="E59" s="505"/>
      <c r="F59" s="50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6"/>
      <c r="B60" s="506"/>
      <c r="C60" s="506"/>
      <c r="D60" s="506"/>
      <c r="E60" s="506"/>
      <c r="F60" s="50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451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316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390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432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391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392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32171.711404958678</v>
      </c>
      <c r="N15" s="391"/>
      <c r="O15" s="396">
        <f t="shared" si="0"/>
        <v>32171.711404958678</v>
      </c>
    </row>
    <row r="16" spans="1:15" ht="27" customHeight="1">
      <c r="A16" s="81" t="s">
        <v>393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394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0</v>
      </c>
      <c r="N17" s="391"/>
      <c r="O17" s="396">
        <f t="shared" si="0"/>
        <v>0</v>
      </c>
    </row>
    <row r="18" spans="1:15" ht="25.5">
      <c r="A18" s="81" t="s">
        <v>395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396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463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368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32171.711404958678</v>
      </c>
      <c r="N22" s="390"/>
      <c r="O22" s="444">
        <f>SUM(O11:O20)</f>
        <v>32171.711404958678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397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398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400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0" t="s">
        <v>401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402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423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403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2" t="s">
        <v>365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366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404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405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406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407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408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409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410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411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412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409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413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414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415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416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417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375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418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377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376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378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420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421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422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09" t="s">
        <v>452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29" t="s">
        <v>367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2010-08-24T19:25:57Z</cp:lastPrinted>
  <dcterms:created xsi:type="dcterms:W3CDTF">2001-11-07T16:15:53Z</dcterms:created>
  <dcterms:modified xsi:type="dcterms:W3CDTF">2011-11-08T15:33:54Z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