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<sst xmlns="http://schemas.openxmlformats.org/spreadsheetml/2006/main" count="888" uniqueCount="512">
  <si>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</si>
  <si>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</si>
  <si>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</si>
  <si>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</si>
  <si>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</si>
  <si>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</si>
  <si>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</si>
  <si>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</si>
  <si>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</si>
  <si>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</si>
  <si>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</si>
  <si>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</si>
  <si>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</si>
  <si>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</si>
  <si>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</si>
  <si>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</si>
  <si>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</si>
  <si>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</si>
  <si>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</si>
  <si>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</si>
  <si>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</si>
  <si>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</si>
  <si>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</si>
  <si>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</si>
  <si>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</si>
  <si>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</si>
  <si>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</si>
  <si>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</si>
  <si>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</si>
  <si>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</si>
  <si>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</si>
  <si>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</si>
  <si>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</si>
  <si>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</si>
  <si>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</si>
  <si>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</si>
  <si>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</si>
  <si>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</si>
  <si>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</si>
  <si>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</si>
  <si>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</si>
  <si>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</si>
  <si>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</si>
  <si>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</si>
  <si>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</si>
  <si>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</si>
  <si>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</si>
  <si>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</si>
  <si>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</si>
  <si>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</si>
  <si>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</si>
  <si>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</si>
  <si>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</si>
  <si>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</si>
  <si>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</si>
  <si>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</si>
  <si>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</si>
  <si>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</si>
  <si>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</si>
  <si>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</si>
  <si>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</si>
  <si>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</si>
  <si>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</si>
  <si>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</si>
  <si>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</si>
  <si>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</si>
  <si>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</si>
  <si>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</si>
  <si>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</si>
  <si>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</si>
  <si>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</si>
  <si>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</si>
  <si>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</si>
  <si>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</si>
  <si>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</si>
  <si>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</si>
  <si>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</si>
  <si>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</si>
  <si>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</si>
  <si>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</si>
  <si>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</si>
  <si>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</si>
  <si>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</si>
  <si>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</si>
  <si>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</si>
  <si>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</si>
  <si>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</si>
  <si>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</si>
  <si>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</si>
  <si>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</si>
  <si>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</si>
  <si>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</si>
  <si>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</si>
  <si>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</si>
  <si>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</si>
  <si>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</si>
  <si>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</si>
  <si>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</si>
  <si>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</si>
  <si>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</si>
  <si>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</si>
  <si>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</si>
  <si>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</si>
  <si>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</si>
  <si>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</si>
  <si>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</si>
  <si>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</si>
  <si>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</si>
  <si>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</si>
  <si>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</si>
  <si>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</si>
  <si>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</si>
  <si>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</si>
  <si>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</si>
  <si>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</si>
  <si>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</si>
  <si>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</si>
  <si>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</si>
  <si>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</si>
  <si>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</si>
  <si>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</si>
  <si>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</si>
  <si>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</si>
  <si>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</si>
  <si>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</si>
  <si>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</si>
  <si>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</si>
  <si>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</si>
  <si>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</si>
  <si>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</si>
  <si>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</si>
  <si>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</si>
  <si>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</si>
  <si>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</si>
  <si>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</si>
  <si>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</si>
  <si>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</si>
  <si>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</si>
  <si>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</si>
  <si>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</si>
  <si>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</si>
  <si>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</si>
  <si>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</si>
  <si>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</si>
  <si>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</si>
  <si>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</si>
  <si>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</si>
  <si>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</si>
  <si>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</si>
  <si>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</si>
  <si>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</si>
  <si>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</si>
  <si>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</si>
  <si>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</si>
  <si>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</si>
  <si>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</si>
  <si>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</si>
  <si>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</si>
  <si>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</si>
  <si>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</si>
  <si>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</si>
  <si>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</si>
  <si>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</si>
  <si>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</si>
  <si>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</si>
  <si>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</si>
  <si>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</si>
  <si>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</si>
  <si>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</si>
  <si>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</si>
  <si>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</si>
  <si>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</si>
  <si>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</si>
  <si>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</si>
  <si>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</si>
  <si>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</si>
  <si>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</si>
  <si>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</si>
  <si>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</si>
  <si>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</si>
  <si>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</si>
  <si>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</si>
  <si>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</si>
  <si>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</si>
  <si>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</si>
  <si>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</si>
  <si>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</si>
  <si>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</si>
  <si>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</si>
  <si>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</si>
  <si>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</si>
  <si>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</si>
  <si>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</si>
  <si>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</si>
  <si>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</si>
  <si>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</si>
  <si>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</si>
  <si>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</si>
  <si>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</si>
  <si>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</si>
  <si>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</si>
  <si>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</si>
  <si>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</si>
  <si>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</si>
  <si>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</si>
  <si>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</si>
  <si>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</si>
  <si>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</si>
  <si>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</si>
  <si>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</si>
  <si>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</si>
  <si>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</si>
  <si>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</si>
  <si>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</si>
  <si>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</si>
  <si>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</si>
  <si>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</si>
  <si>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</si>
  <si>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</si>
  <si>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</si>
  <si>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</si>
  <si>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</si>
  <si>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</si>
  <si>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</si>
  <si>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</si>
  <si>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</si>
  <si>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</si>
  <si>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</si>
  <si>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</si>
  <si>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</si>
  <si>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</si>
  <si>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</si>
  <si>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</si>
  <si>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</si>
  <si>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</si>
  <si>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</si>
  <si>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</si>
  <si>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</si>
  <si>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</si>
  <si>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</si>
  <si>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</si>
  <si>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</si>
  <si>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</si>
  <si>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</si>
  <si>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</si>
  <si>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</si>
  <si>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</si>
  <si>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</si>
  <si>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</si>
  <si>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</si>
  <si>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</si>
  <si>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</si>
  <si>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</si>
  <si>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</si>
  <si>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</si>
  <si>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</si>
  <si>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</si>
  <si>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</si>
  <si>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</si>
  <si>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</si>
  <si>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</si>
  <si>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</si>
  <si>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</si>
  <si>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</si>
  <si>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</si>
  <si>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</si>
  <si>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</si>
  <si>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</si>
  <si>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</si>
  <si>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</si>
  <si>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</si>
  <si>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</si>
  <si>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</si>
  <si>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</si>
  <si>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</si>
  <si>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</si>
  <si>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</si>
  <si>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</si>
  <si>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</si>
  <si>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</si>
  <si>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</si>
  <si>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</si>
  <si>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</si>
  <si>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</si>
  <si>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</si>
  <si>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</si>
  <si>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</si>
  <si>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</si>
  <si>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</si>
  <si>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</si>
  <si>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</si>
  <si>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</si>
  <si>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</si>
  <si>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</si>
  <si>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</si>
  <si>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</si>
  <si>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</si>
  <si>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</si>
  <si>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</si>
  <si>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</si>
  <si>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</si>
  <si>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</si>
  <si>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</si>
  <si>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</si>
  <si>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</si>
  <si>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</si>
  <si>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</si>
  <si>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</si>
  <si>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</si>
  <si>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</si>
  <si>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</si>
  <si>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</si>
  <si>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</si>
  <si>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</si>
  <si>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</si>
  <si>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</si>
  <si>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</si>
  <si>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</si>
  <si>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</si>
  <si>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</si>
  <si>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</si>
  <si>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</si>
  <si>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</si>
  <si>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</si>
  <si>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</si>
  <si>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</si>
  <si>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</si>
  <si>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</si>
  <si>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</si>
  <si>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</si>
  <si>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</si>
  <si>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</si>
  <si>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</si>
  <si>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</si>
  <si>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</si>
  <si>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</si>
  <si>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</si>
  <si>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</si>
  <si>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</si>
  <si>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</si>
  <si>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</si>
  <si>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</si>
  <si>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</si>
  <si>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</si>
  <si>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</si>
  <si>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</si>
  <si>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</si>
  <si>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</si>
  <si>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</si>
  <si>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</si>
  <si>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</si>
  <si>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</si>
  <si>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</si>
  <si>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</si>
  <si>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</si>
  <si>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</si>
  <si>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</si>
  <si>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</si>
  <si>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</si>
  <si>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</si>
  <si>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</si>
  <si>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</si>
  <si>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</si>
  <si>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</si>
  <si>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</si>
  <si>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</si>
  <si>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</si>
  <si>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</si>
  <si>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</si>
  <si>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</si>
  <si>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</si>
  <si>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</si>
  <si>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</si>
  <si>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</si>
  <si>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</si>
  <si>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</si>
  <si>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</si>
  <si>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</si>
  <si>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</si>
  <si>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</si>
  <si>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</si>
  <si>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</si>
  <si>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</si>
  <si>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</si>
  <si>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</si>
  <si>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</si>
  <si>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</si>
  <si>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</si>
  <si>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</si>
  <si>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</si>
  <si>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</si>
  <si>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</si>
  <si>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</si>
  <si>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</si>
  <si>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</si>
  <si>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</si>
  <si>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</si>
  <si>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</si>
  <si>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</si>
  <si>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</si>
  <si>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</si>
  <si>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</si>
  <si>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</si>
  <si>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</si>
  <si>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</si>
  <si>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</si>
  <si>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</si>
  <si>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</si>
  <si>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</si>
  <si>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</si>
  <si>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</si>
  <si>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</si>
  <si>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</si>
  <si>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</si>
  <si>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</si>
  <si>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</si>
  <si>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</si>
  <si>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</si>
  <si>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</si>
  <si>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</si>
  <si>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</si>
  <si>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</si>
  <si>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</si>
  <si>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</si>
  <si>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</si>
  <si>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</si>
  <si>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</si>
  <si>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</si>
  <si>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</si>
  <si>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</si>
  <si>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</si>
  <si>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</si>
  <si>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</si>
  <si>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</si>
  <si>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</si>
  <si>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</si>
  <si>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</si>
  <si>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</si>
  <si>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</si>
  <si>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</si>
  <si>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</si>
  <si>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</si>
  <si>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</si>
  <si>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</si>
  <si>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</si>
  <si>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</si>
  <si>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</si>
  <si>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</si>
  <si>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</si>
  <si>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</si>
  <si>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</si>
  <si>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</si>
  <si>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</si>
  <si>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</si>
  <si>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</si>
  <si>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</si>
  <si>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</si>
  <si>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</si>
  <si>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</si>
  <si>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</si>
  <si>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</si>
  <si>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</si>
  <si>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</si>
  <si>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</si>
  <si>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</si>
  <si>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</si>
  <si>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</si>
  <si>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</si>
  <si>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</si>
  <si>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</si>
  <si>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</si>
  <si>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</si>
  <si>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</si>
  <si>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</si>
  <si>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</si>
  <si>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</si>
  <si>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</si>
  <si>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</si>
  <si>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</si>
  <si>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</si>
  <si>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</si>
  <si>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</si>
  <si>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</si>
  <si>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</si>
  <si>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</si>
  <si>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</si>
  <si>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</si>
  <si>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</si>
  <si>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</si>
  <si>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Actual Interest Paid</t>
  </si>
  <si>
    <t>PILs TAXES</t>
  </si>
  <si>
    <t>Utility Name: Enersource Hydro Mississauga Inc.</t>
  </si>
  <si>
    <t>Y</t>
  </si>
  <si>
    <t>N</t>
  </si>
  <si>
    <t xml:space="preserve">  Other adjustments approved by the Board</t>
  </si>
  <si>
    <t xml:space="preserve">  CDM 2005 incremental OM&amp;A expenses per 2005 PILs model</t>
  </si>
  <si>
    <t xml:space="preserve">     CDM Expenses for 2005</t>
  </si>
  <si>
    <t>Other Amortization</t>
  </si>
  <si>
    <t>Employee Retirement Benefit</t>
  </si>
  <si>
    <t>Amortization of fixed assets included in regulatory asset amortization</t>
  </si>
  <si>
    <t>Amortization of notional interest included in regulatory asset amortization</t>
  </si>
  <si>
    <t>Amortization of debt issue costs</t>
  </si>
  <si>
    <t>Capital tax expensed per accounts</t>
  </si>
  <si>
    <t>Accrued safety fines</t>
  </si>
  <si>
    <t>Ontario capital tax per return</t>
  </si>
  <si>
    <t>Debt issuance costs s.20(1)(e)</t>
  </si>
  <si>
    <t>Notional interest income on regulatory assets accrued for book</t>
  </si>
  <si>
    <t>Pension costs paid in year; deferred for book</t>
  </si>
  <si>
    <t>RCVA costs paid in year; deferred for book</t>
  </si>
  <si>
    <t>OEB costs paid year; deferred for book</t>
  </si>
  <si>
    <t>Method 3</t>
  </si>
  <si>
    <t>Adjustments to reported prior years' variances    (6)
LCT Adjustment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</si>
</sst>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7" xfId="42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40" borderId="0" xfId="0" applyFill="1" applyAlignment="1">
      <alignment horizontal="center" vertical="top" wrapText="1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">
      <selection activeCell="F61" sqref="F6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1" t="s">
        <v>446</v>
      </c>
      <c r="E3" s="8"/>
      <c r="F3" s="8"/>
      <c r="G3" s="8"/>
      <c r="H3" s="8"/>
    </row>
    <row r="4" spans="1:8" ht="12.75">
      <c r="A4" s="2" t="s">
        <v>476</v>
      </c>
      <c r="C4" s="8"/>
      <c r="D4" s="450" t="s">
        <v>441</v>
      </c>
      <c r="E4" s="425"/>
      <c r="H4" s="8"/>
    </row>
    <row r="5" spans="1:8" ht="12.75">
      <c r="A5" s="52"/>
      <c r="C5" s="8"/>
      <c r="D5" s="449" t="s">
        <v>442</v>
      </c>
      <c r="E5" s="396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493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5" t="s">
        <v>316</v>
      </c>
      <c r="B19" s="8" t="s">
        <v>313</v>
      </c>
      <c r="C19" s="8" t="s">
        <v>64</v>
      </c>
      <c r="D19" s="389" t="s">
        <v>492</v>
      </c>
    </row>
    <row r="20" spans="1:4" ht="13.5" thickBot="1">
      <c r="A20" s="496"/>
      <c r="B20" s="8" t="s">
        <v>314</v>
      </c>
      <c r="C20" s="8" t="s">
        <v>64</v>
      </c>
      <c r="D20" s="258" t="s">
        <v>493</v>
      </c>
    </row>
    <row r="21" spans="1:4" ht="12.75">
      <c r="A21" s="495" t="s">
        <v>312</v>
      </c>
      <c r="B21" s="8" t="s">
        <v>313</v>
      </c>
      <c r="C21" s="8"/>
      <c r="D21" s="420">
        <v>1</v>
      </c>
    </row>
    <row r="22" spans="1:4" ht="12.75">
      <c r="A22" s="495"/>
      <c r="B22" s="8" t="s">
        <v>314</v>
      </c>
      <c r="C22" s="8"/>
      <c r="D22" s="420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477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297</v>
      </c>
    </row>
    <row r="27" spans="1:5" ht="12.75">
      <c r="A27" s="256" t="s">
        <v>68</v>
      </c>
      <c r="C27" s="8"/>
      <c r="E27" s="441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18">
        <v>451388902</v>
      </c>
      <c r="H31" s="5"/>
    </row>
    <row r="32" ht="6" customHeight="1"/>
    <row r="33" spans="1:8" ht="12.75">
      <c r="A33" t="s">
        <v>71</v>
      </c>
      <c r="D33" s="419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9">
        <v>0.0988</v>
      </c>
      <c r="H37" s="41"/>
    </row>
    <row r="38" ht="4.5" customHeight="1">
      <c r="H38" s="34"/>
    </row>
    <row r="39" spans="1:8" ht="12.75">
      <c r="A39" t="s">
        <v>74</v>
      </c>
      <c r="D39" s="419">
        <v>0.069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36526389.949839994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11664606</v>
      </c>
      <c r="E43" s="388">
        <f>D43</f>
        <v>11664606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24861783.949839994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3">
        <v>8287261</v>
      </c>
      <c r="E47" s="388">
        <f aca="true" t="shared" si="0" ref="E47:E53">D47</f>
        <v>8287261</v>
      </c>
      <c r="H47" s="40"/>
      <c r="J47" s="5"/>
      <c r="K47" s="5"/>
    </row>
    <row r="48" spans="1:11" ht="12.75">
      <c r="A48" t="s">
        <v>290</v>
      </c>
      <c r="D48" s="423">
        <v>8287261</v>
      </c>
      <c r="E48" s="388">
        <f>D48</f>
        <v>8287261</v>
      </c>
      <c r="F48" s="22"/>
      <c r="H48" s="40"/>
      <c r="J48" s="5"/>
      <c r="K48" s="5"/>
    </row>
    <row r="49" spans="1:11" ht="12.75">
      <c r="A49" t="s">
        <v>291</v>
      </c>
      <c r="D49" s="424"/>
      <c r="E49" s="388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5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C51" s="487"/>
      <c r="D51" s="425">
        <v>8263000</v>
      </c>
      <c r="E51" s="388">
        <f t="shared" si="0"/>
        <v>8263000</v>
      </c>
      <c r="G51" s="3"/>
      <c r="H51" s="40"/>
      <c r="J51" s="5"/>
      <c r="K51" s="5"/>
    </row>
    <row r="52" spans="1:11" ht="12.75">
      <c r="A52" t="s">
        <v>494</v>
      </c>
      <c r="D52" s="423">
        <v>1647623</v>
      </c>
      <c r="E52" s="388">
        <f>+D52</f>
        <v>1647623</v>
      </c>
      <c r="G52" s="485"/>
      <c r="H52" s="40"/>
      <c r="J52" s="5"/>
      <c r="K52" s="5"/>
    </row>
    <row r="53" spans="4:11" ht="12.75">
      <c r="D53" s="425"/>
      <c r="E53" s="388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38149751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180555560.8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17838889.40704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270833341.2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18687500.5428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10207702.592684135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14447601.324765204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14447601.324765204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18687500.5428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70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zoomScale="75" zoomScaleNormal="75" zoomScalePageLayoutView="0" workbookViewId="0" topLeftCell="A154">
      <selection activeCell="G58" sqref="G5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Enersource Hydro Mississauga Inc.</v>
      </c>
      <c r="B6" s="115"/>
      <c r="D6" s="137"/>
      <c r="E6" s="115"/>
      <c r="G6" s="115"/>
      <c r="H6" s="461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1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38149751</v>
      </c>
      <c r="D16" s="17"/>
      <c r="E16" s="267">
        <f>G16-C16</f>
        <v>-852751</v>
      </c>
      <c r="F16" s="3"/>
      <c r="G16" s="267">
        <f>TAXREC!E50</f>
        <v>37297000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23653000</v>
      </c>
      <c r="D20" s="18"/>
      <c r="E20" s="267">
        <f>G20-C20</f>
        <v>6113000</v>
      </c>
      <c r="F20" s="6"/>
      <c r="G20" s="267">
        <f>TAXREC!E61</f>
        <v>29766000</v>
      </c>
      <c r="H20" s="151"/>
    </row>
    <row r="21" spans="1:8" ht="12.75">
      <c r="A21" s="158" t="s">
        <v>56</v>
      </c>
      <c r="B21" s="127">
        <v>3</v>
      </c>
      <c r="C21" s="261">
        <v>3448957</v>
      </c>
      <c r="D21" s="18"/>
      <c r="E21" s="267">
        <f>G21-C21</f>
        <v>-3448957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>
        <v>2049461</v>
      </c>
      <c r="D22" s="18"/>
      <c r="E22" s="267">
        <f>G22-C22</f>
        <v>-2049461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>
        <v>2140123</v>
      </c>
      <c r="D23" s="18"/>
      <c r="E23" s="267">
        <f>G23-C23</f>
        <v>138654</v>
      </c>
      <c r="F23" s="6"/>
      <c r="G23" s="267">
        <f>TAXREC!E64</f>
        <v>2278777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1896234</v>
      </c>
      <c r="F28" s="6"/>
      <c r="G28" s="267">
        <f>TAXREC!E67</f>
        <v>1896234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402051</v>
      </c>
      <c r="F29" s="6"/>
      <c r="G29" s="267">
        <f>TAXREC!E68</f>
        <v>402051</v>
      </c>
      <c r="H29" s="151"/>
    </row>
    <row r="30" spans="1:8" ht="15.75">
      <c r="A30" s="476" t="s">
        <v>395</v>
      </c>
      <c r="B30" s="127"/>
      <c r="C30" s="259"/>
      <c r="D30" s="18"/>
      <c r="E30" s="267">
        <f>G30-C30</f>
        <v>3334672</v>
      </c>
      <c r="F30" s="6"/>
      <c r="G30" s="267">
        <f>TAXREC!E66</f>
        <v>3334672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23322350</v>
      </c>
      <c r="D33" s="132"/>
      <c r="E33" s="267">
        <f aca="true" t="shared" si="0" ref="E33:E42">G33-C33</f>
        <v>5066138</v>
      </c>
      <c r="F33" s="6"/>
      <c r="G33" s="267">
        <f>TAXREC!E97+TAXREC!E98</f>
        <v>28388488</v>
      </c>
      <c r="H33" s="151"/>
    </row>
    <row r="34" spans="1:8" ht="12.75">
      <c r="A34" s="158" t="s">
        <v>57</v>
      </c>
      <c r="B34" s="127">
        <v>8</v>
      </c>
      <c r="C34" s="261">
        <v>3448957</v>
      </c>
      <c r="D34" s="132"/>
      <c r="E34" s="267">
        <f t="shared" si="0"/>
        <v>-3448957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437681</v>
      </c>
      <c r="F35" s="6"/>
      <c r="G35" s="267">
        <f>TAXREC!E100</f>
        <v>437681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18687500.5428</v>
      </c>
      <c r="D37" s="132"/>
      <c r="E37" s="267">
        <f t="shared" si="0"/>
        <v>-2728500.542800002</v>
      </c>
      <c r="F37" s="6"/>
      <c r="G37" s="267">
        <f>TAXREC!E51</f>
        <v>15959000</v>
      </c>
      <c r="H37" s="151"/>
    </row>
    <row r="38" spans="1:8" ht="12.75">
      <c r="A38" s="155" t="s">
        <v>262</v>
      </c>
      <c r="B38" s="125">
        <v>4</v>
      </c>
      <c r="C38" s="261">
        <v>2140123</v>
      </c>
      <c r="D38" s="132"/>
      <c r="E38" s="267">
        <f t="shared" si="0"/>
        <v>-2140123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>
        <v>2049461</v>
      </c>
      <c r="D39" s="132"/>
      <c r="E39" s="267">
        <f t="shared" si="0"/>
        <v>0</v>
      </c>
      <c r="F39" s="6"/>
      <c r="G39" s="267">
        <f>TAXREC!E105</f>
        <v>2049461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495</v>
      </c>
      <c r="B44" s="127">
        <v>12</v>
      </c>
      <c r="C44" s="261">
        <v>924000</v>
      </c>
      <c r="D44" s="132"/>
      <c r="E44" s="267">
        <f aca="true" t="shared" si="1" ref="E44:E49">G44-C44</f>
        <v>-924000</v>
      </c>
      <c r="F44" s="6"/>
      <c r="G44" s="251">
        <v>0</v>
      </c>
      <c r="H44" s="151"/>
    </row>
    <row r="45" spans="1:8" ht="12.75">
      <c r="A45" s="158" t="s">
        <v>156</v>
      </c>
      <c r="B45" s="127">
        <v>12</v>
      </c>
      <c r="C45" s="261"/>
      <c r="D45" s="132"/>
      <c r="E45" s="267">
        <f t="shared" si="1"/>
        <v>0</v>
      </c>
      <c r="F45" s="6"/>
      <c r="G45" s="251">
        <f>TAXREC!E130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 t="shared" si="1"/>
        <v>0</v>
      </c>
      <c r="F46" s="6"/>
      <c r="G46" s="251">
        <f>TAXREC!E131</f>
        <v>0</v>
      </c>
      <c r="H46" s="151"/>
    </row>
    <row r="47" spans="1:8" ht="12.75">
      <c r="A47" s="158" t="s">
        <v>155</v>
      </c>
      <c r="B47" s="127">
        <v>12</v>
      </c>
      <c r="C47" s="261"/>
      <c r="D47" s="132"/>
      <c r="E47" s="267">
        <f t="shared" si="1"/>
        <v>2385084</v>
      </c>
      <c r="F47" s="6"/>
      <c r="G47" s="251">
        <f>TAXREC!E110</f>
        <v>2385084</v>
      </c>
      <c r="H47" s="151"/>
    </row>
    <row r="48" spans="1:8" ht="12.75">
      <c r="A48" s="158" t="s">
        <v>154</v>
      </c>
      <c r="B48" s="127">
        <v>12</v>
      </c>
      <c r="C48" s="261"/>
      <c r="D48" s="132"/>
      <c r="E48" s="267">
        <f t="shared" si="1"/>
        <v>112248</v>
      </c>
      <c r="F48" s="6"/>
      <c r="G48" s="251">
        <f>TAXREC!E111</f>
        <v>112248</v>
      </c>
      <c r="H48" s="151"/>
    </row>
    <row r="49" spans="1:8" ht="15.75">
      <c r="A49" s="476" t="s">
        <v>395</v>
      </c>
      <c r="B49" s="127"/>
      <c r="C49" s="259"/>
      <c r="D49" s="132"/>
      <c r="E49" s="267">
        <f t="shared" si="1"/>
        <v>2902432</v>
      </c>
      <c r="F49" s="6"/>
      <c r="G49" s="251">
        <f>TAXREC!E108</f>
        <v>2902432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328</v>
      </c>
      <c r="B51" s="125"/>
      <c r="C51" s="263">
        <f>C16+SUM(C20:C30)-SUM(C33:C49)</f>
        <v>18868900.4572</v>
      </c>
      <c r="D51" s="102"/>
      <c r="E51" s="263">
        <f>E16+SUM(E20:E30)-SUM(E33:E49)</f>
        <v>3871439.542800002</v>
      </c>
      <c r="F51" s="428" t="s">
        <v>367</v>
      </c>
      <c r="G51" s="263">
        <f>G16+SUM(G20:G30)-SUM(G33:G49)</f>
        <v>22740340</v>
      </c>
      <c r="H51" s="160"/>
    </row>
    <row r="52" spans="1:9" ht="12.75">
      <c r="A52" s="159"/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336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340</v>
      </c>
      <c r="B54" s="127">
        <v>13</v>
      </c>
      <c r="C54" s="262">
        <f>IF($C$51&gt;'Tax Rates'!$E$11,'Tax Rates'!$F$16,IF($C$51&gt;'Tax Rates'!$C$11,'Tax Rates'!$E$16,'Tax Rates'!$C$16))</f>
        <v>0.3612</v>
      </c>
      <c r="D54" s="102"/>
      <c r="E54" s="268">
        <f>+G54-C54</f>
        <v>0</v>
      </c>
      <c r="F54" s="114"/>
      <c r="G54" s="469">
        <f>+'Tax Rates'!F52</f>
        <v>0.3612</v>
      </c>
      <c r="H54" s="151"/>
      <c r="I54" s="466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4">
        <f>IF(C51&gt;0,C51*C54,0)</f>
        <v>6815446.84514064</v>
      </c>
      <c r="D56" s="102"/>
      <c r="E56" s="267">
        <f>G56-C56</f>
        <v>1398364.1548593603</v>
      </c>
      <c r="F56" s="428" t="s">
        <v>368</v>
      </c>
      <c r="G56" s="264">
        <f>TAXREC!E144</f>
        <v>8213811</v>
      </c>
      <c r="H56" s="161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5"/>
      <c r="D59" s="132"/>
      <c r="E59" s="267">
        <f>+G59-C59</f>
        <v>36437</v>
      </c>
      <c r="F59" s="428" t="s">
        <v>368</v>
      </c>
      <c r="G59" s="270">
        <f>TAXREC!E145</f>
        <v>36437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6">
        <f>+C56-C59</f>
        <v>6815446.84514064</v>
      </c>
      <c r="D61" s="133"/>
      <c r="E61" s="269">
        <f>+E56-E59</f>
        <v>1361927.1548593603</v>
      </c>
      <c r="F61" s="428" t="s">
        <v>368</v>
      </c>
      <c r="G61" s="269">
        <f>+G56-G59</f>
        <v>8177374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10" ht="12.75">
      <c r="A65" s="158"/>
      <c r="B65" s="127"/>
      <c r="C65" s="105"/>
      <c r="D65" s="18"/>
      <c r="E65" s="139"/>
      <c r="F65" s="6"/>
      <c r="G65" s="139"/>
      <c r="H65" s="151"/>
      <c r="J65" s="34"/>
    </row>
    <row r="66" spans="1:10" ht="12.75">
      <c r="A66" s="156" t="s">
        <v>29</v>
      </c>
      <c r="B66" s="126"/>
      <c r="C66" s="105"/>
      <c r="D66" s="18"/>
      <c r="E66" s="139"/>
      <c r="F66" s="6"/>
      <c r="G66" s="139"/>
      <c r="H66" s="151"/>
      <c r="J66" s="34"/>
    </row>
    <row r="67" spans="1:10" ht="12.75">
      <c r="A67" s="152" t="s">
        <v>17</v>
      </c>
      <c r="B67" s="125">
        <v>15</v>
      </c>
      <c r="C67" s="264">
        <f>Ratebase</f>
        <v>451388902</v>
      </c>
      <c r="D67" s="102"/>
      <c r="E67" s="267">
        <f>G67-C67</f>
        <v>61619818</v>
      </c>
      <c r="F67" s="6"/>
      <c r="G67" s="471">
        <v>513008720</v>
      </c>
      <c r="H67" s="151"/>
      <c r="I67" s="472" t="s">
        <v>468</v>
      </c>
      <c r="J67" s="34"/>
    </row>
    <row r="68" spans="1:10" ht="12.75">
      <c r="A68" s="152" t="s">
        <v>360</v>
      </c>
      <c r="B68" s="125">
        <v>16</v>
      </c>
      <c r="C68" s="260">
        <f>IF(C67&gt;0,'Tax Rates'!C21,0)</f>
        <v>7500000</v>
      </c>
      <c r="D68" s="102"/>
      <c r="E68" s="267">
        <f>G68-C68</f>
        <v>-463011</v>
      </c>
      <c r="F68" s="6"/>
      <c r="G68" s="267">
        <f>'Tax Rates'!C57</f>
        <v>7036989</v>
      </c>
      <c r="H68" s="151"/>
      <c r="I68" s="472" t="s">
        <v>468</v>
      </c>
      <c r="J68" s="488"/>
    </row>
    <row r="69" spans="1:10" ht="12.75">
      <c r="A69" s="152" t="s">
        <v>42</v>
      </c>
      <c r="B69" s="125"/>
      <c r="C69" s="264">
        <f>IF((C67-C68)&gt;0,C67-C68,0)</f>
        <v>443888902</v>
      </c>
      <c r="D69" s="102"/>
      <c r="E69" s="267">
        <f>SUM(E67:E68)</f>
        <v>61156807</v>
      </c>
      <c r="F69" s="114"/>
      <c r="G69" s="264">
        <f>G67-G68</f>
        <v>505971731</v>
      </c>
      <c r="H69" s="160"/>
      <c r="J69" s="34"/>
    </row>
    <row r="70" spans="1:10" ht="12.75">
      <c r="A70" s="152"/>
      <c r="B70" s="125"/>
      <c r="C70" s="110"/>
      <c r="D70" s="18"/>
      <c r="E70" s="139"/>
      <c r="F70" s="6"/>
      <c r="G70" s="139"/>
      <c r="H70" s="151"/>
      <c r="J70" s="34"/>
    </row>
    <row r="71" spans="1:10" ht="12.75">
      <c r="A71" s="152" t="s">
        <v>361</v>
      </c>
      <c r="B71" s="125">
        <v>17</v>
      </c>
      <c r="C71" s="301">
        <f>'Tax Rates'!C18</f>
        <v>0.003</v>
      </c>
      <c r="D71" s="102"/>
      <c r="E71" s="268">
        <f>+G71-C71</f>
        <v>0</v>
      </c>
      <c r="F71" s="6"/>
      <c r="G71" s="301">
        <v>0.003</v>
      </c>
      <c r="H71" s="151"/>
      <c r="J71" s="34"/>
    </row>
    <row r="72" spans="1:10" ht="12.75">
      <c r="A72" s="152"/>
      <c r="B72" s="125"/>
      <c r="C72" s="185"/>
      <c r="D72" s="18"/>
      <c r="E72" s="140"/>
      <c r="F72" s="6"/>
      <c r="G72" s="185"/>
      <c r="H72" s="151"/>
      <c r="J72" s="34"/>
    </row>
    <row r="73" spans="1:10" ht="12.75">
      <c r="A73" s="152" t="s">
        <v>317</v>
      </c>
      <c r="B73" s="125"/>
      <c r="C73" s="264">
        <f>IF(C69&gt;0,C69*C71,0)*REGINFO!$B$6/REGINFO!$B$7</f>
        <v>1331666.706</v>
      </c>
      <c r="D73" s="101"/>
      <c r="E73" s="267">
        <f>+G73-C73</f>
        <v>186248.48699999973</v>
      </c>
      <c r="F73" s="473"/>
      <c r="G73" s="264">
        <f>IF(G69&gt;0,G69*G71,0)*REGINFO!$B$6/REGINFO!$B$7</f>
        <v>1517915.1929999997</v>
      </c>
      <c r="H73" s="161"/>
      <c r="J73" s="34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218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4">
        <f>Ratebase</f>
        <v>451388902</v>
      </c>
      <c r="D76" s="102"/>
      <c r="E76" s="267">
        <f>+G76-C76</f>
        <v>51905752</v>
      </c>
      <c r="F76" s="6"/>
      <c r="G76" s="471">
        <v>503294654</v>
      </c>
      <c r="H76" s="151"/>
      <c r="I76" s="472" t="s">
        <v>468</v>
      </c>
    </row>
    <row r="77" spans="1:9" ht="12.75">
      <c r="A77" s="152" t="s">
        <v>360</v>
      </c>
      <c r="B77" s="125">
        <v>19</v>
      </c>
      <c r="C77" s="260">
        <f>IF(C76&gt;0,'Tax Rates'!C22,0)</f>
        <v>50000000</v>
      </c>
      <c r="D77" s="18"/>
      <c r="E77" s="267">
        <f>+G77-C77</f>
        <v>0</v>
      </c>
      <c r="F77" s="6"/>
      <c r="G77" s="267">
        <f>'Tax Rates'!C58</f>
        <v>50000000</v>
      </c>
      <c r="H77" s="151"/>
      <c r="I77" s="472" t="s">
        <v>468</v>
      </c>
    </row>
    <row r="78" spans="1:8" ht="12.75">
      <c r="A78" s="152" t="s">
        <v>42</v>
      </c>
      <c r="B78" s="125"/>
      <c r="C78" s="264">
        <f>IF((C76-C77)&gt;0,C76-C77,0)</f>
        <v>401388902</v>
      </c>
      <c r="D78" s="19"/>
      <c r="E78" s="267">
        <f>SUM(E76:E77)</f>
        <v>51905752</v>
      </c>
      <c r="F78" s="114"/>
      <c r="G78" s="264">
        <f>IF(G77&gt;G76,0,G76-G77)</f>
        <v>453294654</v>
      </c>
      <c r="H78" s="160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361</v>
      </c>
      <c r="B80" s="125">
        <v>20</v>
      </c>
      <c r="C80" s="301">
        <f>'Tax Rates'!C19</f>
        <v>0.00175</v>
      </c>
      <c r="D80" s="102"/>
      <c r="E80" s="268">
        <f>G80-C80</f>
        <v>0</v>
      </c>
      <c r="F80" s="6"/>
      <c r="G80" s="268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318</v>
      </c>
      <c r="B82" s="125"/>
      <c r="C82" s="264">
        <f>IF(C78&gt;0,C78*C80,0)*REGINFO!$B$6/REGINFO!$B$7</f>
        <v>702430.5785000001</v>
      </c>
      <c r="D82" s="102"/>
      <c r="E82" s="267">
        <f>+G82-C82</f>
        <v>90835.06599999999</v>
      </c>
      <c r="F82" s="6"/>
      <c r="G82" s="264">
        <f>G78*G80*B9/B10</f>
        <v>793265.6445</v>
      </c>
      <c r="H82" s="151"/>
    </row>
    <row r="83" spans="1:8" ht="12.75">
      <c r="A83" s="152" t="s">
        <v>319</v>
      </c>
      <c r="B83" s="125">
        <v>21</v>
      </c>
      <c r="C83" s="300">
        <f>IF(C78&gt;0,IF(C61&gt;0,C51*'Tax Rates'!C20,0),0)</f>
        <v>211331.68512063997</v>
      </c>
      <c r="D83" s="102"/>
      <c r="E83" s="267">
        <f>+G83-C83</f>
        <v>43360.12287936002</v>
      </c>
      <c r="F83" s="6"/>
      <c r="G83" s="300">
        <f>IF(G78&gt;0,IF(G61&gt;0,G51*'Tax Rates'!C56,0),0)</f>
        <v>254691.808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4">
        <f>C82-C83</f>
        <v>491098.8933793601</v>
      </c>
      <c r="D85" s="16"/>
      <c r="E85" s="267">
        <f>E82-E83</f>
        <v>47474.943120639975</v>
      </c>
      <c r="F85" s="103"/>
      <c r="G85" s="264">
        <f>G82-G83</f>
        <v>538573.8365000001</v>
      </c>
      <c r="H85" s="161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3"/>
    </row>
    <row r="87" spans="1:8" ht="12.75">
      <c r="A87" s="154" t="s">
        <v>118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8"/>
      <c r="H88" s="151"/>
    </row>
    <row r="89" spans="1:8" ht="12.75">
      <c r="A89" s="152" t="s">
        <v>227</v>
      </c>
      <c r="B89" s="125"/>
      <c r="C89" s="262">
        <f>IF($C$51&gt;'Tax Rates'!$E$11,'Tax Rates'!$F$16,IF(AND($C$51&gt;='Tax Rates'!$C$11,$C$51&lt;='Tax Rates'!E11),'Tax Rates'!$E$16,'Tax Rates'!$C$16))</f>
        <v>0.3612</v>
      </c>
      <c r="D89" s="11"/>
      <c r="E89" s="114"/>
      <c r="F89" s="6"/>
      <c r="G89" s="198"/>
      <c r="H89" s="151"/>
    </row>
    <row r="90" spans="1:8" ht="12.75">
      <c r="A90" s="150"/>
      <c r="B90" s="129"/>
      <c r="C90" s="110"/>
      <c r="D90" s="11"/>
      <c r="E90" s="114"/>
      <c r="F90" s="6"/>
      <c r="G90" s="198"/>
      <c r="H90" s="151"/>
    </row>
    <row r="91" spans="1:8" ht="12.75">
      <c r="A91" s="158" t="s">
        <v>369</v>
      </c>
      <c r="B91" s="127">
        <v>22</v>
      </c>
      <c r="C91" s="264">
        <f>C61/(1-C89)</f>
        <v>10669140.333657857</v>
      </c>
      <c r="D91" s="20"/>
      <c r="E91" s="139"/>
      <c r="F91" s="427" t="s">
        <v>486</v>
      </c>
      <c r="G91" s="270">
        <f>TAXREC!E156</f>
        <v>8177374</v>
      </c>
      <c r="H91" s="151"/>
    </row>
    <row r="92" spans="1:8" ht="12.75">
      <c r="A92" s="158" t="s">
        <v>370</v>
      </c>
      <c r="B92" s="127">
        <v>23</v>
      </c>
      <c r="C92" s="264">
        <f>C85/(1-C89)</f>
        <v>768783.4899489043</v>
      </c>
      <c r="D92" s="20"/>
      <c r="E92" s="139"/>
      <c r="F92" s="427" t="s">
        <v>486</v>
      </c>
      <c r="G92" s="270">
        <f>TAXREC!E158</f>
        <v>538574</v>
      </c>
      <c r="H92" s="151"/>
    </row>
    <row r="93" spans="1:8" ht="12.75">
      <c r="A93" s="158" t="s">
        <v>348</v>
      </c>
      <c r="B93" s="127">
        <v>24</v>
      </c>
      <c r="C93" s="264">
        <f>C73</f>
        <v>1331666.706</v>
      </c>
      <c r="D93" s="20"/>
      <c r="E93" s="139"/>
      <c r="F93" s="427" t="s">
        <v>486</v>
      </c>
      <c r="G93" s="270">
        <f>TAXREC!E157</f>
        <v>1517897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487</v>
      </c>
      <c r="B96" s="125">
        <v>25</v>
      </c>
      <c r="C96" s="269">
        <f>SUM(C91:C94)</f>
        <v>12769590.529606761</v>
      </c>
      <c r="D96" s="6"/>
      <c r="E96" s="139"/>
      <c r="F96" s="427" t="s">
        <v>486</v>
      </c>
      <c r="G96" s="411">
        <f>SUM(G91:G95)</f>
        <v>10233845</v>
      </c>
      <c r="H96" s="164"/>
    </row>
    <row r="97" spans="1:8" ht="12.75">
      <c r="A97" s="401" t="s">
        <v>308</v>
      </c>
      <c r="B97" s="125"/>
      <c r="C97" s="105"/>
      <c r="D97" s="6"/>
      <c r="E97" s="109"/>
      <c r="F97" s="6"/>
      <c r="G97" s="139"/>
      <c r="H97" s="164"/>
    </row>
    <row r="98" spans="1:8" ht="13.5" thickBot="1">
      <c r="A98" s="152"/>
      <c r="B98" s="125"/>
      <c r="C98" s="105"/>
      <c r="D98" s="6"/>
      <c r="E98" s="109"/>
      <c r="F98" s="6"/>
      <c r="G98" s="139"/>
      <c r="H98" s="182"/>
    </row>
    <row r="99" spans="1:8" ht="13.5" thickTop="1">
      <c r="A99" s="165"/>
      <c r="B99" s="124"/>
      <c r="C99" s="111"/>
      <c r="D99" s="7"/>
      <c r="E99" s="142"/>
      <c r="F99" s="7"/>
      <c r="G99" s="199"/>
      <c r="H99" s="164"/>
    </row>
    <row r="100" spans="1:8" ht="12.75">
      <c r="A100" s="156" t="s">
        <v>305</v>
      </c>
      <c r="B100" s="123"/>
      <c r="C100" s="112"/>
      <c r="D100" s="3"/>
      <c r="E100" s="112"/>
      <c r="F100" s="3"/>
      <c r="G100" s="200"/>
      <c r="H100" s="164"/>
    </row>
    <row r="101" spans="1:8" ht="15">
      <c r="A101" s="166" t="s">
        <v>247</v>
      </c>
      <c r="B101" s="123"/>
      <c r="C101" s="112"/>
      <c r="D101" s="3"/>
      <c r="E101" s="143" t="s">
        <v>249</v>
      </c>
      <c r="F101" s="37"/>
      <c r="G101" s="200"/>
      <c r="H101" s="164"/>
    </row>
    <row r="102" spans="1:8" ht="12.75">
      <c r="A102" s="156" t="s">
        <v>346</v>
      </c>
      <c r="B102" s="123"/>
      <c r="C102" s="112"/>
      <c r="D102" s="3"/>
      <c r="E102" s="112"/>
      <c r="F102" s="37"/>
      <c r="G102" s="200"/>
      <c r="H102" s="164"/>
    </row>
    <row r="103" spans="1:8" ht="12.75">
      <c r="A103" s="158" t="s">
        <v>56</v>
      </c>
      <c r="B103" s="127">
        <v>3</v>
      </c>
      <c r="C103" s="112"/>
      <c r="D103" s="3"/>
      <c r="E103" s="251">
        <f>E21</f>
        <v>-3448957</v>
      </c>
      <c r="F103" s="37"/>
      <c r="G103" s="201"/>
      <c r="H103" s="164"/>
    </row>
    <row r="104" spans="1:8" ht="12.75">
      <c r="A104" s="158" t="s">
        <v>10</v>
      </c>
      <c r="B104" s="127">
        <v>4</v>
      </c>
      <c r="C104" s="112"/>
      <c r="D104" s="3"/>
      <c r="E104" s="251">
        <f>E22</f>
        <v>-2049461</v>
      </c>
      <c r="F104" s="37"/>
      <c r="G104" s="201"/>
      <c r="H104" s="164"/>
    </row>
    <row r="105" spans="1:8" ht="12.75">
      <c r="A105" s="158" t="s">
        <v>100</v>
      </c>
      <c r="B105" s="127">
        <v>4</v>
      </c>
      <c r="C105" s="112"/>
      <c r="D105" s="3"/>
      <c r="E105" s="251">
        <f>E23</f>
        <v>138654</v>
      </c>
      <c r="F105" s="37"/>
      <c r="G105" s="201"/>
      <c r="H105" s="164"/>
    </row>
    <row r="106" spans="1:8" ht="12.75">
      <c r="A106" s="158" t="s">
        <v>44</v>
      </c>
      <c r="B106" s="127">
        <v>5</v>
      </c>
      <c r="C106" s="112"/>
      <c r="D106" s="3"/>
      <c r="E106" s="251">
        <f>E24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E26</f>
        <v>0</v>
      </c>
      <c r="F107" s="37"/>
      <c r="G107" s="201"/>
      <c r="H107" s="164"/>
    </row>
    <row r="108" spans="1:8" ht="12.75">
      <c r="A108" s="158" t="s">
        <v>364</v>
      </c>
      <c r="B108" s="127">
        <v>6</v>
      </c>
      <c r="C108" s="112"/>
      <c r="D108" s="3"/>
      <c r="E108" s="251">
        <f>E28</f>
        <v>1896234</v>
      </c>
      <c r="F108" s="37"/>
      <c r="G108" s="201"/>
      <c r="H108" s="164"/>
    </row>
    <row r="109" spans="1:8" ht="12.75">
      <c r="A109" s="156" t="s">
        <v>362</v>
      </c>
      <c r="B109" s="127"/>
      <c r="C109" s="112"/>
      <c r="D109" s="3"/>
      <c r="E109" s="30"/>
      <c r="F109" s="37"/>
      <c r="G109" s="201"/>
      <c r="H109" s="164"/>
    </row>
    <row r="110" spans="1:8" ht="12.75">
      <c r="A110" s="158" t="s">
        <v>57</v>
      </c>
      <c r="B110" s="127">
        <v>8</v>
      </c>
      <c r="C110" s="112"/>
      <c r="D110" s="3"/>
      <c r="E110" s="251">
        <f>E34</f>
        <v>-3448957</v>
      </c>
      <c r="F110" s="37"/>
      <c r="G110" s="201"/>
      <c r="H110" s="164"/>
    </row>
    <row r="111" spans="1:8" ht="12.75">
      <c r="A111" s="158" t="s">
        <v>45</v>
      </c>
      <c r="B111" s="127">
        <v>9</v>
      </c>
      <c r="C111" s="112"/>
      <c r="D111" s="3"/>
      <c r="E111" s="251">
        <f>E35</f>
        <v>437681</v>
      </c>
      <c r="F111" s="37"/>
      <c r="G111" s="201"/>
      <c r="H111" s="164"/>
    </row>
    <row r="112" spans="1:8" ht="12.75">
      <c r="A112" s="158" t="s">
        <v>44</v>
      </c>
      <c r="B112" s="127">
        <v>10</v>
      </c>
      <c r="C112" s="112"/>
      <c r="D112" s="3"/>
      <c r="E112" s="251">
        <f>E36</f>
        <v>0</v>
      </c>
      <c r="F112" s="37"/>
      <c r="G112" s="201"/>
      <c r="H112" s="164"/>
    </row>
    <row r="113" spans="1:8" ht="12.75">
      <c r="A113" s="155" t="s">
        <v>472</v>
      </c>
      <c r="B113" s="127">
        <v>11</v>
      </c>
      <c r="C113" s="112"/>
      <c r="D113" s="3"/>
      <c r="E113" s="468">
        <f>E207</f>
        <v>0</v>
      </c>
      <c r="F113" s="187"/>
      <c r="G113" s="201"/>
      <c r="H113" s="164"/>
    </row>
    <row r="114" spans="1:8" ht="12.75">
      <c r="A114" s="155" t="s">
        <v>15</v>
      </c>
      <c r="B114" s="125">
        <v>4</v>
      </c>
      <c r="C114" s="112"/>
      <c r="D114" s="3"/>
      <c r="E114" s="251">
        <f>E38</f>
        <v>-2140123</v>
      </c>
      <c r="F114" s="37"/>
      <c r="G114" s="201"/>
      <c r="H114" s="164"/>
    </row>
    <row r="115" spans="1:8" ht="12.75">
      <c r="A115" s="155" t="s">
        <v>101</v>
      </c>
      <c r="B115" s="125">
        <v>4</v>
      </c>
      <c r="C115" s="112"/>
      <c r="D115" s="3"/>
      <c r="E115" s="251">
        <f>E39</f>
        <v>0</v>
      </c>
      <c r="F115" s="37"/>
      <c r="G115" s="201"/>
      <c r="H115" s="164"/>
    </row>
    <row r="116" spans="1:8" ht="12.75">
      <c r="A116" s="155" t="s">
        <v>12</v>
      </c>
      <c r="B116" s="125">
        <v>3</v>
      </c>
      <c r="C116" s="112"/>
      <c r="D116" s="3"/>
      <c r="E116" s="251">
        <f>E40</f>
        <v>0</v>
      </c>
      <c r="F116" s="37"/>
      <c r="G116" s="201"/>
      <c r="H116" s="164"/>
    </row>
    <row r="117" spans="1:8" ht="12.75">
      <c r="A117" s="155" t="s">
        <v>13</v>
      </c>
      <c r="B117" s="125">
        <v>3</v>
      </c>
      <c r="C117" s="112"/>
      <c r="D117" s="3"/>
      <c r="E117" s="251">
        <f>E41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E45</f>
        <v>0</v>
      </c>
      <c r="F118" s="37"/>
      <c r="G118" s="201"/>
      <c r="H118" s="164"/>
    </row>
    <row r="119" spans="1:8" ht="12.75">
      <c r="A119" s="158" t="s">
        <v>366</v>
      </c>
      <c r="B119" s="127">
        <v>12</v>
      </c>
      <c r="C119" s="112"/>
      <c r="D119" s="3"/>
      <c r="E119" s="251">
        <f>E47</f>
        <v>2385084</v>
      </c>
      <c r="F119" s="37"/>
      <c r="G119" s="201"/>
      <c r="H119" s="164"/>
    </row>
    <row r="120" spans="1:8" ht="12.75">
      <c r="A120" s="158"/>
      <c r="B120" s="127"/>
      <c r="C120" s="112"/>
      <c r="D120" s="3"/>
      <c r="E120" s="110"/>
      <c r="F120" s="37"/>
      <c r="G120" s="201"/>
      <c r="H120" s="164"/>
    </row>
    <row r="121" spans="1:8" ht="12.75">
      <c r="A121" s="152" t="s">
        <v>220</v>
      </c>
      <c r="B121" s="127">
        <v>26</v>
      </c>
      <c r="C121" s="112"/>
      <c r="D121" s="117" t="s">
        <v>189</v>
      </c>
      <c r="E121" s="264">
        <f>SUM(E103:E108)-SUM(E110:E119)</f>
        <v>-697215</v>
      </c>
      <c r="F121" s="37"/>
      <c r="G121" s="201"/>
      <c r="H121" s="164"/>
    </row>
    <row r="122" spans="1:8" ht="12.75">
      <c r="A122" s="152"/>
      <c r="B122" s="127"/>
      <c r="C122" s="112"/>
      <c r="D122" s="117"/>
      <c r="E122" s="110"/>
      <c r="F122" s="37"/>
      <c r="G122" s="201"/>
      <c r="H122" s="164"/>
    </row>
    <row r="123" spans="1:8" ht="12.75">
      <c r="A123" s="157" t="s">
        <v>488</v>
      </c>
      <c r="B123" s="127"/>
      <c r="C123" s="112"/>
      <c r="D123" s="3" t="s">
        <v>231</v>
      </c>
      <c r="E123" s="465">
        <f>+'Tax Rates'!F52</f>
        <v>0.3612</v>
      </c>
      <c r="F123" s="466"/>
      <c r="G123" s="201" t="s">
        <v>102</v>
      </c>
      <c r="H123" s="164"/>
    </row>
    <row r="124" spans="1:8" ht="12.75">
      <c r="A124" s="158"/>
      <c r="B124" s="127"/>
      <c r="C124" s="112"/>
      <c r="D124" s="3"/>
      <c r="E124" s="110"/>
      <c r="F124" s="37"/>
      <c r="G124" s="201" t="s">
        <v>102</v>
      </c>
      <c r="H124" s="164"/>
    </row>
    <row r="125" spans="1:8" ht="12.75">
      <c r="A125" s="158" t="s">
        <v>246</v>
      </c>
      <c r="B125" s="127"/>
      <c r="C125" s="112"/>
      <c r="D125" s="3" t="s">
        <v>189</v>
      </c>
      <c r="E125" s="264">
        <f>E121*E123</f>
        <v>-251834.05800000002</v>
      </c>
      <c r="F125" s="37"/>
      <c r="G125" s="201"/>
      <c r="H125" s="164"/>
    </row>
    <row r="126" spans="1:8" ht="12.75">
      <c r="A126" s="158"/>
      <c r="B126" s="127"/>
      <c r="C126" s="112"/>
      <c r="D126" s="3"/>
      <c r="E126" s="110"/>
      <c r="F126" s="37"/>
      <c r="G126" s="201"/>
      <c r="H126" s="164"/>
    </row>
    <row r="127" spans="1:8" ht="12.75">
      <c r="A127" s="158" t="s">
        <v>114</v>
      </c>
      <c r="B127" s="127">
        <v>14</v>
      </c>
      <c r="C127" s="112"/>
      <c r="D127" s="3"/>
      <c r="E127" s="264">
        <f>E59</f>
        <v>36437</v>
      </c>
      <c r="F127" s="37"/>
      <c r="G127" s="201"/>
      <c r="H127" s="164"/>
    </row>
    <row r="128" spans="1:8" ht="12.75">
      <c r="A128" s="158"/>
      <c r="B128" s="127"/>
      <c r="C128" s="112"/>
      <c r="D128" s="3"/>
      <c r="E128" s="110"/>
      <c r="F128" s="37"/>
      <c r="G128" s="201"/>
      <c r="H128" s="164"/>
    </row>
    <row r="129" spans="1:8" ht="12.75">
      <c r="A129" s="158" t="s">
        <v>117</v>
      </c>
      <c r="B129" s="127"/>
      <c r="C129" s="112"/>
      <c r="D129" s="3"/>
      <c r="E129" s="264">
        <f>E125-E127</f>
        <v>-288271.058</v>
      </c>
      <c r="F129" s="37"/>
      <c r="G129" s="201"/>
      <c r="H129" s="164"/>
    </row>
    <row r="130" spans="1:8" ht="12.75">
      <c r="A130" s="167"/>
      <c r="B130" s="127"/>
      <c r="C130" s="112"/>
      <c r="D130" s="3"/>
      <c r="E130" s="110"/>
      <c r="F130" s="37"/>
      <c r="G130" s="201"/>
      <c r="H130" s="164"/>
    </row>
    <row r="131" spans="1:8" ht="12.75">
      <c r="A131" s="152" t="s">
        <v>196</v>
      </c>
      <c r="B131" s="127"/>
      <c r="C131" s="112"/>
      <c r="D131" s="3"/>
      <c r="E131" s="312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37"/>
      <c r="G131" s="201"/>
      <c r="H131" s="164"/>
    </row>
    <row r="132" spans="1:8" ht="12.75">
      <c r="A132" s="150"/>
      <c r="B132" s="127"/>
      <c r="C132" s="112"/>
      <c r="D132" s="3"/>
      <c r="E132" s="110"/>
      <c r="F132" s="37"/>
      <c r="G132" s="201"/>
      <c r="H132" s="164"/>
    </row>
    <row r="133" spans="1:8" ht="12.75">
      <c r="A133" s="168" t="s">
        <v>352</v>
      </c>
      <c r="B133" s="130"/>
      <c r="C133" s="112"/>
      <c r="D133" s="3"/>
      <c r="E133" s="480">
        <f>E129/(1-E131)</f>
        <v>-443493.9353846155</v>
      </c>
      <c r="F133" s="37"/>
      <c r="G133" s="201"/>
      <c r="H133" s="164"/>
    </row>
    <row r="134" spans="1:8" ht="12.75">
      <c r="A134" s="168"/>
      <c r="B134" s="130"/>
      <c r="C134" s="112"/>
      <c r="D134" s="3"/>
      <c r="E134" s="107"/>
      <c r="F134" s="37"/>
      <c r="G134" s="201"/>
      <c r="H134" s="164"/>
    </row>
    <row r="135" spans="1:8" ht="30">
      <c r="A135" s="169" t="s">
        <v>355</v>
      </c>
      <c r="B135" s="130"/>
      <c r="C135" s="112"/>
      <c r="D135" s="3"/>
      <c r="E135" s="107"/>
      <c r="F135" s="37"/>
      <c r="G135" s="201"/>
      <c r="H135" s="164"/>
    </row>
    <row r="136" spans="1:8" ht="12.75">
      <c r="A136" s="170"/>
      <c r="B136" s="130"/>
      <c r="C136" s="112"/>
      <c r="D136" s="3"/>
      <c r="E136" s="107"/>
      <c r="F136" s="37"/>
      <c r="G136" s="201"/>
      <c r="H136" s="164"/>
    </row>
    <row r="137" spans="1:8" ht="25.5">
      <c r="A137" s="171" t="s">
        <v>235</v>
      </c>
      <c r="B137" s="130"/>
      <c r="C137" s="112"/>
      <c r="D137" s="118" t="s">
        <v>189</v>
      </c>
      <c r="E137" s="302">
        <f>C51</f>
        <v>18868900.4572</v>
      </c>
      <c r="F137" s="37"/>
      <c r="G137" s="201"/>
      <c r="H137" s="164"/>
    </row>
    <row r="138" spans="1:8" ht="12.75">
      <c r="A138" s="171"/>
      <c r="B138" s="130"/>
      <c r="C138" s="112"/>
      <c r="D138" s="119"/>
      <c r="E138" s="145"/>
      <c r="F138" s="37"/>
      <c r="G138" s="201"/>
      <c r="H138" s="164"/>
    </row>
    <row r="139" spans="1:8" ht="12.75">
      <c r="A139" s="171" t="s">
        <v>237</v>
      </c>
      <c r="B139" s="130"/>
      <c r="C139" s="112"/>
      <c r="D139" s="119" t="s">
        <v>231</v>
      </c>
      <c r="E139" s="312">
        <f>IF((E121+E137)&gt;'Tax Rates'!E47,'Tax Rates'!F52,IF((E121+E137)&gt;'Tax Rates'!D47,'Tax Rates'!E52,IF((E121+E137)&gt;'Tax Rates'!C47,'Tax Rates'!D52,'Tax Rates'!C52)))</f>
        <v>0.3612</v>
      </c>
      <c r="F139" s="197" t="s">
        <v>102</v>
      </c>
      <c r="G139" s="201"/>
      <c r="H139" s="164"/>
    </row>
    <row r="140" spans="1:8" ht="12.75">
      <c r="A140" s="171"/>
      <c r="B140" s="130"/>
      <c r="C140" s="112"/>
      <c r="D140" s="119"/>
      <c r="E140" s="144"/>
      <c r="F140" s="37"/>
      <c r="G140" s="201"/>
      <c r="H140" s="164"/>
    </row>
    <row r="141" spans="1:8" ht="12.75">
      <c r="A141" s="171" t="s">
        <v>229</v>
      </c>
      <c r="B141" s="130"/>
      <c r="C141" s="112"/>
      <c r="D141" s="118" t="s">
        <v>189</v>
      </c>
      <c r="E141" s="303">
        <f>IF(E137&gt;0,E137*E139,0)</f>
        <v>6815446.84514064</v>
      </c>
      <c r="F141" s="37"/>
      <c r="G141" s="201"/>
      <c r="H141" s="164"/>
    </row>
    <row r="142" spans="1:8" ht="12.75">
      <c r="A142" s="171"/>
      <c r="B142" s="130"/>
      <c r="C142" s="112"/>
      <c r="D142" s="119"/>
      <c r="E142" s="144"/>
      <c r="F142" s="37"/>
      <c r="G142" s="201"/>
      <c r="H142" s="164"/>
    </row>
    <row r="143" spans="1:8" ht="12.75">
      <c r="A143" s="171" t="s">
        <v>238</v>
      </c>
      <c r="B143" s="130"/>
      <c r="C143" s="112"/>
      <c r="D143" s="118" t="s">
        <v>188</v>
      </c>
      <c r="E143" s="304">
        <f>TAXREC!E145</f>
        <v>36437</v>
      </c>
      <c r="F143" s="37"/>
      <c r="G143" s="201"/>
      <c r="H143" s="164"/>
    </row>
    <row r="144" spans="1:8" ht="12.75">
      <c r="A144" s="171"/>
      <c r="B144" s="130"/>
      <c r="C144" s="112"/>
      <c r="D144" s="119"/>
      <c r="E144" s="144"/>
      <c r="F144" s="37"/>
      <c r="G144" s="201"/>
      <c r="H144" s="164"/>
    </row>
    <row r="145" spans="1:8" ht="12.75">
      <c r="A145" s="171" t="s">
        <v>230</v>
      </c>
      <c r="B145" s="130"/>
      <c r="C145" s="112"/>
      <c r="D145" s="119" t="s">
        <v>189</v>
      </c>
      <c r="E145" s="302">
        <f>E141-E143</f>
        <v>6779009.84514064</v>
      </c>
      <c r="F145" s="37"/>
      <c r="G145" s="201"/>
      <c r="H145" s="164"/>
    </row>
    <row r="146" spans="1:8" ht="12.75">
      <c r="A146" s="171"/>
      <c r="B146" s="130"/>
      <c r="C146" s="112"/>
      <c r="D146" s="119"/>
      <c r="E146" s="144"/>
      <c r="F146" s="37"/>
      <c r="G146" s="201"/>
      <c r="H146" s="164"/>
    </row>
    <row r="147" spans="1:8" ht="25.5">
      <c r="A147" s="171" t="s">
        <v>239</v>
      </c>
      <c r="B147" s="130"/>
      <c r="C147" s="112"/>
      <c r="D147" s="118" t="s">
        <v>188</v>
      </c>
      <c r="E147" s="302">
        <f>C61</f>
        <v>6815446.84514064</v>
      </c>
      <c r="F147" s="37"/>
      <c r="G147" s="201"/>
      <c r="H147" s="164"/>
    </row>
    <row r="148" spans="1:8" ht="12.75">
      <c r="A148" s="171"/>
      <c r="B148" s="130"/>
      <c r="C148" s="112"/>
      <c r="D148" s="119"/>
      <c r="E148" s="144"/>
      <c r="F148" s="37"/>
      <c r="G148" s="201"/>
      <c r="H148" s="164"/>
    </row>
    <row r="149" spans="1:8" ht="12.75">
      <c r="A149" s="171" t="s">
        <v>232</v>
      </c>
      <c r="B149" s="130"/>
      <c r="C149" s="112"/>
      <c r="D149" s="118" t="s">
        <v>189</v>
      </c>
      <c r="E149" s="302">
        <f>E145-E147</f>
        <v>-36437</v>
      </c>
      <c r="F149" s="37"/>
      <c r="G149" s="201"/>
      <c r="H149" s="164"/>
    </row>
    <row r="150" spans="1:8" ht="12.75">
      <c r="A150" s="171"/>
      <c r="B150" s="130"/>
      <c r="C150" s="112"/>
      <c r="D150" s="119"/>
      <c r="E150" s="144"/>
      <c r="F150" s="37"/>
      <c r="G150" s="201"/>
      <c r="H150" s="164"/>
    </row>
    <row r="151" spans="1:8" ht="12.75">
      <c r="A151" s="387" t="s">
        <v>20</v>
      </c>
      <c r="B151" s="130"/>
      <c r="C151" s="112"/>
      <c r="D151" s="119"/>
      <c r="E151" s="475"/>
      <c r="F151" s="37"/>
      <c r="G151" s="201"/>
      <c r="H151" s="164"/>
    </row>
    <row r="152" spans="1:8" ht="12.75">
      <c r="A152" s="171" t="s">
        <v>17</v>
      </c>
      <c r="B152" s="130"/>
      <c r="C152" s="112"/>
      <c r="D152" s="119" t="s">
        <v>189</v>
      </c>
      <c r="E152" s="302">
        <f>C67</f>
        <v>451388902</v>
      </c>
      <c r="F152" s="37"/>
      <c r="G152" s="201"/>
      <c r="H152" s="164"/>
    </row>
    <row r="153" spans="1:8" ht="12.75">
      <c r="A153" s="171" t="s">
        <v>358</v>
      </c>
      <c r="B153" s="130"/>
      <c r="C153" s="112"/>
      <c r="D153" s="118" t="s">
        <v>188</v>
      </c>
      <c r="E153" s="305">
        <f>IF(E152&gt;0,'Tax Rates'!C39,0)</f>
        <v>7500000</v>
      </c>
      <c r="F153" s="37"/>
      <c r="G153" s="201"/>
      <c r="H153" s="164"/>
    </row>
    <row r="154" spans="1:8" ht="12.75">
      <c r="A154" s="171" t="s">
        <v>233</v>
      </c>
      <c r="B154" s="130"/>
      <c r="C154" s="112"/>
      <c r="D154" s="118" t="s">
        <v>189</v>
      </c>
      <c r="E154" s="302">
        <f>E152-E153</f>
        <v>443888902</v>
      </c>
      <c r="F154" s="37"/>
      <c r="G154" s="201"/>
      <c r="H154" s="164"/>
    </row>
    <row r="155" spans="1:8" ht="12.75">
      <c r="A155" s="171"/>
      <c r="B155" s="130"/>
      <c r="C155" s="112"/>
      <c r="D155" s="119"/>
      <c r="E155" s="144"/>
      <c r="F155" s="37"/>
      <c r="G155" s="201"/>
      <c r="H155" s="164"/>
    </row>
    <row r="156" spans="1:8" ht="12.75">
      <c r="A156" s="171" t="s">
        <v>359</v>
      </c>
      <c r="B156" s="130"/>
      <c r="C156" s="112"/>
      <c r="D156" s="119" t="s">
        <v>231</v>
      </c>
      <c r="E156" s="306">
        <f>'Tax Rates'!C54</f>
        <v>0.003</v>
      </c>
      <c r="F156" s="37"/>
      <c r="G156" s="201"/>
      <c r="H156" s="164"/>
    </row>
    <row r="157" spans="1:8" ht="12.75">
      <c r="A157" s="171"/>
      <c r="B157" s="130"/>
      <c r="C157" s="112"/>
      <c r="D157" s="119"/>
      <c r="E157" s="144"/>
      <c r="F157" s="37"/>
      <c r="G157" s="201"/>
      <c r="H157" s="164"/>
    </row>
    <row r="158" spans="1:8" ht="12.75">
      <c r="A158" s="171" t="s">
        <v>234</v>
      </c>
      <c r="B158" s="130"/>
      <c r="C158" s="112"/>
      <c r="D158" s="119" t="s">
        <v>189</v>
      </c>
      <c r="E158" s="302">
        <f>IF(E154&gt;0,E154*E156*B9/B10,0)</f>
        <v>1331666.706</v>
      </c>
      <c r="F158" s="37"/>
      <c r="G158" s="201"/>
      <c r="H158" s="164"/>
    </row>
    <row r="159" spans="1:8" ht="25.5">
      <c r="A159" s="171" t="s">
        <v>309</v>
      </c>
      <c r="B159" s="130"/>
      <c r="C159" s="112"/>
      <c r="D159" s="118" t="s">
        <v>188</v>
      </c>
      <c r="E159" s="305">
        <f>C73</f>
        <v>1331666.706</v>
      </c>
      <c r="F159" s="37"/>
      <c r="G159" s="201"/>
      <c r="H159" s="164"/>
    </row>
    <row r="160" spans="1:8" ht="12.75" customHeight="1">
      <c r="A160" s="172" t="s">
        <v>244</v>
      </c>
      <c r="B160" s="130"/>
      <c r="C160" s="112"/>
      <c r="D160" s="118" t="s">
        <v>189</v>
      </c>
      <c r="E160" s="470">
        <f>E158-E159</f>
        <v>0</v>
      </c>
      <c r="F160" s="37"/>
      <c r="G160" s="201"/>
      <c r="H160" s="164"/>
    </row>
    <row r="161" spans="1:8" ht="12.75">
      <c r="A161" s="171"/>
      <c r="B161" s="130"/>
      <c r="C161" s="112"/>
      <c r="D161" s="119"/>
      <c r="E161" s="144"/>
      <c r="F161" s="37"/>
      <c r="G161" s="201"/>
      <c r="H161" s="164"/>
    </row>
    <row r="162" spans="1:8" ht="12.75">
      <c r="A162" s="387" t="s">
        <v>236</v>
      </c>
      <c r="B162" s="130"/>
      <c r="C162" s="112"/>
      <c r="D162" s="119"/>
      <c r="E162" s="304"/>
      <c r="F162" s="37"/>
      <c r="G162" s="201"/>
      <c r="H162" s="164"/>
    </row>
    <row r="163" spans="1:8" ht="12.75">
      <c r="A163" s="171" t="s">
        <v>17</v>
      </c>
      <c r="B163" s="130"/>
      <c r="C163" s="112"/>
      <c r="D163" s="119"/>
      <c r="E163" s="302">
        <f>C76</f>
        <v>451388902</v>
      </c>
      <c r="F163" s="37"/>
      <c r="G163" s="201"/>
      <c r="H163" s="164"/>
    </row>
    <row r="164" spans="1:8" ht="12.75">
      <c r="A164" s="171" t="s">
        <v>357</v>
      </c>
      <c r="B164" s="130"/>
      <c r="C164" s="112"/>
      <c r="D164" s="118" t="s">
        <v>188</v>
      </c>
      <c r="E164" s="305">
        <f>IF(E163&gt;0,'Tax Rates'!C40,0)</f>
        <v>50000000</v>
      </c>
      <c r="F164" s="37"/>
      <c r="G164" s="201"/>
      <c r="H164" s="164"/>
    </row>
    <row r="165" spans="1:8" ht="12.75">
      <c r="A165" s="171" t="s">
        <v>240</v>
      </c>
      <c r="B165" s="130"/>
      <c r="C165" s="112"/>
      <c r="D165" s="119" t="s">
        <v>189</v>
      </c>
      <c r="E165" s="302">
        <f>E163-E164</f>
        <v>401388902</v>
      </c>
      <c r="F165" s="37"/>
      <c r="G165" s="201"/>
      <c r="H165" s="164"/>
    </row>
    <row r="166" spans="1:8" ht="12.75">
      <c r="A166" s="171"/>
      <c r="B166" s="130"/>
      <c r="C166" s="112"/>
      <c r="D166" s="119"/>
      <c r="E166" s="144"/>
      <c r="F166" s="37"/>
      <c r="G166" s="201"/>
      <c r="H166" s="164"/>
    </row>
    <row r="167" spans="1:8" ht="12.75">
      <c r="A167" s="171" t="s">
        <v>310</v>
      </c>
      <c r="B167" s="130"/>
      <c r="C167" s="112"/>
      <c r="D167" s="119"/>
      <c r="E167" s="306">
        <f>'Tax Rates'!C55</f>
        <v>0.00175</v>
      </c>
      <c r="F167" s="37"/>
      <c r="G167" s="201"/>
      <c r="H167" s="164"/>
    </row>
    <row r="168" spans="1:8" ht="12.75">
      <c r="A168" s="171"/>
      <c r="B168" s="130"/>
      <c r="C168" s="112"/>
      <c r="D168" s="119"/>
      <c r="E168" s="144"/>
      <c r="F168" s="37"/>
      <c r="G168" s="201"/>
      <c r="H168" s="164"/>
    </row>
    <row r="169" spans="1:8" ht="12.75">
      <c r="A169" s="171" t="s">
        <v>241</v>
      </c>
      <c r="B169" s="130"/>
      <c r="C169" s="112"/>
      <c r="D169" s="119"/>
      <c r="E169" s="302">
        <f>IF(E165&gt;0,E165*E167*B9/B10,0)</f>
        <v>702430.5785000001</v>
      </c>
      <c r="F169" s="37"/>
      <c r="G169" s="201"/>
      <c r="H169" s="164"/>
    </row>
    <row r="170" spans="1:8" ht="12.75">
      <c r="A170" s="171" t="s">
        <v>320</v>
      </c>
      <c r="B170" s="130"/>
      <c r="C170" s="112"/>
      <c r="D170" s="118" t="s">
        <v>188</v>
      </c>
      <c r="E170" s="307">
        <f>IF(E165&gt;0,IF(E145&gt;0,E137*'Tax Rates'!C56,0),0)</f>
        <v>211331.68512063997</v>
      </c>
      <c r="F170" s="37"/>
      <c r="G170" s="201"/>
      <c r="H170" s="164"/>
    </row>
    <row r="171" spans="1:8" ht="12.75">
      <c r="A171" s="171" t="s">
        <v>242</v>
      </c>
      <c r="B171" s="130"/>
      <c r="C171" s="112"/>
      <c r="D171" s="119" t="s">
        <v>189</v>
      </c>
      <c r="E171" s="302">
        <f>E169-E170</f>
        <v>491098.8933793601</v>
      </c>
      <c r="F171" s="37"/>
      <c r="G171" s="201"/>
      <c r="H171" s="164"/>
    </row>
    <row r="172" spans="1:8" ht="12.75">
      <c r="A172" s="171"/>
      <c r="B172" s="130"/>
      <c r="C172" s="112"/>
      <c r="D172" s="119"/>
      <c r="E172" s="241"/>
      <c r="F172" s="37"/>
      <c r="G172" s="201"/>
      <c r="H172" s="164"/>
    </row>
    <row r="173" spans="1:8" ht="12.75">
      <c r="A173" s="412" t="s">
        <v>347</v>
      </c>
      <c r="B173" s="130"/>
      <c r="C173" s="112"/>
      <c r="D173" s="118" t="s">
        <v>188</v>
      </c>
      <c r="E173" s="305">
        <f>C85</f>
        <v>491098.8933793601</v>
      </c>
      <c r="F173" s="37"/>
      <c r="G173" s="201"/>
      <c r="H173" s="164"/>
    </row>
    <row r="174" spans="1:8" ht="12.75">
      <c r="A174" s="155" t="s">
        <v>245</v>
      </c>
      <c r="B174" s="130"/>
      <c r="C174" s="112"/>
      <c r="D174" s="119" t="s">
        <v>189</v>
      </c>
      <c r="E174" s="470">
        <f>E171-E173</f>
        <v>0</v>
      </c>
      <c r="F174" s="37"/>
      <c r="G174" s="201"/>
      <c r="H174" s="164"/>
    </row>
    <row r="175" spans="1:8" ht="12.75">
      <c r="A175" s="155"/>
      <c r="B175" s="130"/>
      <c r="C175" s="112"/>
      <c r="D175" s="119"/>
      <c r="E175" s="144"/>
      <c r="F175" s="37"/>
      <c r="G175" s="201"/>
      <c r="H175" s="164"/>
    </row>
    <row r="176" spans="1:8" ht="12.75">
      <c r="A176" s="155" t="s">
        <v>345</v>
      </c>
      <c r="B176" s="130"/>
      <c r="C176" s="112"/>
      <c r="D176" s="119"/>
      <c r="E176" s="465">
        <f>IF((E121+G51)&gt;'Tax Rates'!E47,'Tax Rates'!F52-1.12%,IF((E121+G51)&gt;'Tax Rates'!D47,'Tax Rates'!E52-1.12%,IF((E121+G51)&gt;'Tax Rates'!C47,'Tax Rates'!D52,'Tax Rates'!C52-1.12%)))</f>
        <v>0.35000000000000003</v>
      </c>
      <c r="F176" s="466"/>
      <c r="G176" s="201"/>
      <c r="H176" s="164"/>
    </row>
    <row r="177" spans="1:8" ht="12.75">
      <c r="A177" s="155"/>
      <c r="B177" s="130"/>
      <c r="C177" s="112"/>
      <c r="D177" s="119"/>
      <c r="E177" s="144"/>
      <c r="F177" s="37"/>
      <c r="G177" s="201"/>
      <c r="H177" s="164"/>
    </row>
    <row r="178" spans="1:8" ht="12.75">
      <c r="A178" s="168" t="s">
        <v>243</v>
      </c>
      <c r="B178" s="130"/>
      <c r="C178" s="112"/>
      <c r="D178" s="119" t="s">
        <v>187</v>
      </c>
      <c r="E178" s="302">
        <f>E149/(1-E176)</f>
        <v>-56056.923076923085</v>
      </c>
      <c r="F178" s="37"/>
      <c r="G178" s="201"/>
      <c r="H178" s="164"/>
    </row>
    <row r="179" spans="1:8" ht="12.75">
      <c r="A179" s="168" t="s">
        <v>33</v>
      </c>
      <c r="B179" s="130"/>
      <c r="C179" s="112"/>
      <c r="D179" s="119" t="s">
        <v>187</v>
      </c>
      <c r="E179" s="302">
        <f>IF(E165&gt;0,E174/(1-E176),-C92)</f>
        <v>0</v>
      </c>
      <c r="F179" s="37"/>
      <c r="G179" s="201"/>
      <c r="H179" s="164"/>
    </row>
    <row r="180" spans="1:8" ht="12.75">
      <c r="A180" s="168" t="s">
        <v>20</v>
      </c>
      <c r="B180" s="130"/>
      <c r="C180" s="112"/>
      <c r="D180" s="119" t="s">
        <v>187</v>
      </c>
      <c r="E180" s="302">
        <f>E160</f>
        <v>0</v>
      </c>
      <c r="F180" s="37"/>
      <c r="G180" s="201"/>
      <c r="H180" s="164"/>
    </row>
    <row r="181" spans="1:8" ht="12.75">
      <c r="A181" s="155"/>
      <c r="B181" s="130"/>
      <c r="C181" s="112"/>
      <c r="D181" s="119"/>
      <c r="E181" s="144"/>
      <c r="F181" s="37"/>
      <c r="G181" s="201"/>
      <c r="H181" s="164"/>
    </row>
    <row r="182" spans="1:8" ht="12.75">
      <c r="A182" s="168" t="s">
        <v>353</v>
      </c>
      <c r="B182" s="130"/>
      <c r="C182" s="112"/>
      <c r="D182" s="119" t="s">
        <v>189</v>
      </c>
      <c r="E182" s="479">
        <f>SUM(E178:E180)</f>
        <v>-56056.923076923085</v>
      </c>
      <c r="F182" s="37"/>
      <c r="G182" s="201"/>
      <c r="H182" s="164"/>
    </row>
    <row r="183" spans="1:8" ht="12.75">
      <c r="A183" s="155"/>
      <c r="B183" s="130"/>
      <c r="C183" s="112"/>
      <c r="D183" s="119"/>
      <c r="E183" s="144"/>
      <c r="F183" s="37"/>
      <c r="G183" s="201"/>
      <c r="H183" s="164"/>
    </row>
    <row r="184" spans="1:8" ht="12.75">
      <c r="A184" s="168" t="s">
        <v>471</v>
      </c>
      <c r="B184" s="130"/>
      <c r="C184" s="112"/>
      <c r="D184" s="119" t="s">
        <v>187</v>
      </c>
      <c r="E184" s="479">
        <f>E133</f>
        <v>-443493.9353846155</v>
      </c>
      <c r="F184" s="37" t="s">
        <v>102</v>
      </c>
      <c r="G184" s="201"/>
      <c r="H184" s="164"/>
    </row>
    <row r="185" spans="1:8" ht="12.75">
      <c r="A185" s="168"/>
      <c r="B185" s="130"/>
      <c r="C185" s="112"/>
      <c r="D185" s="119"/>
      <c r="E185" s="144"/>
      <c r="F185" s="37"/>
      <c r="G185" s="201"/>
      <c r="H185" s="164"/>
    </row>
    <row r="186" spans="1:8" ht="15">
      <c r="A186" s="173" t="s">
        <v>354</v>
      </c>
      <c r="B186" s="130"/>
      <c r="C186" s="112"/>
      <c r="D186" s="119" t="s">
        <v>189</v>
      </c>
      <c r="E186" s="479">
        <f>E182+E184</f>
        <v>-499550.85846153856</v>
      </c>
      <c r="F186" s="37"/>
      <c r="G186" s="201"/>
      <c r="H186" s="164"/>
    </row>
    <row r="187" spans="1:8" ht="12.75">
      <c r="A187" s="162" t="s">
        <v>248</v>
      </c>
      <c r="B187" s="127"/>
      <c r="C187" s="112"/>
      <c r="D187" s="119"/>
      <c r="E187" s="146"/>
      <c r="F187" s="37"/>
      <c r="G187" s="201"/>
      <c r="H187" s="164"/>
    </row>
    <row r="188" spans="1:8" ht="12.75">
      <c r="A188" s="162"/>
      <c r="B188" s="127"/>
      <c r="C188" s="112"/>
      <c r="D188" s="119"/>
      <c r="E188" s="147"/>
      <c r="F188" s="37"/>
      <c r="G188" s="201"/>
      <c r="H188" s="164"/>
    </row>
    <row r="189" spans="1:8" ht="13.5" thickBot="1">
      <c r="A189" s="150"/>
      <c r="B189" s="127"/>
      <c r="C189" s="112"/>
      <c r="D189" s="119"/>
      <c r="E189" s="147"/>
      <c r="F189" s="37"/>
      <c r="G189" s="201"/>
      <c r="H189" s="164"/>
    </row>
    <row r="190" spans="1:8" ht="13.5" thickTop="1">
      <c r="A190" s="174"/>
      <c r="B190" s="131"/>
      <c r="C190" s="113"/>
      <c r="D190" s="99"/>
      <c r="E190" s="148"/>
      <c r="F190" s="7"/>
      <c r="G190" s="124"/>
      <c r="H190" s="175"/>
    </row>
    <row r="191" spans="1:8" ht="12.75">
      <c r="A191" s="168" t="s">
        <v>58</v>
      </c>
      <c r="B191" s="127"/>
      <c r="C191" s="114"/>
      <c r="D191" s="119"/>
      <c r="E191" s="146"/>
      <c r="F191" s="3"/>
      <c r="G191" s="123"/>
      <c r="H191" s="164"/>
    </row>
    <row r="192" spans="1:8" ht="12.75">
      <c r="A192" s="154" t="s">
        <v>83</v>
      </c>
      <c r="B192" s="123"/>
      <c r="C192" s="115"/>
      <c r="D192" s="119"/>
      <c r="E192" s="147"/>
      <c r="F192" s="3"/>
      <c r="G192" s="123"/>
      <c r="H192" s="164"/>
    </row>
    <row r="193" spans="1:8" ht="12.75">
      <c r="A193" s="154"/>
      <c r="B193" s="123"/>
      <c r="C193" s="115"/>
      <c r="D193" s="119"/>
      <c r="E193" s="147"/>
      <c r="F193" s="3"/>
      <c r="G193" s="123"/>
      <c r="H193" s="164"/>
    </row>
    <row r="194" spans="1:8" ht="12.75">
      <c r="A194" s="155" t="s">
        <v>224</v>
      </c>
      <c r="B194" s="127"/>
      <c r="C194" s="112"/>
      <c r="D194" s="120"/>
      <c r="E194" s="308">
        <f>REGINFO!D62</f>
        <v>18687500.5428</v>
      </c>
      <c r="F194" s="3"/>
      <c r="G194" s="123"/>
      <c r="H194" s="164"/>
    </row>
    <row r="195" spans="1:8" ht="12.75">
      <c r="A195" s="155" t="s">
        <v>251</v>
      </c>
      <c r="B195" s="127"/>
      <c r="C195" s="112"/>
      <c r="D195" s="120"/>
      <c r="E195" s="308">
        <f>REGINFO!D66</f>
        <v>14447601.324765204</v>
      </c>
      <c r="F195" s="3"/>
      <c r="G195" s="123"/>
      <c r="H195" s="164"/>
    </row>
    <row r="196" spans="1:8" ht="12.75">
      <c r="A196" s="155"/>
      <c r="B196" s="127"/>
      <c r="C196" s="112"/>
      <c r="D196" s="120"/>
      <c r="E196" s="149"/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308">
        <f>E194-E195</f>
        <v>4239899.218034798</v>
      </c>
      <c r="F197" s="3"/>
      <c r="G197" s="123"/>
      <c r="H197" s="164"/>
    </row>
    <row r="198" spans="1:8" ht="12.75">
      <c r="A198" s="155" t="s">
        <v>344</v>
      </c>
      <c r="B198" s="127"/>
      <c r="C198" s="112"/>
      <c r="D198" s="120"/>
      <c r="E198" s="147"/>
      <c r="F198" s="3"/>
      <c r="G198" s="123"/>
      <c r="H198" s="164"/>
    </row>
    <row r="199" spans="1:8" ht="12.75">
      <c r="A199" s="155"/>
      <c r="B199" s="127"/>
      <c r="C199" s="112"/>
      <c r="D199" s="120"/>
      <c r="E199" s="147"/>
      <c r="F199" s="3"/>
      <c r="G199" s="123"/>
      <c r="H199" s="164"/>
    </row>
    <row r="200" spans="1:8" ht="12.75">
      <c r="A200" s="168" t="s">
        <v>257</v>
      </c>
      <c r="B200" s="127"/>
      <c r="C200" s="112"/>
      <c r="D200" s="120"/>
      <c r="E200" s="147"/>
      <c r="F200" s="3"/>
      <c r="G200" s="484"/>
      <c r="H200" s="164"/>
    </row>
    <row r="201" spans="1:8" ht="12.75">
      <c r="A201" s="176" t="s">
        <v>85</v>
      </c>
      <c r="B201" s="127"/>
      <c r="C201" s="112"/>
      <c r="D201" s="120"/>
      <c r="E201" s="147"/>
      <c r="F201" s="3"/>
      <c r="G201" s="484"/>
      <c r="H201" s="164"/>
    </row>
    <row r="202" spans="1:8" ht="12.75">
      <c r="A202" s="155" t="s">
        <v>252</v>
      </c>
      <c r="B202" s="127"/>
      <c r="C202" s="112"/>
      <c r="D202" s="120"/>
      <c r="E202" s="308">
        <f>G37+G42</f>
        <v>15959000</v>
      </c>
      <c r="F202" s="3"/>
      <c r="G202" s="484"/>
      <c r="H202" s="164"/>
    </row>
    <row r="203" spans="1:8" ht="12.75">
      <c r="A203" s="155" t="s">
        <v>489</v>
      </c>
      <c r="B203" s="127"/>
      <c r="C203" s="112"/>
      <c r="D203" s="120"/>
      <c r="E203" s="308">
        <f>+REGINFO!D62</f>
        <v>18687500.5428</v>
      </c>
      <c r="F203" s="3"/>
      <c r="G203" s="123"/>
      <c r="H203" s="164"/>
    </row>
    <row r="204" spans="1:8" ht="12.75">
      <c r="A204" s="155"/>
      <c r="B204" s="127"/>
      <c r="C204" s="112"/>
      <c r="D204" s="120"/>
      <c r="E204" s="149"/>
      <c r="F204" s="3"/>
      <c r="G204" s="123"/>
      <c r="H204" s="164"/>
    </row>
    <row r="205" spans="1:8" ht="12.75">
      <c r="A205" s="155" t="s">
        <v>84</v>
      </c>
      <c r="B205" s="127"/>
      <c r="C205" s="112"/>
      <c r="D205" s="120"/>
      <c r="E205" s="303">
        <f>IF((E202-E203)&gt;0,E202-E203,0)</f>
        <v>0</v>
      </c>
      <c r="F205" s="3"/>
      <c r="G205" s="123"/>
      <c r="H205" s="164"/>
    </row>
    <row r="206" spans="1:8" ht="12.75">
      <c r="A206" s="155"/>
      <c r="B206" s="127"/>
      <c r="C206" s="112"/>
      <c r="D206" s="120"/>
      <c r="E206" s="149"/>
      <c r="F206" s="3"/>
      <c r="G206" s="123"/>
      <c r="H206" s="164"/>
    </row>
    <row r="207" spans="1:8" ht="12.75">
      <c r="A207" s="168" t="s">
        <v>473</v>
      </c>
      <c r="B207" s="127"/>
      <c r="C207" s="112"/>
      <c r="D207" s="120"/>
      <c r="E207" s="467">
        <f>IF((E202-E203)&gt;0,E202-E203,0)</f>
        <v>0</v>
      </c>
      <c r="F207" s="3"/>
      <c r="G207" s="123"/>
      <c r="H207" s="164"/>
    </row>
    <row r="208" spans="1:8" ht="12.75">
      <c r="A208" s="155"/>
      <c r="B208" s="127"/>
      <c r="C208" s="112"/>
      <c r="D208" s="120"/>
      <c r="E208" s="149"/>
      <c r="F208" s="3"/>
      <c r="G208" s="123"/>
      <c r="H208" s="164"/>
    </row>
    <row r="209" spans="1:8" ht="13.5" thickBot="1">
      <c r="A209" s="177" t="s">
        <v>225</v>
      </c>
      <c r="B209" s="178"/>
      <c r="C209" s="179"/>
      <c r="D209" s="180"/>
      <c r="E209" s="309">
        <f>+E197-E205</f>
        <v>4239899.218034798</v>
      </c>
      <c r="F209" s="74"/>
      <c r="G209" s="202"/>
      <c r="H209" s="181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3:5" ht="12.75">
      <c r="C224" t="s">
        <v>102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fitToHeight="2" horizontalDpi="600" verticalDpi="600" orientation="portrait" scale="60" r:id="rId1"/>
  <headerFooter alignWithMargins="0">
    <oddFooter>&amp;C&amp;A&amp;RPage &amp;P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43">
      <selection activeCell="G58" sqref="G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Enersource Hydro Mississauga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0">
        <f>0.25%*Ratebase*REGINFO!D33</f>
        <v>451388.90200000006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1" t="s">
        <v>492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1" t="s">
        <v>493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326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259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223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324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325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672412000</v>
      </c>
      <c r="D31" s="286"/>
      <c r="E31" s="284">
        <f>C31-D31</f>
        <v>672412000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103495000</v>
      </c>
      <c r="D32" s="286"/>
      <c r="E32" s="284">
        <f>C32-D32</f>
        <v>103495000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6455000</v>
      </c>
      <c r="D33" s="286"/>
      <c r="E33" s="284">
        <f>C33-D33</f>
        <v>6455000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672412000</v>
      </c>
      <c r="D39" s="286"/>
      <c r="E39" s="284">
        <f>C39-D39</f>
        <v>672412000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48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32263585</v>
      </c>
      <c r="D42" s="286"/>
      <c r="E42" s="284">
        <f t="shared" si="0"/>
        <v>32263585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29766000</v>
      </c>
      <c r="D43" s="286"/>
      <c r="E43" s="284">
        <f t="shared" si="0"/>
        <v>29766000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1462650</v>
      </c>
      <c r="D44" s="286"/>
      <c r="E44" s="284">
        <f t="shared" si="0"/>
        <v>1462650</v>
      </c>
      <c r="F44" s="11"/>
      <c r="G44" s="11"/>
      <c r="H44" s="6"/>
      <c r="I44" s="6"/>
    </row>
    <row r="45" spans="1:11" ht="12.75">
      <c r="A45" s="492" t="s">
        <v>496</v>
      </c>
      <c r="B45" s="23" t="s">
        <v>188</v>
      </c>
      <c r="C45" s="285">
        <v>1647765</v>
      </c>
      <c r="D45" s="286"/>
      <c r="E45" s="284">
        <f t="shared" si="0"/>
        <v>1647765</v>
      </c>
      <c r="F45" s="11"/>
      <c r="G45" s="11"/>
      <c r="H45" s="33"/>
      <c r="I45" s="33"/>
      <c r="J45" s="32"/>
      <c r="K45" s="32"/>
    </row>
    <row r="46" spans="1:11" ht="12.75">
      <c r="A46" s="492" t="s">
        <v>497</v>
      </c>
      <c r="B46" s="23" t="s">
        <v>188</v>
      </c>
      <c r="C46" s="285">
        <v>7513000</v>
      </c>
      <c r="D46" s="286"/>
      <c r="E46" s="284">
        <f t="shared" si="0"/>
        <v>7513000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37297000</v>
      </c>
      <c r="D50" s="281">
        <f>SUM(D31:D36)-SUM(D39:D49)</f>
        <v>0</v>
      </c>
      <c r="E50" s="281">
        <f>SUM(E31:E35)-SUM(E39:E48)</f>
        <v>37297000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15959000</v>
      </c>
      <c r="D51" s="285"/>
      <c r="E51" s="282">
        <f>+C51-D51</f>
        <v>15959000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8559000</v>
      </c>
      <c r="D52" s="285"/>
      <c r="E52" s="283">
        <f>+C52-D52</f>
        <v>8559000</v>
      </c>
      <c r="F52" s="8"/>
      <c r="G52" s="413"/>
    </row>
    <row r="53" spans="1:6" ht="12.75">
      <c r="A53" s="2" t="s">
        <v>131</v>
      </c>
      <c r="B53" s="8" t="s">
        <v>189</v>
      </c>
      <c r="C53" s="281">
        <f>C50-C51-C52</f>
        <v>12779000</v>
      </c>
      <c r="D53" s="281">
        <f>D50-D51-D52</f>
        <v>0</v>
      </c>
      <c r="E53" s="281">
        <f>E50-E51-E52</f>
        <v>12779000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8559000</v>
      </c>
      <c r="D59" s="287">
        <f>D52</f>
        <v>0</v>
      </c>
      <c r="E59" s="272">
        <f>+C59-D59</f>
        <v>8559000</v>
      </c>
      <c r="F59" s="8"/>
      <c r="G59" s="413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29766000</v>
      </c>
      <c r="D61" s="287">
        <f>D43</f>
        <v>0</v>
      </c>
      <c r="E61" s="272">
        <f>+C61-D61</f>
        <v>29766000</v>
      </c>
      <c r="F61" s="8"/>
      <c r="G61" s="413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2278777</v>
      </c>
      <c r="D64" s="317">
        <f>'Tax Reserves'!D63</f>
        <v>0</v>
      </c>
      <c r="E64" s="272">
        <f>+C64-D64</f>
        <v>2278777</v>
      </c>
      <c r="F64" s="8"/>
    </row>
    <row r="65" spans="1:6" ht="12.75">
      <c r="A65" t="s">
        <v>443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3" t="s">
        <v>395</v>
      </c>
      <c r="B66" s="8"/>
      <c r="C66" s="443">
        <f>'TAXREC 3 No True-up'!C47</f>
        <v>3334672</v>
      </c>
      <c r="D66" s="443">
        <f>'TAXREC 3 No True-up'!D47</f>
        <v>0</v>
      </c>
      <c r="E66" s="272">
        <f>+C66-D66</f>
        <v>3334672</v>
      </c>
      <c r="F66" s="8"/>
    </row>
    <row r="67" spans="1:6" ht="12.75">
      <c r="A67" t="s">
        <v>160</v>
      </c>
      <c r="B67" s="8" t="s">
        <v>187</v>
      </c>
      <c r="C67" s="251">
        <f>'TAXREC 2'!C77</f>
        <v>1896234</v>
      </c>
      <c r="D67" s="251">
        <f>'TAXREC 2'!D77</f>
        <v>0</v>
      </c>
      <c r="E67" s="272">
        <f>+C67-D67</f>
        <v>1896234</v>
      </c>
      <c r="F67" s="8"/>
    </row>
    <row r="68" spans="1:11" ht="12.75">
      <c r="A68" t="s">
        <v>161</v>
      </c>
      <c r="B68" s="8" t="s">
        <v>187</v>
      </c>
      <c r="C68" s="251">
        <f>'TAXREC 2'!C78</f>
        <v>402051</v>
      </c>
      <c r="D68" s="251">
        <f>'TAXREC 2'!D78</f>
        <v>0</v>
      </c>
      <c r="E68" s="272">
        <f>+C68-D68</f>
        <v>402051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46236734</v>
      </c>
      <c r="D70" s="272">
        <f>SUM(D59:D68)</f>
        <v>0</v>
      </c>
      <c r="E70" s="272">
        <f>SUM(E59:E68)</f>
        <v>46236734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7"/>
      <c r="D76" s="294"/>
      <c r="E76" s="48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46236734</v>
      </c>
      <c r="D82" s="251">
        <f>D70+D80</f>
        <v>0</v>
      </c>
      <c r="E82" s="251">
        <f>E70+E80</f>
        <v>46236734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431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26702384</v>
      </c>
      <c r="D97" s="294"/>
      <c r="E97" s="272">
        <f>+C97-D97</f>
        <v>26702384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1686104</v>
      </c>
      <c r="D98" s="294"/>
      <c r="E98" s="272">
        <f>+C98-D98</f>
        <v>1686104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>
        <v>437681</v>
      </c>
      <c r="D100" s="294"/>
      <c r="E100" s="272">
        <f>+C100-D100</f>
        <v>437681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2049461</v>
      </c>
      <c r="D105" s="319">
        <f>'Tax Reserves'!D50</f>
        <v>0</v>
      </c>
      <c r="E105" s="282">
        <f t="shared" si="5"/>
        <v>2049461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395</v>
      </c>
      <c r="B108" s="8"/>
      <c r="C108" s="254">
        <f>'TAXREC 3 No True-up'!C73</f>
        <v>2902432</v>
      </c>
      <c r="D108" s="254">
        <f>'TAXREC 3 No True-up'!D73</f>
        <v>0</v>
      </c>
      <c r="E108" s="272">
        <f t="shared" si="5"/>
        <v>2902432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2385084</v>
      </c>
      <c r="D110" s="251">
        <f>'TAXREC 2'!D119</f>
        <v>0</v>
      </c>
      <c r="E110" s="251">
        <f>'TAXREC 2'!E119</f>
        <v>2385084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112248</v>
      </c>
      <c r="D111" s="251">
        <f>'TAXREC 2'!D120</f>
        <v>0</v>
      </c>
      <c r="E111" s="251">
        <f>'TAXREC 2'!E120</f>
        <v>112248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36275394</v>
      </c>
      <c r="D113" s="251">
        <f>SUM(D97:D111)</f>
        <v>0</v>
      </c>
      <c r="E113" s="251">
        <f>SUM(E97:E111)</f>
        <v>36275394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36275394</v>
      </c>
      <c r="D122" s="251">
        <f>D113+D120</f>
        <v>0</v>
      </c>
      <c r="E122" s="251">
        <f>+E113+E120</f>
        <v>36275394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22740340</v>
      </c>
      <c r="D134" s="251">
        <f>D53+D82-D122</f>
        <v>0</v>
      </c>
      <c r="E134" s="251">
        <f>E53+E82-E122</f>
        <v>22740340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22740340</v>
      </c>
      <c r="D139" s="252">
        <f>D134-D136-D137-D138</f>
        <v>0</v>
      </c>
      <c r="E139" s="252">
        <f>E134-E136-E137-E138</f>
        <v>22740340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f>4993726+36437</f>
        <v>5030163</v>
      </c>
      <c r="D142" s="298">
        <f>D139*C149</f>
        <v>0</v>
      </c>
      <c r="E142" s="252">
        <f>C142-D142</f>
        <v>5030163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3183648</v>
      </c>
      <c r="D143" s="298">
        <f>D139*C150</f>
        <v>0</v>
      </c>
      <c r="E143" s="292">
        <f>C143-D143</f>
        <v>3183648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8213811</v>
      </c>
      <c r="D144" s="252">
        <f>D142+D143</f>
        <v>0</v>
      </c>
      <c r="E144" s="252">
        <f>E142+E143</f>
        <v>8213811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36437</v>
      </c>
      <c r="D145" s="298"/>
      <c r="E145" s="293">
        <f>C145-D145</f>
        <v>36437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8177374</v>
      </c>
      <c r="D146" s="252">
        <f>D144-D145</f>
        <v>0</v>
      </c>
      <c r="E146" s="252">
        <f>E144-E145</f>
        <v>8177374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2">
        <f>C142/C139</f>
        <v>0.221199990853259</v>
      </c>
      <c r="D149" s="5"/>
      <c r="E149" s="403">
        <f>C149</f>
        <v>0.221199990853259</v>
      </c>
      <c r="F149" s="8"/>
      <c r="G149" s="478" t="s">
        <v>465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2">
        <f>C143/C139</f>
        <v>0.1400000175898865</v>
      </c>
      <c r="D150" s="5"/>
      <c r="E150" s="403">
        <f>C150</f>
        <v>0.1400000175898865</v>
      </c>
      <c r="F150" s="8"/>
      <c r="G150" s="478" t="s">
        <v>466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3">
        <f>SUM(C149:C150)</f>
        <v>0.3612000084431455</v>
      </c>
      <c r="D151" s="5"/>
      <c r="E151" s="403">
        <f>SUM(E149:E150)</f>
        <v>0.3612000084431455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470</v>
      </c>
      <c r="B155" s="8"/>
    </row>
    <row r="156" spans="1:5" ht="12.75">
      <c r="A156" t="s">
        <v>219</v>
      </c>
      <c r="B156" s="86" t="s">
        <v>187</v>
      </c>
      <c r="C156" s="251">
        <f>C146</f>
        <v>8177374</v>
      </c>
      <c r="D156" s="251">
        <f>D146</f>
        <v>0</v>
      </c>
      <c r="E156" s="251">
        <f>E146</f>
        <v>8177374</v>
      </c>
    </row>
    <row r="157" spans="1:5" ht="12.75">
      <c r="A157" t="s">
        <v>20</v>
      </c>
      <c r="B157" s="86" t="s">
        <v>187</v>
      </c>
      <c r="C157" s="474">
        <v>1517897</v>
      </c>
      <c r="D157" s="251"/>
      <c r="E157" s="251">
        <f>C157+D157</f>
        <v>1517897</v>
      </c>
    </row>
    <row r="158" spans="1:5" ht="12.75">
      <c r="A158" t="s">
        <v>218</v>
      </c>
      <c r="B158" s="86" t="s">
        <v>187</v>
      </c>
      <c r="C158" s="474">
        <v>538574</v>
      </c>
      <c r="D158" s="251"/>
      <c r="E158" s="251">
        <f>C158+D158</f>
        <v>538574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10233845</v>
      </c>
      <c r="D160" s="251">
        <f>D156+D157+D158</f>
        <v>0</v>
      </c>
      <c r="E160" s="251">
        <f>E156+E157+E158</f>
        <v>10233845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horizontalCentered="1" verticalCentered="1"/>
  <pageMargins left="0.35433070866141736" right="0.03937007874015748" top="0.9055118110236221" bottom="0.35433070866141736" header="0.2755905511811024" footer="0"/>
  <pageSetup fitToHeight="2" horizontalDpi="600" verticalDpi="600" orientation="portrait" scale="55" r:id="rId1"/>
  <headerFooter alignWithMargins="0">
    <oddFooter>&amp;C&amp;A&amp;RPage &amp;P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G58" sqref="G5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Enersource Hydro Mississauga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448</v>
      </c>
      <c r="B18" s="61"/>
      <c r="C18" s="294"/>
      <c r="D18" s="294"/>
      <c r="E18" s="251">
        <f t="shared" si="0"/>
        <v>0</v>
      </c>
    </row>
    <row r="19" spans="1:5" ht="12.75">
      <c r="A19" s="61" t="s">
        <v>448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448</v>
      </c>
      <c r="B30" s="61"/>
      <c r="C30" s="294"/>
      <c r="D30" s="294"/>
      <c r="E30" s="251">
        <f t="shared" si="1"/>
        <v>0</v>
      </c>
    </row>
    <row r="31" spans="1:5" ht="12.75">
      <c r="A31" s="61" t="s">
        <v>448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0</v>
      </c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493" t="s">
        <v>498</v>
      </c>
      <c r="B47" s="61"/>
      <c r="C47" s="294">
        <v>2049461</v>
      </c>
      <c r="D47" s="294"/>
      <c r="E47" s="251">
        <f t="shared" si="2"/>
        <v>2049461</v>
      </c>
    </row>
    <row r="48" spans="1:5" ht="12.75">
      <c r="A48" s="61" t="s">
        <v>448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2049461</v>
      </c>
      <c r="D50" s="251">
        <f>SUM(D41:D49)</f>
        <v>0</v>
      </c>
      <c r="E50" s="251">
        <f>SUM(E41:E49)</f>
        <v>2049461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138654</v>
      </c>
      <c r="D56" s="294"/>
      <c r="E56" s="251">
        <f t="shared" si="3"/>
        <v>138654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493" t="s">
        <v>498</v>
      </c>
      <c r="B59" s="61"/>
      <c r="C59" s="294">
        <v>2140123</v>
      </c>
      <c r="D59" s="294"/>
      <c r="E59" s="251">
        <f t="shared" si="3"/>
        <v>2140123</v>
      </c>
    </row>
    <row r="60" spans="1:5" ht="12.75">
      <c r="A60" s="61" t="s">
        <v>448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2278777</v>
      </c>
      <c r="D63" s="251">
        <f>SUM(D53:D61)</f>
        <v>0</v>
      </c>
      <c r="E63" s="251">
        <f>SUM(E53:E61)</f>
        <v>2278777</v>
      </c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70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106" activePane="bottomRight" state="frozen"/>
      <selection pane="topLeft" activeCell="G58" sqref="G58"/>
      <selection pane="topRight" activeCell="G58" sqref="G58"/>
      <selection pane="bottomLeft" activeCell="G58" sqref="G58"/>
      <selection pane="bottomRight" activeCell="G58" sqref="G5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463</v>
      </c>
      <c r="B5" s="8"/>
      <c r="C5" s="8" t="s">
        <v>2</v>
      </c>
      <c r="D5" s="8"/>
      <c r="E5" s="8"/>
      <c r="F5" s="8"/>
    </row>
    <row r="6" spans="1:6" ht="12.75">
      <c r="A6" s="413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Enersource Hydro Mississauga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2">
        <f>TAXREC!C13</f>
        <v>451388.90200000006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>
        <v>189803</v>
      </c>
      <c r="D19" s="295"/>
      <c r="E19" s="313">
        <f t="shared" si="0"/>
        <v>189803</v>
      </c>
    </row>
    <row r="20" spans="1:5" ht="12.75">
      <c r="A20" s="67" t="s">
        <v>449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>
        <v>112248</v>
      </c>
      <c r="D24" s="295"/>
      <c r="E24" s="313">
        <f t="shared" si="0"/>
        <v>112248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469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4" t="s">
        <v>501</v>
      </c>
      <c r="B41" t="s">
        <v>187</v>
      </c>
      <c r="C41" s="294">
        <v>433584</v>
      </c>
      <c r="D41" s="294"/>
      <c r="E41" s="251">
        <f t="shared" si="0"/>
        <v>433584</v>
      </c>
    </row>
    <row r="42" spans="1:5" ht="12.75">
      <c r="A42" s="494" t="s">
        <v>502</v>
      </c>
      <c r="B42" t="s">
        <v>187</v>
      </c>
      <c r="C42" s="294">
        <v>1462650</v>
      </c>
      <c r="D42" s="294"/>
      <c r="E42" s="251">
        <f t="shared" si="0"/>
        <v>1462650</v>
      </c>
    </row>
    <row r="43" spans="1:5" ht="12.75">
      <c r="A43" s="494" t="s">
        <v>503</v>
      </c>
      <c r="B43" t="s">
        <v>187</v>
      </c>
      <c r="C43" s="294">
        <v>100000</v>
      </c>
      <c r="D43" s="294"/>
      <c r="E43" s="251">
        <f t="shared" si="0"/>
        <v>100000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2298285</v>
      </c>
      <c r="D46" s="251">
        <f>SUM(D17:D45)</f>
        <v>0</v>
      </c>
      <c r="E46" s="251">
        <f>SUM(E17:E45)</f>
        <v>2298285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>+A41&amp;" (to prevent mis-match)"</f>
        <v>Amortization of debt issue costs (to prevent mis-match)</v>
      </c>
      <c r="B72" s="273"/>
      <c r="C72" s="251">
        <f>+C41</f>
        <v>433584</v>
      </c>
      <c r="D72" s="251">
        <f>+D41</f>
        <v>0</v>
      </c>
      <c r="E72" s="251">
        <f>+E41</f>
        <v>433584</v>
      </c>
    </row>
    <row r="73" spans="1:5" ht="12.75">
      <c r="A73" s="275" t="str">
        <f t="shared" si="4"/>
        <v>Capital tax expensed per accounts</v>
      </c>
      <c r="B73" s="273"/>
      <c r="C73" s="251">
        <f t="shared" si="3"/>
        <v>1462650</v>
      </c>
      <c r="D73" s="251">
        <f t="shared" si="3"/>
        <v>0</v>
      </c>
      <c r="E73" s="251">
        <f t="shared" si="3"/>
        <v>1462650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1896234</v>
      </c>
      <c r="D77" s="251">
        <f>SUM(D49:D75)</f>
        <v>0</v>
      </c>
      <c r="E77" s="251">
        <f>SUM(E49:E75)</f>
        <v>1896234</v>
      </c>
    </row>
    <row r="78" spans="1:5" ht="12.75">
      <c r="A78" s="276" t="s">
        <v>203</v>
      </c>
      <c r="B78" s="277"/>
      <c r="C78" s="315">
        <f>C46-C77</f>
        <v>402051</v>
      </c>
      <c r="D78" s="315">
        <f>D46-D77</f>
        <v>0</v>
      </c>
      <c r="E78" s="315">
        <f>E46-E77</f>
        <v>402051</v>
      </c>
    </row>
    <row r="79" spans="1:5" ht="12.75">
      <c r="A79" s="276" t="s">
        <v>170</v>
      </c>
      <c r="B79" s="277"/>
      <c r="C79" s="315">
        <f>C77+C78</f>
        <v>2298285</v>
      </c>
      <c r="D79" s="315">
        <f>D77+D78</f>
        <v>0</v>
      </c>
      <c r="E79" s="315">
        <f>E77+E78</f>
        <v>2298285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>
        <v>112248</v>
      </c>
      <c r="D86" s="294"/>
      <c r="E86" s="251">
        <f t="shared" si="5"/>
        <v>112248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4" t="s">
        <v>504</v>
      </c>
      <c r="B92" s="8" t="s">
        <v>188</v>
      </c>
      <c r="C92" s="294">
        <v>1517915</v>
      </c>
      <c r="D92" s="294"/>
      <c r="E92" s="251">
        <f t="shared" si="5"/>
        <v>1517915</v>
      </c>
    </row>
    <row r="93" spans="1:5" ht="12.75">
      <c r="A93" s="494" t="s">
        <v>505</v>
      </c>
      <c r="B93" s="8" t="s">
        <v>188</v>
      </c>
      <c r="C93" s="294">
        <v>867169</v>
      </c>
      <c r="D93" s="294"/>
      <c r="E93" s="251">
        <f t="shared" si="5"/>
        <v>867169</v>
      </c>
    </row>
    <row r="94" spans="1:5" ht="12.75">
      <c r="A94" s="494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/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2497332</v>
      </c>
      <c r="D99" s="251">
        <f>SUM(D82:D98)</f>
        <v>0</v>
      </c>
      <c r="E99" s="251">
        <f>SUM(E82:E98)</f>
        <v>2497332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IF($E92&gt;$C$11,A92," ")</f>
        <v>Ontario capital tax per return</v>
      </c>
      <c r="B112" s="273"/>
      <c r="C112" s="251">
        <f t="shared" si="7"/>
        <v>1517915</v>
      </c>
      <c r="D112" s="251">
        <f t="shared" si="7"/>
        <v>0</v>
      </c>
      <c r="E112" s="251">
        <f t="shared" si="7"/>
        <v>1517915</v>
      </c>
    </row>
    <row r="113" spans="1:5" ht="12.75">
      <c r="A113" s="275" t="str">
        <f>IF($E93&gt;$C$11,A93," ")</f>
        <v>Debt issuance costs s.20(1)(e)</v>
      </c>
      <c r="B113" s="273"/>
      <c r="C113" s="251">
        <f t="shared" si="7"/>
        <v>867169</v>
      </c>
      <c r="D113" s="251">
        <f t="shared" si="7"/>
        <v>0</v>
      </c>
      <c r="E113" s="251">
        <f t="shared" si="7"/>
        <v>867169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2385084</v>
      </c>
      <c r="D119" s="251">
        <f>SUM(D102:D118)</f>
        <v>0</v>
      </c>
      <c r="E119" s="251">
        <f>SUM(E102:E118)</f>
        <v>2385084</v>
      </c>
    </row>
    <row r="120" spans="1:5" ht="12.75">
      <c r="A120" s="278" t="s">
        <v>201</v>
      </c>
      <c r="B120" s="273"/>
      <c r="C120" s="251">
        <f>C99-C119</f>
        <v>112248</v>
      </c>
      <c r="D120" s="251">
        <f>D99-D119</f>
        <v>0</v>
      </c>
      <c r="E120" s="251">
        <f>E99-E119</f>
        <v>112248</v>
      </c>
    </row>
    <row r="121" spans="1:5" ht="12.75">
      <c r="A121" s="278" t="s">
        <v>171</v>
      </c>
      <c r="B121" s="273"/>
      <c r="C121" s="251">
        <f>C119+C120</f>
        <v>2497332</v>
      </c>
      <c r="D121" s="251">
        <f>D119+D120</f>
        <v>0</v>
      </c>
      <c r="E121" s="251">
        <f>E119+E120</f>
        <v>2497332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fitToHeight="2" horizontalDpi="600" verticalDpi="600" orientation="portrait" scale="60" r:id="rId1"/>
  <headerFooter alignWithMargins="0">
    <oddFooter>&amp;C&amp;A&amp;RPage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1" activePane="bottomRight" state="frozen"/>
      <selection pane="topLeft" activeCell="G58" sqref="G58"/>
      <selection pane="topRight" activeCell="G58" sqref="G58"/>
      <selection pane="bottomLeft" activeCell="G58" sqref="G58"/>
      <selection pane="bottomRight" activeCell="G58" sqref="G5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2" t="s">
        <v>385</v>
      </c>
      <c r="E3" s="92"/>
    </row>
    <row r="4" spans="1:6" ht="15.75">
      <c r="A4" s="460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Enersource Hydro Mississauga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454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432</v>
      </c>
      <c r="B32" t="s">
        <v>187</v>
      </c>
      <c r="C32" s="295">
        <v>22307</v>
      </c>
      <c r="D32" s="295"/>
      <c r="E32" s="313">
        <f t="shared" si="0"/>
        <v>22307</v>
      </c>
    </row>
    <row r="33" spans="1:5" ht="12.75">
      <c r="A33" s="67" t="s">
        <v>433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450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451</v>
      </c>
      <c r="C35" s="295"/>
      <c r="D35" s="295"/>
      <c r="E35" s="313">
        <f t="shared" si="0"/>
        <v>0</v>
      </c>
    </row>
    <row r="36" spans="1:5" ht="12.75">
      <c r="A36" s="67" t="s">
        <v>434</v>
      </c>
      <c r="C36" s="295"/>
      <c r="D36" s="295"/>
      <c r="E36" s="313">
        <f t="shared" si="0"/>
        <v>0</v>
      </c>
    </row>
    <row r="37" spans="1:5" ht="12.75">
      <c r="A37" s="67" t="s">
        <v>435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494" t="s">
        <v>499</v>
      </c>
      <c r="B41" t="s">
        <v>187</v>
      </c>
      <c r="C41" s="295">
        <v>2128411</v>
      </c>
      <c r="D41" s="295"/>
      <c r="E41" s="313">
        <f t="shared" si="0"/>
        <v>2128411</v>
      </c>
    </row>
    <row r="42" spans="1:5" ht="12.75">
      <c r="A42" s="492" t="s">
        <v>500</v>
      </c>
      <c r="B42" t="s">
        <v>187</v>
      </c>
      <c r="C42" s="295">
        <v>1183954</v>
      </c>
      <c r="D42" s="295"/>
      <c r="E42" s="313">
        <f t="shared" si="0"/>
        <v>1183954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6" t="s">
        <v>397</v>
      </c>
      <c r="B47" t="s">
        <v>189</v>
      </c>
      <c r="C47" s="251">
        <f>SUM(C19:C46)</f>
        <v>3334672</v>
      </c>
      <c r="D47" s="251">
        <f>SUM(D19:D46)</f>
        <v>0</v>
      </c>
      <c r="E47" s="251">
        <f>SUM(E19:E46)</f>
        <v>3334672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436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444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4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4" t="s">
        <v>387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1:5" ht="12.75">
      <c r="A63" s="492" t="s">
        <v>506</v>
      </c>
      <c r="B63" s="8" t="s">
        <v>188</v>
      </c>
      <c r="C63" s="294">
        <v>1021795</v>
      </c>
      <c r="D63" s="294"/>
      <c r="E63" s="251">
        <f t="shared" si="2"/>
        <v>1021795</v>
      </c>
    </row>
    <row r="64" spans="1:5" ht="12.75">
      <c r="A64" t="s">
        <v>507</v>
      </c>
      <c r="B64" s="8" t="s">
        <v>188</v>
      </c>
      <c r="C64" s="294">
        <v>1041003</v>
      </c>
      <c r="D64" s="294"/>
      <c r="E64" s="251">
        <f t="shared" si="2"/>
        <v>1041003</v>
      </c>
    </row>
    <row r="65" spans="1:5" ht="12.75">
      <c r="A65" t="s">
        <v>508</v>
      </c>
      <c r="B65" s="8" t="s">
        <v>188</v>
      </c>
      <c r="C65" s="294">
        <v>151572</v>
      </c>
      <c r="D65" s="294"/>
      <c r="E65" s="251">
        <f t="shared" si="2"/>
        <v>151572</v>
      </c>
    </row>
    <row r="66" spans="1:5" ht="12.75">
      <c r="A66" t="s">
        <v>509</v>
      </c>
      <c r="B66" s="8" t="s">
        <v>188</v>
      </c>
      <c r="C66" s="294">
        <v>688062</v>
      </c>
      <c r="D66" s="294"/>
      <c r="E66" s="251">
        <f t="shared" si="2"/>
        <v>688062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5" t="s">
        <v>396</v>
      </c>
      <c r="B73" s="8" t="s">
        <v>189</v>
      </c>
      <c r="C73" s="251">
        <f>SUM(C51:C72)</f>
        <v>2902432</v>
      </c>
      <c r="D73" s="251">
        <f>SUM(D51:D72)</f>
        <v>0</v>
      </c>
      <c r="E73" s="251">
        <f>SUM(E51:E72)</f>
        <v>2902432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horizontalCentered="1" verticalCentered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69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52">
      <selection activeCell="G58" sqref="G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Enersource Hydro Mississauga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08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3" t="s">
        <v>478</v>
      </c>
      <c r="B8" s="504"/>
      <c r="C8" s="504"/>
      <c r="D8" s="504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400001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480</v>
      </c>
      <c r="B10" s="327"/>
      <c r="C10" s="376" t="s">
        <v>111</v>
      </c>
      <c r="D10" s="376"/>
      <c r="E10" s="376" t="s">
        <v>111</v>
      </c>
      <c r="F10" s="377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400000</v>
      </c>
      <c r="D11" s="378"/>
      <c r="E11" s="378">
        <v>1128000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07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0.1775</v>
      </c>
      <c r="F14" s="329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0.055</v>
      </c>
      <c r="D15" s="330"/>
      <c r="E15" s="331">
        <v>0.0975</v>
      </c>
      <c r="F15" s="331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0.1862</v>
      </c>
      <c r="D16" s="332"/>
      <c r="E16" s="333">
        <f>SUM(E14:E15)</f>
        <v>0.275</v>
      </c>
      <c r="F16" s="333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0.00175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4" t="s">
        <v>479</v>
      </c>
      <c r="C21" s="362">
        <v>7500000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5" t="s">
        <v>474</v>
      </c>
      <c r="C22" s="363">
        <v>50000000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7" t="s">
        <v>485</v>
      </c>
      <c r="B23" s="498"/>
      <c r="C23" s="498"/>
      <c r="D23" s="498"/>
      <c r="E23" s="498"/>
      <c r="F23" s="498"/>
      <c r="G23" s="435"/>
      <c r="H23" s="417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9"/>
      <c r="B24" s="410"/>
      <c r="C24" s="410"/>
      <c r="D24" s="410"/>
      <c r="E24" s="410"/>
      <c r="F24" s="410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08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3" t="s">
        <v>481</v>
      </c>
      <c r="B26" s="504"/>
      <c r="C26" s="504"/>
      <c r="D26" s="504"/>
      <c r="E26" s="504"/>
      <c r="F26" s="50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 t="s">
        <v>111</v>
      </c>
      <c r="E28" s="370" t="s">
        <v>111</v>
      </c>
      <c r="F28" s="371" t="s">
        <v>475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7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07">
        <v>2005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7">
        <v>2005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07">
        <v>2005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7">
        <v>2005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7">
        <v>2005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7">
        <v>2005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483</v>
      </c>
      <c r="B39" s="404" t="s">
        <v>479</v>
      </c>
      <c r="C39" s="362">
        <v>7500000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484</v>
      </c>
      <c r="B40" s="405" t="s">
        <v>474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9" t="s">
        <v>335</v>
      </c>
      <c r="B41" s="498"/>
      <c r="C41" s="498"/>
      <c r="D41" s="498"/>
      <c r="E41" s="498"/>
      <c r="F41" s="49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0"/>
      <c r="B42" s="500"/>
      <c r="C42" s="500"/>
      <c r="D42" s="500"/>
      <c r="E42" s="500"/>
      <c r="F42" s="50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08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6" t="s">
        <v>482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475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7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0.2212</v>
      </c>
      <c r="F50" s="353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0.14</v>
      </c>
      <c r="F51" s="355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0.3612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0.00175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4" t="s">
        <v>479</v>
      </c>
      <c r="C57" s="362">
        <v>7036989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5" t="s">
        <v>474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7" t="s">
        <v>351</v>
      </c>
      <c r="B59" s="501"/>
      <c r="C59" s="501"/>
      <c r="D59" s="501"/>
      <c r="E59" s="501"/>
      <c r="F59" s="50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2"/>
      <c r="B60" s="502"/>
      <c r="C60" s="502"/>
      <c r="D60" s="502"/>
      <c r="E60" s="502"/>
      <c r="F60" s="50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65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Enersource Hydro Mississauga Inc.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321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416">
        <v>0</v>
      </c>
      <c r="D11" s="416"/>
      <c r="E11" s="416">
        <f>C22</f>
        <v>4262606</v>
      </c>
      <c r="F11" s="416"/>
      <c r="G11" s="416">
        <f>E22</f>
        <v>3053167</v>
      </c>
      <c r="H11" s="416"/>
      <c r="I11" s="416">
        <f>G22</f>
        <v>2021719</v>
      </c>
      <c r="J11" s="416"/>
      <c r="K11" s="416">
        <f>I22</f>
        <v>1410543</v>
      </c>
      <c r="L11" s="416"/>
      <c r="M11" s="416">
        <f>K22</f>
        <v>-267810</v>
      </c>
      <c r="N11" s="416"/>
      <c r="O11" s="416">
        <f>C11</f>
        <v>0</v>
      </c>
    </row>
    <row r="12" spans="1:17" ht="27" customHeight="1">
      <c r="A12" s="81" t="s">
        <v>398</v>
      </c>
      <c r="B12" s="66" t="s">
        <v>190</v>
      </c>
      <c r="C12" s="95">
        <v>4238236</v>
      </c>
      <c r="D12" s="95"/>
      <c r="E12" s="95">
        <v>11289929</v>
      </c>
      <c r="F12" s="95"/>
      <c r="G12" s="95">
        <v>15528165</v>
      </c>
      <c r="H12" s="95"/>
      <c r="I12" s="95">
        <v>12349485</v>
      </c>
      <c r="J12" s="95"/>
      <c r="K12" s="95">
        <v>12399678</v>
      </c>
      <c r="L12" s="95"/>
      <c r="M12" s="95">
        <v>4256532</v>
      </c>
      <c r="N12" s="95"/>
      <c r="O12" s="416">
        <f aca="true" t="shared" si="0" ref="O12:O20">SUM(C12:N12)</f>
        <v>60062025</v>
      </c>
      <c r="Q12" s="22"/>
    </row>
    <row r="13" spans="1:15" ht="27" customHeight="1">
      <c r="A13" s="81" t="s">
        <v>439</v>
      </c>
      <c r="B13" s="6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416">
        <f t="shared" si="0"/>
        <v>0</v>
      </c>
    </row>
    <row r="14" spans="1:15" ht="25.5">
      <c r="A14" s="81" t="s">
        <v>399</v>
      </c>
      <c r="B14" s="66" t="s">
        <v>190</v>
      </c>
      <c r="C14" s="95"/>
      <c r="D14" s="95"/>
      <c r="E14" s="95">
        <v>541142</v>
      </c>
      <c r="F14" s="95"/>
      <c r="G14" s="95"/>
      <c r="H14" s="95"/>
      <c r="I14" s="34"/>
      <c r="J14" s="95"/>
      <c r="K14" s="95"/>
      <c r="L14" s="95"/>
      <c r="M14" s="95"/>
      <c r="N14" s="95"/>
      <c r="O14" s="416">
        <f t="shared" si="0"/>
        <v>541142</v>
      </c>
    </row>
    <row r="15" spans="1:15" ht="27" customHeight="1">
      <c r="A15" s="81" t="s">
        <v>400</v>
      </c>
      <c r="B15" s="66" t="s">
        <v>190</v>
      </c>
      <c r="C15" s="95"/>
      <c r="D15" s="95"/>
      <c r="E15" s="95"/>
      <c r="F15" s="95"/>
      <c r="G15" s="95">
        <v>-589148</v>
      </c>
      <c r="H15" s="95"/>
      <c r="I15" s="95">
        <v>-662461</v>
      </c>
      <c r="J15" s="95"/>
      <c r="K15" s="95">
        <v>-424703</v>
      </c>
      <c r="L15" s="95"/>
      <c r="M15" s="95">
        <f>+TAXCALC!E184</f>
        <v>-443493.9353846155</v>
      </c>
      <c r="N15" s="95"/>
      <c r="O15" s="416">
        <f t="shared" si="0"/>
        <v>-2119805.9353846153</v>
      </c>
    </row>
    <row r="16" spans="1:15" ht="27" customHeight="1">
      <c r="A16" s="81" t="s">
        <v>401</v>
      </c>
      <c r="B16" s="66"/>
      <c r="C16" s="95"/>
      <c r="D16" s="95"/>
      <c r="E16" s="95">
        <v>6125</v>
      </c>
      <c r="F16" s="95"/>
      <c r="G16" s="95"/>
      <c r="H16" s="95"/>
      <c r="I16" s="95"/>
      <c r="J16" s="95"/>
      <c r="K16" s="95"/>
      <c r="L16" s="95"/>
      <c r="M16" s="95"/>
      <c r="N16" s="95"/>
      <c r="O16" s="416">
        <f t="shared" si="0"/>
        <v>6125</v>
      </c>
    </row>
    <row r="17" spans="1:15" ht="27.75" customHeight="1">
      <c r="A17" s="81" t="s">
        <v>402</v>
      </c>
      <c r="B17" s="66" t="s">
        <v>190</v>
      </c>
      <c r="C17" s="95"/>
      <c r="D17" s="95"/>
      <c r="E17" s="95"/>
      <c r="F17" s="95"/>
      <c r="G17" s="95">
        <v>0</v>
      </c>
      <c r="H17" s="95"/>
      <c r="I17" s="95">
        <v>-432132</v>
      </c>
      <c r="J17" s="95"/>
      <c r="K17" s="95">
        <v>-828852</v>
      </c>
      <c r="L17" s="95"/>
      <c r="M17" s="95">
        <f>+TAXCALC!E182</f>
        <v>-56056.923076923085</v>
      </c>
      <c r="N17" s="95"/>
      <c r="O17" s="416">
        <f t="shared" si="0"/>
        <v>-1317040.923076923</v>
      </c>
    </row>
    <row r="18" spans="1:15" ht="50.25" customHeight="1">
      <c r="A18" s="81" t="s">
        <v>511</v>
      </c>
      <c r="B18" s="66" t="s">
        <v>190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>
        <v>-234144</v>
      </c>
      <c r="N18" s="95"/>
      <c r="O18" s="416">
        <f t="shared" si="0"/>
        <v>-234144</v>
      </c>
    </row>
    <row r="19" spans="1:17" ht="24" customHeight="1">
      <c r="A19" s="429" t="s">
        <v>403</v>
      </c>
      <c r="B19" s="66" t="s">
        <v>190</v>
      </c>
      <c r="C19" s="95">
        <v>24370</v>
      </c>
      <c r="D19" s="95"/>
      <c r="E19" s="95">
        <v>318209</v>
      </c>
      <c r="F19" s="95"/>
      <c r="G19" s="95">
        <v>151791</v>
      </c>
      <c r="H19" s="95"/>
      <c r="I19" s="95">
        <v>76079</v>
      </c>
      <c r="J19" s="95"/>
      <c r="K19" s="95">
        <v>11644</v>
      </c>
      <c r="L19" s="95"/>
      <c r="M19" s="95">
        <v>-59424</v>
      </c>
      <c r="N19" s="95"/>
      <c r="O19" s="416">
        <f t="shared" si="0"/>
        <v>522669</v>
      </c>
      <c r="Q19" s="22"/>
    </row>
    <row r="20" spans="1:17" ht="24.75" customHeight="1">
      <c r="A20" s="81" t="s">
        <v>467</v>
      </c>
      <c r="B20" s="66" t="s">
        <v>188</v>
      </c>
      <c r="C20" s="95">
        <v>0</v>
      </c>
      <c r="D20" s="95"/>
      <c r="E20" s="95">
        <v>-13364844</v>
      </c>
      <c r="F20" s="95"/>
      <c r="G20" s="95">
        <v>-16122256</v>
      </c>
      <c r="H20" s="95"/>
      <c r="I20" s="95">
        <v>-11942147</v>
      </c>
      <c r="J20" s="95"/>
      <c r="K20" s="95">
        <v>-12836120</v>
      </c>
      <c r="L20" s="95"/>
      <c r="M20" s="95">
        <v>-4188802</v>
      </c>
      <c r="N20" s="95"/>
      <c r="O20" s="416">
        <f t="shared" si="0"/>
        <v>-58454169</v>
      </c>
      <c r="Q20" s="486"/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6"/>
    </row>
    <row r="22" spans="1:19" ht="13.5" thickBot="1">
      <c r="A22" s="81" t="s">
        <v>374</v>
      </c>
      <c r="B22" s="34"/>
      <c r="C22" s="395">
        <f>SUM(C11:C20)</f>
        <v>4262606</v>
      </c>
      <c r="D22" s="416"/>
      <c r="E22" s="395">
        <f>SUM(E11:E20)</f>
        <v>3053167</v>
      </c>
      <c r="F22" s="416"/>
      <c r="G22" s="395">
        <f>SUM(G11:G20)</f>
        <v>2021719</v>
      </c>
      <c r="H22" s="416"/>
      <c r="I22" s="395">
        <f>SUM(I11:I20)</f>
        <v>1410543</v>
      </c>
      <c r="J22" s="391"/>
      <c r="K22" s="395">
        <f>SUM(K11:K20)</f>
        <v>-267810</v>
      </c>
      <c r="L22" s="391"/>
      <c r="M22" s="395">
        <f>SUM(M11:M21)</f>
        <v>-993198.8584615383</v>
      </c>
      <c r="N22" s="391"/>
      <c r="O22" s="483">
        <f>SUM(O11:O20)</f>
        <v>-993198.8584615365</v>
      </c>
      <c r="S22" s="22"/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30"/>
      <c r="B25" s="431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30" t="s">
        <v>404</v>
      </c>
      <c r="B26" s="431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405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406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7" t="s">
        <v>407</v>
      </c>
      <c r="B31" s="80"/>
      <c r="C31" s="80"/>
      <c r="D31" s="80"/>
      <c r="E31" s="80"/>
      <c r="F31" s="80"/>
      <c r="G31" s="80"/>
      <c r="H31" s="80"/>
      <c r="I31" s="444"/>
      <c r="J31" s="505" t="s">
        <v>510</v>
      </c>
      <c r="K31" s="505"/>
      <c r="L31" s="505"/>
      <c r="M31" s="505"/>
      <c r="N31" s="444"/>
      <c r="O31" s="444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07" t="s">
        <v>408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17"/>
      <c r="Q33" s="417"/>
      <c r="R33" s="417"/>
      <c r="S33" s="417"/>
    </row>
    <row r="34" spans="1:19" ht="12.75">
      <c r="A34" s="506" t="s">
        <v>409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17"/>
      <c r="Q34" s="417"/>
      <c r="R34" s="417"/>
      <c r="S34" s="417"/>
    </row>
    <row r="35" spans="1:19" ht="12.75">
      <c r="A35" s="506" t="s">
        <v>430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17"/>
      <c r="Q35" s="417"/>
      <c r="R35" s="417"/>
      <c r="S35" s="417"/>
    </row>
    <row r="36" spans="1:19" ht="12.75">
      <c r="A36" s="506" t="s">
        <v>410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17"/>
      <c r="Q36" s="417"/>
      <c r="R36" s="417"/>
      <c r="S36" s="417"/>
    </row>
    <row r="37" spans="1:19" ht="12.75">
      <c r="A37" s="434" t="s">
        <v>371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17"/>
      <c r="Q37" s="417"/>
      <c r="R37" s="417"/>
      <c r="S37" s="417"/>
    </row>
    <row r="38" spans="1:19" ht="12.75">
      <c r="A38" s="434" t="s">
        <v>372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17"/>
      <c r="Q38" s="417"/>
      <c r="R38" s="417"/>
      <c r="S38" s="417"/>
    </row>
    <row r="39" spans="1:19" ht="12.75">
      <c r="A39" s="434" t="s">
        <v>411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17"/>
      <c r="Q39" s="417"/>
      <c r="R39" s="417"/>
      <c r="S39" s="417"/>
    </row>
    <row r="40" spans="1:19" ht="12.75">
      <c r="A40" s="434" t="s">
        <v>412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17"/>
      <c r="Q40" s="417"/>
      <c r="R40" s="417"/>
      <c r="S40" s="417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17"/>
      <c r="Q41" s="417"/>
      <c r="R41" s="417"/>
      <c r="S41" s="417"/>
    </row>
    <row r="42" spans="1:15" ht="12.75">
      <c r="A42" s="436" t="s">
        <v>413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414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415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416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417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418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419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416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420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421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422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423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424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381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425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426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383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382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384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427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428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429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06" t="s">
        <v>458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1" t="s">
        <v>373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7">
    <mergeCell ref="J31:M31"/>
    <mergeCell ref="C92:Q92"/>
    <mergeCell ref="A33:O33"/>
    <mergeCell ref="A36:O36"/>
    <mergeCell ref="A74:O74"/>
    <mergeCell ref="A34:O34"/>
    <mergeCell ref="A35:O35"/>
  </mergeCells>
  <printOptions horizontalCentered="1" verticalCentered="1"/>
  <pageMargins left="0.35433070866141736" right="0.03937007874015748" top="0.9055118110236221" bottom="0.35433070866141736" header="0.2755905511811024" footer="0"/>
  <pageSetup horizontalDpi="600" verticalDpi="600" orientation="portrait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npellegrini</cp:lastModifiedBy>
  <cp:lastPrinted>2011-11-08T14:59:27Z</cp:lastPrinted>
  <dcterms:created xsi:type="dcterms:W3CDTF">2001-11-07T16:15:53Z</dcterms:created>
  <dcterms:modified xsi:type="dcterms:W3CDTF">2011-11-11T16:07:35Z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